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8"/>
  </bookViews>
  <sheets>
    <sheet name="კრებსითი" sheetId="4" r:id="rId1"/>
    <sheet name="1-1" sheetId="5" r:id="rId2"/>
    <sheet name="2-1" sheetId="9" r:id="rId3"/>
    <sheet name="3-1" sheetId="11" r:id="rId4"/>
    <sheet name="3-2" sheetId="13" r:id="rId5"/>
    <sheet name="3-3" sheetId="14" r:id="rId6"/>
    <sheet name="4-1" sheetId="24" r:id="rId7"/>
    <sheet name="4-2" sheetId="32" r:id="rId8"/>
    <sheet name="5-1" sheetId="25" r:id="rId9"/>
    <sheet name="სატენდერო კრებსითი" sheetId="31" r:id="rId10"/>
    <sheet name="სატენდერო" sheetId="30" r:id="rId11"/>
    <sheet name="ტრანსპორტირება" sheetId="29" r:id="rId12"/>
  </sheets>
  <externalReferences>
    <externalReference r:id="rId13"/>
  </externalReferences>
  <definedNames>
    <definedName name="_xlnm.Print_Area" localSheetId="1">'1-1'!$A$1:$M$26</definedName>
    <definedName name="_xlnm.Print_Area" localSheetId="2">'2-1'!$A$1:$M$59</definedName>
    <definedName name="_xlnm.Print_Area" localSheetId="3">'3-1'!$A$1:$M$137</definedName>
    <definedName name="_xlnm.Print_Area" localSheetId="4">'3-2'!$A$1:$M$110</definedName>
    <definedName name="_xlnm.Print_Area" localSheetId="5">'3-3'!$A$1:$M$79</definedName>
    <definedName name="_xlnm.Print_Area" localSheetId="6">'4-1'!$A$1:$M$70</definedName>
    <definedName name="_xlnm.Print_Area" localSheetId="7">'4-2'!$A$1:$M$61</definedName>
    <definedName name="_xlnm.Print_Area" localSheetId="8">'5-1'!$A$1:$M$88</definedName>
    <definedName name="_xlnm.Print_Area" localSheetId="9">'სატენდერო კრებსითი'!$A$1:$D$35</definedName>
    <definedName name="_xlnm.Print_Area" localSheetId="11">ტრანსპორტირება!$A$1:$L$70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[1]ტრანსპორტირება!$J$71</definedName>
    <definedName name="დეკორატიულიქვა11">[1]ტრანსპორტირება!$K$71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/>
  <c r="F16" s="1"/>
  <c r="F39" i="9"/>
  <c r="F41" s="1"/>
  <c r="F34"/>
  <c r="F35" s="1"/>
  <c r="F36" s="1"/>
  <c r="F32"/>
  <c r="F26"/>
  <c r="F29" s="1"/>
  <c r="F18"/>
  <c r="F19" s="1"/>
  <c r="F16"/>
  <c r="F10"/>
  <c r="F11" s="1"/>
  <c r="F67" i="14"/>
  <c r="F66"/>
  <c r="F65"/>
  <c r="F61"/>
  <c r="F60"/>
  <c r="F59"/>
  <c r="F58"/>
  <c r="F54"/>
  <c r="F53"/>
  <c r="F52"/>
  <c r="E48"/>
  <c r="F42"/>
  <c r="F47" s="1"/>
  <c r="F35"/>
  <c r="F36" s="1"/>
  <c r="F30"/>
  <c r="F32" s="1"/>
  <c r="F24"/>
  <c r="F22"/>
  <c r="F25" s="1"/>
  <c r="F17"/>
  <c r="F19" s="1"/>
  <c r="F10"/>
  <c r="F14" s="1"/>
  <c r="F40" i="9" l="1"/>
  <c r="F13"/>
  <c r="F14"/>
  <c r="F23"/>
  <c r="F20"/>
  <c r="F21"/>
  <c r="F22"/>
  <c r="F28"/>
  <c r="F27"/>
  <c r="F12"/>
  <c r="F30"/>
  <c r="F46" i="14"/>
  <c r="F45"/>
  <c r="F48"/>
  <c r="F39"/>
  <c r="F43"/>
  <c r="F11"/>
  <c r="F13"/>
  <c r="F12"/>
  <c r="F18"/>
  <c r="F27"/>
  <c r="F31"/>
  <c r="F38"/>
  <c r="F26"/>
  <c r="F37"/>
  <c r="F23"/>
  <c r="F44"/>
  <c r="F92" i="13"/>
  <c r="F95" s="1"/>
  <c r="F85"/>
  <c r="F87" s="1"/>
  <c r="F82"/>
  <c r="F81"/>
  <c r="F80"/>
  <c r="F79"/>
  <c r="E74"/>
  <c r="F73"/>
  <c r="F75" s="1"/>
  <c r="F69"/>
  <c r="F66"/>
  <c r="F70" s="1"/>
  <c r="E60"/>
  <c r="F54"/>
  <c r="F62" s="1"/>
  <c r="F47"/>
  <c r="F51" s="1"/>
  <c r="F40"/>
  <c r="F43" s="1"/>
  <c r="F32"/>
  <c r="F33" s="1"/>
  <c r="F30"/>
  <c r="E25"/>
  <c r="F24"/>
  <c r="F27" s="1"/>
  <c r="F28" s="1"/>
  <c r="F17"/>
  <c r="F18" s="1"/>
  <c r="E14"/>
  <c r="E13"/>
  <c r="E12"/>
  <c r="E11"/>
  <c r="F10"/>
  <c r="F14" s="1"/>
  <c r="F99" i="11"/>
  <c r="F33"/>
  <c r="F120"/>
  <c r="F124" s="1"/>
  <c r="F117"/>
  <c r="F116"/>
  <c r="E113"/>
  <c r="F109"/>
  <c r="F110" s="1"/>
  <c r="F103"/>
  <c r="F107" s="1"/>
  <c r="F96"/>
  <c r="F98" s="1"/>
  <c r="F91"/>
  <c r="F93" s="1"/>
  <c r="F85"/>
  <c r="F87" s="1"/>
  <c r="E81"/>
  <c r="F80"/>
  <c r="F73"/>
  <c r="F77" s="1"/>
  <c r="E67"/>
  <c r="F61"/>
  <c r="F69" s="1"/>
  <c r="F51"/>
  <c r="F56" s="1"/>
  <c r="F44"/>
  <c r="F46" s="1"/>
  <c r="F37"/>
  <c r="F39" s="1"/>
  <c r="F34"/>
  <c r="F25"/>
  <c r="F26" s="1"/>
  <c r="F23"/>
  <c r="F20"/>
  <c r="F21" s="1"/>
  <c r="E18"/>
  <c r="F18" s="1"/>
  <c r="F10"/>
  <c r="F13" s="1"/>
  <c r="F49" i="24"/>
  <c r="F51" s="1"/>
  <c r="E46"/>
  <c r="F45"/>
  <c r="E45"/>
  <c r="F44"/>
  <c r="E40"/>
  <c r="F40" s="1"/>
  <c r="F39"/>
  <c r="F41" s="1"/>
  <c r="F38"/>
  <c r="F34"/>
  <c r="F35" s="1"/>
  <c r="E31"/>
  <c r="F31" s="1"/>
  <c r="E30"/>
  <c r="F30" s="1"/>
  <c r="F29"/>
  <c r="F28"/>
  <c r="F27"/>
  <c r="F26"/>
  <c r="E25"/>
  <c r="F25" s="1"/>
  <c r="F19"/>
  <c r="F21" s="1"/>
  <c r="F10"/>
  <c r="F16" s="1"/>
  <c r="E45" i="32"/>
  <c r="F42"/>
  <c r="F48" s="1"/>
  <c r="E39"/>
  <c r="E38"/>
  <c r="F32"/>
  <c r="F35" s="1"/>
  <c r="F24"/>
  <c r="F23"/>
  <c r="F19"/>
  <c r="F28" s="1"/>
  <c r="F14"/>
  <c r="F10"/>
  <c r="F16" s="1"/>
  <c r="F51" i="25"/>
  <c r="F36"/>
  <c r="F72"/>
  <c r="F70"/>
  <c r="F67"/>
  <c r="F69" s="1"/>
  <c r="F64"/>
  <c r="E64"/>
  <c r="F63"/>
  <c r="E63"/>
  <c r="F62"/>
  <c r="F61"/>
  <c r="F60"/>
  <c r="F59"/>
  <c r="F58"/>
  <c r="E58"/>
  <c r="F57"/>
  <c r="F56"/>
  <c r="F52"/>
  <c r="F54" s="1"/>
  <c r="F49"/>
  <c r="E49"/>
  <c r="F48"/>
  <c r="E48"/>
  <c r="F47"/>
  <c r="F46"/>
  <c r="F45"/>
  <c r="F44"/>
  <c r="F43"/>
  <c r="E43"/>
  <c r="F38"/>
  <c r="F37"/>
  <c r="F39" s="1"/>
  <c r="E34"/>
  <c r="E33"/>
  <c r="F31"/>
  <c r="E31"/>
  <c r="E30"/>
  <c r="F29"/>
  <c r="E29"/>
  <c r="E27"/>
  <c r="E26"/>
  <c r="F25"/>
  <c r="F33" s="1"/>
  <c r="F22"/>
  <c r="F20"/>
  <c r="F17"/>
  <c r="F16"/>
  <c r="F21" s="1"/>
  <c r="F11"/>
  <c r="F12" s="1"/>
  <c r="F22" i="32" l="1"/>
  <c r="F46"/>
  <c r="F27"/>
  <c r="F20" i="24"/>
  <c r="F55"/>
  <c r="F52"/>
  <c r="F50"/>
  <c r="F56" i="13"/>
  <c r="F61"/>
  <c r="F25"/>
  <c r="F11"/>
  <c r="F50"/>
  <c r="F59"/>
  <c r="F52" i="11"/>
  <c r="F113"/>
  <c r="F63"/>
  <c r="F67"/>
  <c r="F68"/>
  <c r="F97"/>
  <c r="F74"/>
  <c r="F86" i="13"/>
  <c r="F74"/>
  <c r="F60"/>
  <c r="F41"/>
  <c r="F21"/>
  <c r="F34"/>
  <c r="F35"/>
  <c r="F37"/>
  <c r="F36"/>
  <c r="F94"/>
  <c r="F20"/>
  <c r="F42"/>
  <c r="F49"/>
  <c r="F68"/>
  <c r="F89"/>
  <c r="F93"/>
  <c r="F19"/>
  <c r="F44"/>
  <c r="F48"/>
  <c r="F55"/>
  <c r="F63"/>
  <c r="F67"/>
  <c r="F88"/>
  <c r="F96"/>
  <c r="F12"/>
  <c r="F13"/>
  <c r="F57"/>
  <c r="F66" i="11"/>
  <c r="F104"/>
  <c r="F106"/>
  <c r="F100"/>
  <c r="F81"/>
  <c r="F76"/>
  <c r="F48"/>
  <c r="F45"/>
  <c r="F41"/>
  <c r="F38"/>
  <c r="F30"/>
  <c r="F27"/>
  <c r="F28"/>
  <c r="F29"/>
  <c r="F112"/>
  <c r="F111"/>
  <c r="F11"/>
  <c r="F40"/>
  <c r="F57"/>
  <c r="F75"/>
  <c r="F86"/>
  <c r="F88"/>
  <c r="F92"/>
  <c r="F105"/>
  <c r="F121"/>
  <c r="F125"/>
  <c r="F12"/>
  <c r="F122"/>
  <c r="F14"/>
  <c r="F47"/>
  <c r="F54"/>
  <c r="F58"/>
  <c r="F62"/>
  <c r="F70"/>
  <c r="F82"/>
  <c r="F53"/>
  <c r="F64"/>
  <c r="F123"/>
  <c r="F53" i="24"/>
  <c r="F54"/>
  <c r="F36"/>
  <c r="F14"/>
  <c r="F13"/>
  <c r="F43"/>
  <c r="F12"/>
  <c r="F42"/>
  <c r="F46"/>
  <c r="F11"/>
  <c r="F15"/>
  <c r="F45" i="32"/>
  <c r="F47"/>
  <c r="F43"/>
  <c r="F38"/>
  <c r="F25"/>
  <c r="F11"/>
  <c r="F13"/>
  <c r="F21"/>
  <c r="F33"/>
  <c r="F37"/>
  <c r="F39"/>
  <c r="F34"/>
  <c r="F12"/>
  <c r="F20"/>
  <c r="F26"/>
  <c r="F36"/>
  <c r="F44"/>
  <c r="F15"/>
  <c r="F68" i="25"/>
  <c r="F71"/>
  <c r="F73"/>
  <c r="F53"/>
  <c r="F27"/>
  <c r="F32"/>
  <c r="F28"/>
  <c r="F30"/>
  <c r="F34"/>
  <c r="F26"/>
  <c r="F18"/>
  <c r="F19"/>
  <c r="F13"/>
  <c r="J31" i="29"/>
  <c r="J29"/>
  <c r="J28"/>
  <c r="J27"/>
  <c r="I94" i="30" l="1"/>
  <c r="I93"/>
  <c r="I92"/>
  <c r="I91"/>
  <c r="I90"/>
  <c r="I89"/>
  <c r="I88"/>
  <c r="I87"/>
  <c r="I86"/>
  <c r="D94"/>
  <c r="F94" s="1"/>
  <c r="D93"/>
  <c r="D92"/>
  <c r="F92" s="1"/>
  <c r="D91"/>
  <c r="D90"/>
  <c r="D89"/>
  <c r="D88"/>
  <c r="D87"/>
  <c r="D86"/>
  <c r="C94"/>
  <c r="E94" s="1"/>
  <c r="C93"/>
  <c r="E93" s="1"/>
  <c r="C92"/>
  <c r="E92" s="1"/>
  <c r="C91"/>
  <c r="E91" s="1"/>
  <c r="C90"/>
  <c r="C89"/>
  <c r="E89" s="1"/>
  <c r="C88"/>
  <c r="E88" s="1"/>
  <c r="C87"/>
  <c r="E87" s="1"/>
  <c r="C86"/>
  <c r="A94"/>
  <c r="A93"/>
  <c r="A92"/>
  <c r="A91"/>
  <c r="A90"/>
  <c r="A89"/>
  <c r="A88"/>
  <c r="A87"/>
  <c r="A86"/>
  <c r="B94"/>
  <c r="B93"/>
  <c r="B92"/>
  <c r="B91"/>
  <c r="B90"/>
  <c r="B89"/>
  <c r="B88"/>
  <c r="B87"/>
  <c r="F86" l="1"/>
  <c r="F90"/>
  <c r="F91"/>
  <c r="F88"/>
  <c r="E86"/>
  <c r="F89"/>
  <c r="F87"/>
  <c r="F93"/>
  <c r="E90"/>
  <c r="H94"/>
  <c r="G94" s="1"/>
  <c r="H93" l="1"/>
  <c r="G93" s="1"/>
  <c r="H92" l="1"/>
  <c r="G92" s="1"/>
  <c r="H89" l="1"/>
  <c r="G89" s="1"/>
  <c r="H90"/>
  <c r="G90" s="1"/>
  <c r="H88"/>
  <c r="G88" s="1"/>
  <c r="H91" l="1"/>
  <c r="G91" s="1"/>
  <c r="I79"/>
  <c r="I78"/>
  <c r="I77"/>
  <c r="I76"/>
  <c r="I75"/>
  <c r="I74"/>
  <c r="I73"/>
  <c r="I72"/>
  <c r="I71"/>
  <c r="I70"/>
  <c r="I69"/>
  <c r="I68"/>
  <c r="I67"/>
  <c r="I66"/>
  <c r="H70"/>
  <c r="D79"/>
  <c r="D78"/>
  <c r="D77"/>
  <c r="D76"/>
  <c r="D75"/>
  <c r="D74"/>
  <c r="D73"/>
  <c r="D72"/>
  <c r="D68"/>
  <c r="D67"/>
  <c r="D66"/>
  <c r="C79"/>
  <c r="C78"/>
  <c r="E78" s="1"/>
  <c r="C77"/>
  <c r="C76"/>
  <c r="E76" s="1"/>
  <c r="C75"/>
  <c r="E75" s="1"/>
  <c r="C74"/>
  <c r="F74" s="1"/>
  <c r="C73"/>
  <c r="E73" s="1"/>
  <c r="C72"/>
  <c r="C71"/>
  <c r="E71" s="1"/>
  <c r="C70"/>
  <c r="E70" s="1"/>
  <c r="C69"/>
  <c r="E69" s="1"/>
  <c r="C68"/>
  <c r="E68" s="1"/>
  <c r="C67"/>
  <c r="E67" s="1"/>
  <c r="C66"/>
  <c r="F66" s="1"/>
  <c r="A79"/>
  <c r="A78"/>
  <c r="A77"/>
  <c r="A76"/>
  <c r="A75"/>
  <c r="A74"/>
  <c r="A73"/>
  <c r="A72"/>
  <c r="A71"/>
  <c r="A70"/>
  <c r="A69"/>
  <c r="A68"/>
  <c r="A67"/>
  <c r="A66"/>
  <c r="B79"/>
  <c r="B78"/>
  <c r="B77"/>
  <c r="B76"/>
  <c r="B75"/>
  <c r="B74"/>
  <c r="B73"/>
  <c r="B72"/>
  <c r="B71"/>
  <c r="B70"/>
  <c r="B69"/>
  <c r="B68"/>
  <c r="B67"/>
  <c r="B66"/>
  <c r="D59"/>
  <c r="C59"/>
  <c r="H68"/>
  <c r="F79" l="1"/>
  <c r="D69"/>
  <c r="F69" s="1"/>
  <c r="D71"/>
  <c r="F71" s="1"/>
  <c r="D70"/>
  <c r="F72"/>
  <c r="F77"/>
  <c r="E79"/>
  <c r="E74"/>
  <c r="E72"/>
  <c r="F75"/>
  <c r="F70"/>
  <c r="G70" s="1"/>
  <c r="F68"/>
  <c r="G68" s="1"/>
  <c r="E66"/>
  <c r="E77"/>
  <c r="F73"/>
  <c r="F78"/>
  <c r="F76"/>
  <c r="F67"/>
  <c r="H77"/>
  <c r="H66"/>
  <c r="G66" s="1"/>
  <c r="H69"/>
  <c r="H75"/>
  <c r="H78"/>
  <c r="H72"/>
  <c r="I59"/>
  <c r="F59"/>
  <c r="E59"/>
  <c r="A59"/>
  <c r="B59"/>
  <c r="G69" l="1"/>
  <c r="H76"/>
  <c r="G76" s="1"/>
  <c r="H79"/>
  <c r="G79" s="1"/>
  <c r="G78"/>
  <c r="G72"/>
  <c r="H67"/>
  <c r="G67" s="1"/>
  <c r="G75"/>
  <c r="G77"/>
  <c r="H73"/>
  <c r="G73" s="1"/>
  <c r="H74" l="1"/>
  <c r="G74" s="1"/>
  <c r="H59"/>
  <c r="G59" s="1"/>
  <c r="H71"/>
  <c r="G71" s="1"/>
  <c r="A49" l="1"/>
  <c r="I49"/>
  <c r="D49"/>
  <c r="C49"/>
  <c r="E49" s="1"/>
  <c r="B49"/>
  <c r="F49" l="1"/>
  <c r="H49" l="1"/>
  <c r="G49" s="1"/>
  <c r="I118" l="1"/>
  <c r="I117"/>
  <c r="I116"/>
  <c r="I115"/>
  <c r="I114"/>
  <c r="I113"/>
  <c r="D118"/>
  <c r="D117"/>
  <c r="D116"/>
  <c r="D115"/>
  <c r="D114"/>
  <c r="D113"/>
  <c r="C118"/>
  <c r="E118" s="1"/>
  <c r="C117"/>
  <c r="F117" s="1"/>
  <c r="C116"/>
  <c r="E116" s="1"/>
  <c r="C115"/>
  <c r="E115" s="1"/>
  <c r="C114"/>
  <c r="E114" s="1"/>
  <c r="C113"/>
  <c r="F113" s="1"/>
  <c r="A118"/>
  <c r="A117"/>
  <c r="A116"/>
  <c r="A115"/>
  <c r="A114"/>
  <c r="A113"/>
  <c r="B118"/>
  <c r="B117"/>
  <c r="B116"/>
  <c r="B115"/>
  <c r="B114"/>
  <c r="B113"/>
  <c r="B112"/>
  <c r="B28" i="31" s="1"/>
  <c r="F115" i="30" l="1"/>
  <c r="F116"/>
  <c r="F118"/>
  <c r="E113"/>
  <c r="F114"/>
  <c r="E117"/>
  <c r="I58"/>
  <c r="I57"/>
  <c r="I56"/>
  <c r="I55"/>
  <c r="I54"/>
  <c r="I53"/>
  <c r="I52"/>
  <c r="I51"/>
  <c r="I50"/>
  <c r="I48"/>
  <c r="I47"/>
  <c r="I46"/>
  <c r="I45"/>
  <c r="I44"/>
  <c r="I43"/>
  <c r="I42"/>
  <c r="I41"/>
  <c r="D58"/>
  <c r="D57"/>
  <c r="D56"/>
  <c r="D55"/>
  <c r="D54"/>
  <c r="D53"/>
  <c r="D52"/>
  <c r="D51"/>
  <c r="D50"/>
  <c r="D48"/>
  <c r="D47"/>
  <c r="D46"/>
  <c r="D42"/>
  <c r="D41"/>
  <c r="C58"/>
  <c r="E58" s="1"/>
  <c r="C57"/>
  <c r="C56"/>
  <c r="E56" s="1"/>
  <c r="C55"/>
  <c r="E55" s="1"/>
  <c r="C54"/>
  <c r="C53"/>
  <c r="E53" s="1"/>
  <c r="C52"/>
  <c r="E52" s="1"/>
  <c r="C51"/>
  <c r="E51" s="1"/>
  <c r="C50"/>
  <c r="E50" s="1"/>
  <c r="C48"/>
  <c r="E48" s="1"/>
  <c r="C47"/>
  <c r="E47" s="1"/>
  <c r="C46"/>
  <c r="E46" s="1"/>
  <c r="C45"/>
  <c r="E45" s="1"/>
  <c r="C44"/>
  <c r="E44" s="1"/>
  <c r="C43"/>
  <c r="E43" s="1"/>
  <c r="C42"/>
  <c r="E42" s="1"/>
  <c r="C41"/>
  <c r="A58"/>
  <c r="A57"/>
  <c r="A56"/>
  <c r="A55"/>
  <c r="A54"/>
  <c r="A53"/>
  <c r="A52"/>
  <c r="A51"/>
  <c r="A50"/>
  <c r="A48"/>
  <c r="A47"/>
  <c r="A46"/>
  <c r="A45"/>
  <c r="A44"/>
  <c r="A43"/>
  <c r="A42"/>
  <c r="A41"/>
  <c r="F41" l="1"/>
  <c r="F54"/>
  <c r="F57"/>
  <c r="E54"/>
  <c r="F56"/>
  <c r="F55"/>
  <c r="F51"/>
  <c r="F47"/>
  <c r="F52"/>
  <c r="F50"/>
  <c r="E57"/>
  <c r="F58"/>
  <c r="F53"/>
  <c r="E41"/>
  <c r="F48"/>
  <c r="F46"/>
  <c r="F42"/>
  <c r="B58"/>
  <c r="B57"/>
  <c r="B56"/>
  <c r="B55"/>
  <c r="B54"/>
  <c r="B53"/>
  <c r="B52"/>
  <c r="B51"/>
  <c r="B50"/>
  <c r="B48"/>
  <c r="B47"/>
  <c r="B46"/>
  <c r="B45"/>
  <c r="B44"/>
  <c r="B43"/>
  <c r="B42"/>
  <c r="B41"/>
  <c r="B21" i="4"/>
  <c r="G70" i="29"/>
  <c r="K70" s="1"/>
  <c r="H117" i="30" l="1"/>
  <c r="G117" s="1"/>
  <c r="H118" l="1"/>
  <c r="G118" s="1"/>
  <c r="H116" l="1"/>
  <c r="G116" s="1"/>
  <c r="H115"/>
  <c r="G115" s="1"/>
  <c r="H114" l="1"/>
  <c r="G114" s="1"/>
  <c r="B18" i="4"/>
  <c r="B17"/>
  <c r="H113" i="30" l="1"/>
  <c r="G113" l="1"/>
  <c r="H119"/>
  <c r="H120" s="1"/>
  <c r="H121" s="1"/>
  <c r="H122" s="1"/>
  <c r="H123" s="1"/>
  <c r="D28" i="31" s="1"/>
  <c r="H58" i="30" l="1"/>
  <c r="G58" s="1"/>
  <c r="H57" l="1"/>
  <c r="G57" l="1"/>
  <c r="H46" l="1"/>
  <c r="G46" s="1"/>
  <c r="H42"/>
  <c r="G42" s="1"/>
  <c r="H43" l="1"/>
  <c r="D43"/>
  <c r="F43" s="1"/>
  <c r="D45"/>
  <c r="F45" s="1"/>
  <c r="H53"/>
  <c r="G53" s="1"/>
  <c r="H41"/>
  <c r="G43" l="1"/>
  <c r="G41"/>
  <c r="D44"/>
  <c r="F44" s="1"/>
  <c r="H45"/>
  <c r="G45" s="1"/>
  <c r="H54"/>
  <c r="G54" s="1"/>
  <c r="H52"/>
  <c r="G52" s="1"/>
  <c r="H44" l="1"/>
  <c r="G44" s="1"/>
  <c r="G69" i="2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132" i="30" l="1"/>
  <c r="I131"/>
  <c r="I130"/>
  <c r="I129"/>
  <c r="I128"/>
  <c r="I127"/>
  <c r="I126"/>
  <c r="I125"/>
  <c r="D132"/>
  <c r="D130"/>
  <c r="D129"/>
  <c r="D128"/>
  <c r="D127"/>
  <c r="D126"/>
  <c r="D125"/>
  <c r="C132"/>
  <c r="C131"/>
  <c r="E131" s="1"/>
  <c r="C130"/>
  <c r="E130" s="1"/>
  <c r="C129"/>
  <c r="F129" s="1"/>
  <c r="C128"/>
  <c r="E128" s="1"/>
  <c r="C127"/>
  <c r="F127" s="1"/>
  <c r="C126"/>
  <c r="E126" s="1"/>
  <c r="C125"/>
  <c r="F125" s="1"/>
  <c r="A132"/>
  <c r="A131"/>
  <c r="A130"/>
  <c r="A129"/>
  <c r="A128"/>
  <c r="A127"/>
  <c r="A126"/>
  <c r="A125"/>
  <c r="B132"/>
  <c r="B131"/>
  <c r="B130"/>
  <c r="B129"/>
  <c r="B128"/>
  <c r="B127"/>
  <c r="B126"/>
  <c r="B125"/>
  <c r="B124"/>
  <c r="B30" i="31" s="1"/>
  <c r="I106" i="30"/>
  <c r="I105"/>
  <c r="I104"/>
  <c r="I103"/>
  <c r="I102"/>
  <c r="I101"/>
  <c r="D106"/>
  <c r="D104"/>
  <c r="D103"/>
  <c r="D102"/>
  <c r="D101"/>
  <c r="C106"/>
  <c r="E106" s="1"/>
  <c r="C105"/>
  <c r="E105" s="1"/>
  <c r="C104"/>
  <c r="E104" s="1"/>
  <c r="C103"/>
  <c r="E103" s="1"/>
  <c r="C102"/>
  <c r="E102" s="1"/>
  <c r="C101"/>
  <c r="E101" s="1"/>
  <c r="A106"/>
  <c r="A105"/>
  <c r="A104"/>
  <c r="A103"/>
  <c r="A102"/>
  <c r="A101"/>
  <c r="B106"/>
  <c r="B105"/>
  <c r="B104"/>
  <c r="B103"/>
  <c r="B102"/>
  <c r="B101"/>
  <c r="B100"/>
  <c r="B27" i="31" s="1"/>
  <c r="B65" i="30"/>
  <c r="B24" i="31" s="1"/>
  <c r="B86" i="30"/>
  <c r="B85"/>
  <c r="B25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132" i="30" l="1"/>
  <c r="F103"/>
  <c r="F130"/>
  <c r="E129"/>
  <c r="F101"/>
  <c r="E127"/>
  <c r="E132"/>
  <c r="F106"/>
  <c r="E125"/>
  <c r="F128"/>
  <c r="F104"/>
  <c r="F102"/>
  <c r="F126"/>
  <c r="F31"/>
  <c r="E31"/>
  <c r="F34"/>
  <c r="F28"/>
  <c r="E33"/>
  <c r="E28"/>
  <c r="E32"/>
  <c r="F21"/>
  <c r="E21"/>
  <c r="D131" l="1"/>
  <c r="F131" s="1"/>
  <c r="H125"/>
  <c r="G125" s="1"/>
  <c r="D105" l="1"/>
  <c r="F105" s="1"/>
  <c r="K69" i="29" l="1"/>
  <c r="A22"/>
  <c r="H56" i="30" l="1"/>
  <c r="G56" s="1"/>
  <c r="H55"/>
  <c r="G55" s="1"/>
  <c r="H34" l="1"/>
  <c r="G34" s="1"/>
  <c r="D33" l="1"/>
  <c r="F33" s="1"/>
  <c r="D32"/>
  <c r="F32" s="1"/>
  <c r="H33"/>
  <c r="H32"/>
  <c r="D30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H132" i="30" s="1"/>
  <c r="G132" s="1"/>
  <c r="K36" i="29"/>
  <c r="K35"/>
  <c r="H105" i="30" s="1"/>
  <c r="G105" s="1"/>
  <c r="K34" i="29"/>
  <c r="K33"/>
  <c r="K32"/>
  <c r="K31"/>
  <c r="K30"/>
  <c r="K29"/>
  <c r="K28"/>
  <c r="K27"/>
  <c r="K26"/>
  <c r="K25"/>
  <c r="H48" i="30" s="1"/>
  <c r="G48" s="1"/>
  <c r="K24" i="29"/>
  <c r="K23"/>
  <c r="K22"/>
  <c r="K21"/>
  <c r="A3"/>
  <c r="G32" i="30" l="1"/>
  <c r="G33"/>
  <c r="H129"/>
  <c r="G129" s="1"/>
  <c r="H103"/>
  <c r="G103" s="1"/>
  <c r="H130"/>
  <c r="G130" s="1"/>
  <c r="H104"/>
  <c r="G104" s="1"/>
  <c r="H86"/>
  <c r="H87"/>
  <c r="G87" s="1"/>
  <c r="H31"/>
  <c r="G31" s="1"/>
  <c r="A7" i="29"/>
  <c r="G86" i="30" l="1"/>
  <c r="H95"/>
  <c r="H47"/>
  <c r="G47" s="1"/>
  <c r="H50"/>
  <c r="G50" s="1"/>
  <c r="H51"/>
  <c r="G51" s="1"/>
  <c r="B23" i="4"/>
  <c r="B20"/>
  <c r="B16"/>
  <c r="B14"/>
  <c r="H60" i="30" l="1"/>
  <c r="H61" s="1"/>
  <c r="H62" s="1"/>
  <c r="H63" s="1"/>
  <c r="H64" s="1"/>
  <c r="D23" i="31" s="1"/>
  <c r="H80" i="30"/>
  <c r="H81" s="1"/>
  <c r="H82" s="1"/>
  <c r="H83" s="1"/>
  <c r="H84" s="1"/>
  <c r="D24" i="31" s="1"/>
  <c r="H96" i="30"/>
  <c r="H97" s="1"/>
  <c r="H98" s="1"/>
  <c r="H99" s="1"/>
  <c r="D25" i="31" s="1"/>
  <c r="B12" i="4"/>
  <c r="H106" i="30" l="1"/>
  <c r="G106" s="1"/>
  <c r="H126"/>
  <c r="G126" s="1"/>
  <c r="H127"/>
  <c r="G127" s="1"/>
  <c r="H128"/>
  <c r="G128" s="1"/>
  <c r="H131"/>
  <c r="H102"/>
  <c r="G102" s="1"/>
  <c r="G131" l="1"/>
  <c r="H133"/>
  <c r="H134" s="1"/>
  <c r="H135" s="1"/>
  <c r="H136" s="1"/>
  <c r="H137" s="1"/>
  <c r="D30" i="31" s="1"/>
  <c r="H101" i="30" l="1"/>
  <c r="G101" l="1"/>
  <c r="H107"/>
  <c r="H108" s="1"/>
  <c r="H109" s="1"/>
  <c r="H110" s="1"/>
  <c r="H111" s="1"/>
  <c r="D27" i="31" s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5"/>
  <c r="H36" s="1"/>
  <c r="H37" s="1"/>
  <c r="H38" s="1"/>
  <c r="H39" s="1"/>
  <c r="D21" i="31" s="1"/>
  <c r="D31" l="1"/>
  <c r="D32" s="1"/>
  <c r="D33" s="1"/>
  <c r="D34" s="1"/>
  <c r="D35" s="1"/>
</calcChain>
</file>

<file path=xl/sharedStrings.xml><?xml version="1.0" encoding="utf-8"?>
<sst xmlns="http://schemas.openxmlformats.org/spreadsheetml/2006/main" count="1814" uniqueCount="516">
  <si>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</si>
  <si>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</si>
  <si>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</si>
  <si>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</si>
  <si>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</si>
  <si>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</si>
  <si>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</si>
  <si>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</si>
  <si>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</si>
  <si>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</si>
  <si>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</si>
  <si>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</si>
  <si>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</si>
  <si>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</si>
  <si>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</si>
  <si>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</si>
  <si>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</si>
  <si>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</si>
  <si>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</si>
  <si>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</si>
  <si>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</si>
  <si>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</si>
  <si>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</si>
  <si>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</si>
  <si>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</si>
  <si>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</si>
  <si>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</si>
  <si>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</si>
  <si>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</si>
  <si>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</si>
  <si>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</si>
  <si>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</si>
  <si>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</si>
  <si>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</si>
  <si>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</si>
  <si>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</si>
  <si>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</si>
  <si>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</si>
  <si>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</si>
  <si>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</si>
  <si>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</si>
  <si>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</si>
  <si>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</si>
  <si>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</si>
  <si>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</si>
  <si>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</si>
  <si>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</si>
  <si>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</si>
  <si>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</si>
  <si>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</si>
  <si>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</si>
  <si>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</si>
  <si>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</si>
  <si>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</si>
  <si>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</si>
  <si>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</si>
  <si>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</si>
  <si>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თავი 5. გზის კუთვნილება და მოწყობილობა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</si>
  <si>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</si>
  <si>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</si>
  <si>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</si>
  <si>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</si>
  <si>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</si>
  <si>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</si>
  <si>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</si>
  <si>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</si>
  <si>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</si>
  <si>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</si>
  <si>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</si>
  <si>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</si>
  <si>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</si>
  <si>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</si>
  <si>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</si>
  <si>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</si>
  <si>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</si>
  <si>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</si>
  <si>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</si>
  <si>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>1.15.1</t>
  </si>
  <si>
    <t>1.15.2</t>
  </si>
  <si>
    <t>1.15.3</t>
  </si>
  <si>
    <t>1.15.4</t>
  </si>
  <si>
    <t>1.16.1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</si>
  <si>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</si>
  <si>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</si>
  <si>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</si>
  <si>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</si>
  <si>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</si>
  <si>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თხევადი ბიტუმის მოსხმა</t>
  </si>
  <si>
    <t>27-63-1</t>
  </si>
  <si>
    <t>ავტოგუდრონატორი 3500 ლ</t>
  </si>
  <si>
    <t>თვითმავალი სატკეპნი საგზაო, პნევმოსვლით 18 ტ</t>
  </si>
  <si>
    <t>თვითმავალი სატკეპნი საგზაო 5 ტ</t>
  </si>
  <si>
    <t>თვითმავალი სატკეპნი საგზაო 10 ტ</t>
  </si>
  <si>
    <t>ქვის ნამტვრევების გამანაწილებელი მანქანა</t>
  </si>
  <si>
    <t>ბიტუმის ემულსია</t>
  </si>
  <si>
    <t>ასფალტობეტონის დამგები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</si>
  <si>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</si>
  <si>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</si>
  <si>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</si>
  <si>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ც</t>
  </si>
  <si>
    <t>საპრ.</t>
  </si>
  <si>
    <t>შრომითი დანახარჯი</t>
  </si>
  <si>
    <t>საბაზრო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</si>
  <si>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</si>
  <si>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</si>
  <si>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</si>
  <si>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</si>
  <si>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</si>
  <si>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მიერთებებისა და ადგილობრივი შესასვლელების მოწყობის სამუშაოები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</si>
  <si>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</si>
  <si>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</si>
  <si>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</si>
  <si>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</si>
  <si>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</si>
  <si>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</si>
  <si>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</si>
  <si>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</si>
  <si>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</si>
  <si>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</si>
  <si>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შემასწორებელი ფენის მოწყობა ქვიშა-ხრეშოვანი ნარევით</t>
  </si>
  <si>
    <t xml:space="preserve">წყალი </t>
  </si>
  <si>
    <t xml:space="preserve">მოსარწყავ-მოსარეცხი მანქანა 6000 ლ </t>
  </si>
  <si>
    <t xml:space="preserve">თვითმავალი სატკეპნი საგზაო 10 ტ </t>
  </si>
  <si>
    <t xml:space="preserve">თვითმავალი სატკეპნი საგზაო 5 ტ </t>
  </si>
  <si>
    <t xml:space="preserve">ავტოგრეიდერი საშუალო ტიპის 79 კვტ (108 ც.ძ.) 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</si>
  <si>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</si>
  <si>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</si>
  <si>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</si>
  <si>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</si>
  <si>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</si>
  <si>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</si>
  <si>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</si>
  <si>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</si>
  <si>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</si>
  <si>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</si>
  <si>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</si>
  <si>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</si>
  <si>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</si>
  <si>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</si>
  <si>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</si>
  <si>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</si>
  <si>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</si>
  <si>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</si>
  <si>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</si>
  <si>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</si>
  <si>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</si>
  <si>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ღორღი, ფრაქცია 0-40 მმ, მარკა 600-1200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</si>
  <si>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</si>
  <si>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</si>
  <si>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</si>
  <si>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</si>
  <si>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</si>
  <si>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</si>
  <si>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</si>
  <si>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</si>
  <si>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</si>
  <si>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</si>
  <si>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</si>
  <si>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</si>
  <si>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</si>
  <si>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</si>
  <si>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</si>
  <si>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</si>
  <si>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</si>
  <si>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</si>
  <si>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</si>
  <si>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</si>
  <si>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</si>
  <si>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</si>
  <si>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</si>
  <si>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</si>
  <si>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</si>
  <si>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</si>
  <si>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</si>
  <si>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</si>
  <si>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</si>
  <si>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</si>
  <si>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</si>
  <si>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</si>
  <si>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</si>
  <si>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</si>
  <si>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</si>
  <si>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</si>
  <si>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</si>
  <si>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</si>
  <si>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</si>
  <si>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</si>
  <si>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</si>
  <si>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</si>
  <si>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</si>
  <si>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</si>
  <si>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</si>
  <si>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</si>
  <si>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</si>
  <si>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</si>
  <si>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</si>
  <si>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</si>
  <si>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</si>
  <si>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</si>
  <si>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>1-22-14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</si>
  <si>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</si>
  <si>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</si>
  <si>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1.16.2</t>
  </si>
  <si>
    <t>1.16.3</t>
  </si>
  <si>
    <t>1.17.1</t>
  </si>
  <si>
    <t>3-1</t>
  </si>
  <si>
    <t>3-2</t>
  </si>
  <si>
    <t>3-3</t>
  </si>
  <si>
    <t>5-1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</si>
  <si>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</si>
  <si>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</si>
  <si>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</si>
  <si>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</si>
  <si>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</si>
  <si>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</si>
  <si>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</si>
  <si>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</si>
  <si>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</si>
  <si>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</si>
  <si>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</si>
  <si>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</si>
  <si>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</si>
  <si>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</si>
  <si>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1.11.2</t>
  </si>
  <si>
    <t>1.14.1</t>
  </si>
  <si>
    <t>1.3.5</t>
  </si>
  <si>
    <t>1.3.6</t>
  </si>
  <si>
    <t>1.3.7</t>
  </si>
  <si>
    <t>1.5.5</t>
  </si>
  <si>
    <t>1.5.6</t>
  </si>
  <si>
    <t>1.6.3</t>
  </si>
  <si>
    <t>1.6.4</t>
  </si>
  <si>
    <t>1.6.5</t>
  </si>
  <si>
    <t>1.6.6</t>
  </si>
  <si>
    <t>1.8.3</t>
  </si>
  <si>
    <t>1.8.4</t>
  </si>
  <si>
    <t>1.8.5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</si>
  <si>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</si>
  <si>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</si>
  <si>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</si>
  <si>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</si>
  <si>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</si>
  <si>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</si>
  <si>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</si>
  <si>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</si>
  <si>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</si>
  <si>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</si>
  <si>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</si>
  <si>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</si>
  <si>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1.2.7</t>
  </si>
  <si>
    <t>1.4.5</t>
  </si>
  <si>
    <t>1.4.6</t>
  </si>
  <si>
    <t>1.4.7</t>
  </si>
  <si>
    <t>1.9.7</t>
  </si>
  <si>
    <t>1.5.7</t>
  </si>
  <si>
    <t>1.3.8</t>
  </si>
  <si>
    <t>მისაყრელი გვერდულების მოწყობა ქვიშა-ხრეშოვანი ნარევით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</si>
  <si>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</si>
  <si>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</si>
  <si>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</si>
  <si>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</si>
  <si>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</si>
  <si>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</si>
  <si>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</si>
  <si>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</si>
  <si>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</si>
  <si>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</si>
  <si>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</si>
  <si>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</si>
  <si>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</si>
  <si>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</si>
  <si>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</si>
  <si>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</si>
  <si>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</si>
  <si>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ქვიშა-ხრეშოვანი ქვესაგები ფენის მოწყობა სისქით 30 სმ</t>
  </si>
  <si>
    <t>რკინაბეტონის ანაკრები მილი d-1500 მმ L-1000 მმ</t>
  </si>
  <si>
    <t>1-22-16</t>
  </si>
  <si>
    <t>საფუძვლის ფენის მოწყობა ქვიშა-ღორღის ნარევით (ფრ. 0-40მმ), სისქით 15სმ.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</si>
  <si>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t>
  </si>
  <si>
    <t>წვრილმარცვლოვანი ასფალტობეტონი</t>
  </si>
  <si>
    <t>1.3.9</t>
  </si>
  <si>
    <t>საფუძვლის მოწყობა ქვიშა-ღორღის ნარევით h-10 სმ</t>
  </si>
  <si>
    <t>საფარის მოწყობა წვრილმარცვლოვანი მკვრივი ა/ბეტონის ცხელი ნარევით ტიპი B მარკა II , სისქით 3 სმ.</t>
  </si>
  <si>
    <t>1.8.6</t>
  </si>
  <si>
    <t>ერთ. ფასი</t>
  </si>
  <si>
    <t>სულ</t>
  </si>
  <si>
    <t>ქარხანა</t>
  </si>
  <si>
    <t>ქუთაისი</t>
  </si>
  <si>
    <t xml:space="preserve">მე-4 კატეგორიის გრუნტის დამუშავება და დატვირთვა ექსკავატორით ავტოთვითმცლელზე </t>
  </si>
  <si>
    <t xml:space="preserve">მე-4 კატეგორიის გრუნტის ფენის დამუშავება ხელით სიღრმით 2 მ-მდე </t>
  </si>
  <si>
    <t>1-64-8</t>
  </si>
  <si>
    <t>1.10.5</t>
  </si>
  <si>
    <t>კედლის უკანა ზედაპირზე ბიტუმის წასმა 2 ჯერ</t>
  </si>
  <si>
    <t>გეოტექსტილი</t>
  </si>
  <si>
    <t>გეოტექსტილის ჰიდროიზოლაციის მოწყობა</t>
  </si>
  <si>
    <t>გეომემბრანის ჰიდროიზოლაციის მოწყობა</t>
  </si>
  <si>
    <t>გეომემბრანა 2 მმ</t>
  </si>
  <si>
    <t>1.12.3</t>
  </si>
  <si>
    <t>1.12.4</t>
  </si>
  <si>
    <t>1.11.3</t>
  </si>
  <si>
    <t>სადრენაჟო ფენის მოწყობა ფრაქციული ღორღისგან</t>
  </si>
  <si>
    <t>1-118-11</t>
  </si>
  <si>
    <t>პნევმატური დამტკეპნი მომუშავე მოძრავ კომპრესორზე</t>
  </si>
  <si>
    <t>გრუნტის დატკეპნა ფენებად</t>
  </si>
  <si>
    <t>პენოპლასტი 2 სმ</t>
  </si>
  <si>
    <t>სადეფორმაციო ნაკერების მოწყობა პენოპლასტით</t>
  </si>
  <si>
    <t>საგზაო სამოსი ტიპი 1</t>
  </si>
  <si>
    <t>საგზაო სამოსი ტიპი 2</t>
  </si>
  <si>
    <t>რ/ბ  სარტყელის  მოწყობა</t>
  </si>
  <si>
    <t>საფუძვლის ფენის მოწყობა ქვიშა-ცემენტის 5% ნარევით</t>
  </si>
  <si>
    <t>ცემენტი მ400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</si>
  <si>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</si>
  <si>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</si>
  <si>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</si>
  <si>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 შავი</t>
  </si>
  <si>
    <t>4-2</t>
  </si>
  <si>
    <t>მე-4 კატეგორიის გრუნტის ფერდობების მოშანდაკება ხელით</t>
  </si>
  <si>
    <t xml:space="preserve">ქვესაგები ფენის მოწყობა ქვიშახრეშოვანი ნარევით </t>
  </si>
  <si>
    <t>რ/ბ კედლის ფუნდამენტის მოწყობა</t>
  </si>
  <si>
    <t>1.10.8</t>
  </si>
  <si>
    <t>1.10.9</t>
  </si>
  <si>
    <t>1.11.5</t>
  </si>
  <si>
    <t>1.13.3</t>
  </si>
  <si>
    <t>1.13.4</t>
  </si>
  <si>
    <t>1.16.4</t>
  </si>
  <si>
    <t>1.17.2</t>
  </si>
  <si>
    <t>1.17.3</t>
  </si>
  <si>
    <t>1.18.1</t>
  </si>
  <si>
    <t>1.18.2</t>
  </si>
  <si>
    <t>დაბა მესტიაში ზ.ფალიანის ქუჩის სარეაბილიტაციო სამუშაოების ლოკალურ-რესურსული ხარჯთაღრიცხვა</t>
  </si>
  <si>
    <t>კედლის ფასადის მოპირკეთება ქვის წყობით</t>
  </si>
  <si>
    <t>1.19.1</t>
  </si>
  <si>
    <t>1.19.2</t>
  </si>
  <si>
    <t>დეკორატიული ფლეთილი ქვა</t>
  </si>
  <si>
    <t>არსებული ღობის დემონტაჟი</t>
  </si>
  <si>
    <t>ამწე საავტომობილო სვლაზე 6,3ტ</t>
  </si>
  <si>
    <t xml:space="preserve">მე-3 კატეგორიის გრუნტის ფენის დამუშავება ხელით </t>
  </si>
  <si>
    <t>1.9.8</t>
  </si>
  <si>
    <t>1.9.9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</si>
  <si>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</si>
  <si>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</si>
  <si>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</si>
  <si>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</si>
  <si>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 xml:space="preserve"> წასაცხები ჰიდროიზოლაციის მოწყობა, 2 ფენა</t>
  </si>
  <si>
    <t>1.14.3</t>
  </si>
  <si>
    <t>1.14.5</t>
  </si>
  <si>
    <t>ღობის მოწყობის სამუშაოები</t>
  </si>
  <si>
    <t>სანიაღვრე ქსელის მოწყობა</t>
  </si>
  <si>
    <t>მე-3 კატეგორიის გრუნტის დამუშავება ექსკავატორით გვერდზე გადაყრით</t>
  </si>
  <si>
    <t>მილის თავზე ქვიშის დამცავი ფენის მოწყობა სისქით 20 სმ</t>
  </si>
  <si>
    <t>წვიმმიმღები ჭების მოწყობა</t>
  </si>
  <si>
    <t>1 კომპ</t>
  </si>
  <si>
    <t>თუჯის ცხაურის მონტაჟი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</si>
  <si>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</si>
  <si>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</si>
  <si>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</si>
  <si>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</si>
  <si>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</si>
  <si>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</si>
  <si>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</si>
  <si>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</si>
  <si>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მ2</t>
  </si>
  <si>
    <t>10 000 მ2</t>
  </si>
  <si>
    <t>14-1-200</t>
  </si>
  <si>
    <t>27-7-2.</t>
  </si>
  <si>
    <t>მ3</t>
  </si>
  <si>
    <t>100 მ3</t>
  </si>
  <si>
    <t>14-1-222</t>
  </si>
  <si>
    <t>14-1-228</t>
  </si>
  <si>
    <t>4-1-228</t>
  </si>
  <si>
    <t>27-11-2.</t>
  </si>
  <si>
    <t>1000 მ2</t>
  </si>
  <si>
    <t>14-1-142</t>
  </si>
  <si>
    <t>14-1-218</t>
  </si>
  <si>
    <t>14-1-219</t>
  </si>
  <si>
    <t>14-1-229</t>
  </si>
  <si>
    <t>4-1-234</t>
  </si>
  <si>
    <t>14-1-198</t>
  </si>
  <si>
    <t>14-1-538</t>
  </si>
  <si>
    <t>27-39-1; -2                            27-40-1; -2</t>
  </si>
  <si>
    <t>14-1-231</t>
  </si>
  <si>
    <t>4-1-522</t>
  </si>
  <si>
    <t>მსხვილმარცვლოვანი ასფალტობეტონი</t>
  </si>
  <si>
    <t>1000  მ2</t>
  </si>
  <si>
    <t>4-1-524</t>
  </si>
  <si>
    <t>6-15-9.</t>
  </si>
  <si>
    <t>4-1-355</t>
  </si>
  <si>
    <t>1-1-010</t>
  </si>
  <si>
    <t>არმატურა A-I კლასი</t>
  </si>
  <si>
    <t>1-1-012</t>
  </si>
  <si>
    <t>5-1-132</t>
  </si>
  <si>
    <t>ფარი ყალიბის სისქით 18 მმ</t>
  </si>
  <si>
    <t>5-1-022</t>
  </si>
  <si>
    <r>
      <t>ფიცარი ჩამოგანილი სისქით</t>
    </r>
    <r>
      <rPr>
        <sz val="10"/>
        <color theme="1"/>
        <rFont val="Arial"/>
        <family val="2"/>
        <charset val="204"/>
      </rPr>
      <t xml:space="preserve"> 40-60 მმ, III ხარისხის</t>
    </r>
  </si>
  <si>
    <t>1-10-014</t>
  </si>
  <si>
    <t>ელექტროდი შედუღების</t>
  </si>
  <si>
    <t>კგ</t>
  </si>
  <si>
    <t>4-1-226</t>
  </si>
  <si>
    <t>4-1-177</t>
  </si>
  <si>
    <t>27-20-3.</t>
  </si>
  <si>
    <t>4-1-071</t>
  </si>
  <si>
    <t>ბეტონის ქვაფენილი 20x10x5.5 სმ</t>
  </si>
  <si>
    <t>4-1-378</t>
  </si>
  <si>
    <t>ქვიშა</t>
  </si>
  <si>
    <t>4-1-237</t>
  </si>
  <si>
    <t>ღორღი ბუნებრივი ქვის, ფრაქცია 0-40 მმ, მარკა 600-1200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</si>
  <si>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</si>
  <si>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3 სმ</t>
  </si>
  <si>
    <t>მისაყრელი გვერდული - ქვიშა-ხრეშოვანი ნარევი (ფრ. 0-70მმ)</t>
  </si>
  <si>
    <t>რ/ბ კედლის მოწყობის სამუშაოები პკ 0+60 პკ 1+10 სკ2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</si>
  <si>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</si>
  <si>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</si>
  <si>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</si>
  <si>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</si>
  <si>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</si>
  <si>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1-80-4</t>
  </si>
  <si>
    <r>
      <rPr>
        <b/>
        <sz val="10"/>
        <color rgb="FFFF0000"/>
        <rFont val="Arial"/>
        <family val="2"/>
        <charset val="204"/>
      </rPr>
      <t>პ.3-107</t>
    </r>
    <r>
      <rPr>
        <sz val="10"/>
        <color theme="1"/>
        <rFont val="Arial"/>
        <family val="2"/>
        <charset val="204"/>
      </rPr>
      <t>, კ=1.2</t>
    </r>
  </si>
  <si>
    <t>Е1-22/1-а</t>
  </si>
  <si>
    <t>ЕНиР</t>
  </si>
  <si>
    <t>15-ტრ-3</t>
  </si>
  <si>
    <r>
      <rPr>
        <b/>
        <strike/>
        <sz val="10"/>
        <color rgb="FFFF0000"/>
        <rFont val="Arial"/>
        <family val="2"/>
        <charset val="204"/>
      </rPr>
      <t>მე-4</t>
    </r>
    <r>
      <rPr>
        <sz val="10"/>
        <color theme="1"/>
        <rFont val="Arial"/>
        <family val="2"/>
        <charset val="204"/>
      </rPr>
      <t xml:space="preserve">  III კატეგორიის გრუნტის დამუშავება ნაყარში</t>
    </r>
  </si>
  <si>
    <t>8-3-2.</t>
  </si>
  <si>
    <t>1 მ3</t>
  </si>
  <si>
    <t>6-1-1.</t>
  </si>
  <si>
    <t>4-1-341</t>
  </si>
  <si>
    <t>6-1-16.</t>
  </si>
  <si>
    <t>4-1-357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</si>
  <si>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</si>
  <si>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6-11-7.</t>
  </si>
  <si>
    <r>
      <t xml:space="preserve">რ/ბ </t>
    </r>
    <r>
      <rPr>
        <b/>
        <sz val="10"/>
        <color rgb="FFFF0000"/>
        <rFont val="Arial"/>
        <family val="2"/>
        <charset val="204"/>
      </rPr>
      <t>საყრდენი</t>
    </r>
    <r>
      <rPr>
        <sz val="10"/>
        <color theme="1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</si>
  <si>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</si>
  <si>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1.10.10</t>
  </si>
  <si>
    <t>1.10.11</t>
  </si>
  <si>
    <t>1-10-017</t>
  </si>
  <si>
    <t>სამშენებლო ჭანჭიკი</t>
  </si>
  <si>
    <t>1.10.12</t>
  </si>
  <si>
    <t>8-4-7.</t>
  </si>
  <si>
    <t>100 მ2</t>
  </si>
  <si>
    <t>4-1-539</t>
  </si>
  <si>
    <t>მასტიკა ბიტუმ-ზეთოვანი</t>
  </si>
  <si>
    <t>26-01-055-01;-02</t>
  </si>
  <si>
    <t>ГЭСН</t>
  </si>
  <si>
    <t>4-1-429</t>
  </si>
  <si>
    <t>Е3-2/1 ЕНиР</t>
  </si>
  <si>
    <t>4-1-441</t>
  </si>
  <si>
    <t>1.13.5</t>
  </si>
  <si>
    <t>4-1-442</t>
  </si>
  <si>
    <t>გამაგრების დიუბელი</t>
  </si>
  <si>
    <t>23-1-2.</t>
  </si>
  <si>
    <t>10 მ3</t>
  </si>
  <si>
    <t>27-5-3.</t>
  </si>
  <si>
    <r>
      <t xml:space="preserve">პოლიეთილენის </t>
    </r>
    <r>
      <rPr>
        <b/>
        <sz val="10"/>
        <color rgb="FFFF0000"/>
        <rFont val="Arial"/>
        <family val="2"/>
        <charset val="204"/>
      </rPr>
      <t>სადრენაჟე</t>
    </r>
    <r>
      <rPr>
        <sz val="10"/>
        <color theme="1"/>
        <rFont val="Arial"/>
        <family val="2"/>
        <charset val="204"/>
      </rPr>
      <t xml:space="preserve"> მილის მონტაჟი</t>
    </r>
  </si>
  <si>
    <t>2-11-001</t>
  </si>
  <si>
    <t>გოფრირებული მილი სადრენაჟო Ø150 მმ</t>
  </si>
  <si>
    <t>პროექტი</t>
  </si>
  <si>
    <t>14-1-338</t>
  </si>
  <si>
    <t>14-1-113</t>
  </si>
  <si>
    <t>კომპრესორი მობილური შიდა წვის ძრავაზე,  7 ატმ 9 მ3/წთ</t>
  </si>
  <si>
    <t>4-1-492</t>
  </si>
  <si>
    <t>15-6-8.</t>
  </si>
  <si>
    <t>1.19.3</t>
  </si>
  <si>
    <t>4-1-318</t>
  </si>
  <si>
    <t>1.19.4</t>
  </si>
  <si>
    <t>4-1-379</t>
  </si>
  <si>
    <t>1.19.5</t>
  </si>
  <si>
    <t>27-50-9.</t>
  </si>
  <si>
    <t>ტ.ნ. პ. 2.6</t>
  </si>
  <si>
    <t>კ=0.6</t>
  </si>
  <si>
    <t>14-1-043</t>
  </si>
  <si>
    <t>კ=0.7</t>
  </si>
  <si>
    <t>კ=0.5</t>
  </si>
  <si>
    <t>1-22-15.</t>
  </si>
  <si>
    <t>1-80-3</t>
  </si>
  <si>
    <t>პ. 3.105</t>
  </si>
  <si>
    <t>კ=1.2</t>
  </si>
  <si>
    <t>4-1-339</t>
  </si>
  <si>
    <t>ბეტონი B 7.5</t>
  </si>
  <si>
    <t>1.9.10</t>
  </si>
  <si>
    <t>1.9.11</t>
  </si>
  <si>
    <t>1.9.12</t>
  </si>
  <si>
    <t>1-31-6; -16</t>
  </si>
  <si>
    <t>14-1-143</t>
  </si>
  <si>
    <t>ბულდოზერი 96 კვტ (130 ც.ძ.)</t>
  </si>
  <si>
    <t>4-1-232</t>
  </si>
  <si>
    <t>8-4-8.</t>
  </si>
  <si>
    <t>4-1-216</t>
  </si>
  <si>
    <t>23-01-020-04</t>
  </si>
  <si>
    <t>პლასტმასის გოფრირებული მილის მონტაჟი Ø500 მმ</t>
  </si>
  <si>
    <t>2-11-124</t>
  </si>
  <si>
    <t>პლასტმასის გოფრირებული მილი Ø500 მმ</t>
  </si>
  <si>
    <t>ამწე საავტომობილო სვლაზე 6.3 ტ-ანი</t>
  </si>
  <si>
    <t>14-1-086</t>
  </si>
  <si>
    <t>ჯალამბარი ხელის 1.2-1.5 ტ-ანი</t>
  </si>
  <si>
    <t>14-1-340</t>
  </si>
  <si>
    <t>ავტომობილი ბორტიანი 5 ტ-მდე</t>
  </si>
  <si>
    <t>23-1-1.</t>
  </si>
  <si>
    <t>6-26-4.</t>
  </si>
  <si>
    <t>23-23-1.</t>
  </si>
  <si>
    <t>4-1-123</t>
  </si>
  <si>
    <t>თუჯის ცხაურა ოთხკუთხედი ჩარჩოთი 70x70 სმ</t>
  </si>
  <si>
    <t>4-1-370</t>
  </si>
  <si>
    <t>ხსნარი წყობის, ცემენტის მ-100</t>
  </si>
  <si>
    <t>4-1-101</t>
  </si>
  <si>
    <t>რკინაბეტონის ანაკრები ჭის რგოლი Ø1000 მმ L-1000 მმ</t>
  </si>
  <si>
    <r>
      <rPr>
        <b/>
        <strike/>
        <sz val="10"/>
        <color rgb="FFFF0000"/>
        <rFont val="Arial"/>
        <family val="2"/>
        <charset val="204"/>
      </rPr>
      <t>თუჯის ცხაურის</t>
    </r>
    <r>
      <rPr>
        <sz val="10"/>
        <color theme="1"/>
        <rFont val="Arial"/>
        <family val="2"/>
        <charset val="204"/>
      </rPr>
      <t xml:space="preserve"> გადახურვის ფილის მონტაჟი</t>
    </r>
  </si>
  <si>
    <t>4-1-113</t>
  </si>
  <si>
    <t>გადახურვის ფილა თუჯის მრგვალი ხუფი-ცხაურით 1.0x1.0 მ</t>
  </si>
  <si>
    <t>კომპლ</t>
  </si>
  <si>
    <t>რკინაბეტონის ანაკრები ჭის რგოლის მონტაჟი Ø1000 მმ 4 ც</t>
  </si>
  <si>
    <t>15-ტრ15</t>
  </si>
  <si>
    <r>
      <t xml:space="preserve">1-29-6 </t>
    </r>
    <r>
      <rPr>
        <b/>
        <strike/>
        <sz val="10"/>
        <color rgb="FFFF0000"/>
        <rFont val="Arial"/>
        <family val="2"/>
        <charset val="204"/>
      </rPr>
      <t xml:space="preserve"> -10</t>
    </r>
  </si>
  <si>
    <t>СЦИР-82, გვ. 557, ცხრ. 17; პ. 7 ა კ=1.1;  პ. 15 კ=1.13</t>
  </si>
  <si>
    <t>პროექტის კოდი: FAL-BoQ</t>
  </si>
  <si>
    <t xml:space="preserve">ფასთა კრებული: 2018 წლის II კვარტალი </t>
  </si>
  <si>
    <t>ვალუტა: ლარი ₾</t>
  </si>
  <si>
    <t>შესრულების თარიღი: 13/06/2020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</si>
</sst>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9" fillId="0" borderId="0"/>
    <xf numFmtId="0" fontId="10" fillId="0" borderId="0"/>
    <xf numFmtId="43" fontId="7" fillId="0" borderId="0" applyFont="0" applyFill="0" applyBorder="0" applyAlignment="0" applyProtection="0"/>
    <xf numFmtId="0" fontId="11" fillId="0" borderId="0"/>
    <xf numFmtId="0" fontId="12" fillId="0" borderId="0"/>
    <xf numFmtId="164" fontId="7" fillId="0" borderId="0" applyFont="0" applyFill="0" applyBorder="0" applyAlignment="0" applyProtection="0"/>
    <xf numFmtId="0" fontId="12" fillId="0" borderId="0"/>
    <xf numFmtId="0" fontId="10" fillId="0" borderId="0"/>
  </cellStyleXfs>
  <cellXfs count="18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9" fontId="3" fillId="0" borderId="1" xfId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Fill="1"/>
    <xf numFmtId="1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 wrapText="1"/>
    </xf>
    <xf numFmtId="0" fontId="1" fillId="0" borderId="0" xfId="0" applyFont="1" applyBorder="1"/>
    <xf numFmtId="0" fontId="14" fillId="0" borderId="0" xfId="0" applyNumberFormat="1" applyFont="1" applyFill="1" applyBorder="1" applyAlignment="1">
      <alignment vertical="center"/>
    </xf>
    <xf numFmtId="0" fontId="1" fillId="3" borderId="0" xfId="0" applyFont="1" applyFill="1"/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" fontId="14" fillId="4" borderId="1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/>
    </xf>
    <xf numFmtId="166" fontId="10" fillId="0" borderId="1" xfId="9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4" fontId="10" fillId="4" borderId="1" xfId="3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left" vertical="center" wrapText="1"/>
    </xf>
    <xf numFmtId="4" fontId="10" fillId="4" borderId="1" xfId="2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166" fontId="10" fillId="4" borderId="1" xfId="2" applyNumberFormat="1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left" vertical="center" wrapText="1"/>
    </xf>
    <xf numFmtId="4" fontId="10" fillId="4" borderId="1" xfId="6" applyNumberFormat="1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center"/>
    </xf>
    <xf numFmtId="4" fontId="10" fillId="4" borderId="3" xfId="6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2" fontId="1" fillId="4" borderId="0" xfId="0" applyNumberFormat="1" applyFont="1" applyFill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2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3" borderId="0" xfId="0" applyFont="1" applyFill="1" applyBorder="1"/>
    <xf numFmtId="0" fontId="14" fillId="4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6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indent="1"/>
    </xf>
    <xf numFmtId="0" fontId="1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indent="1"/>
    </xf>
    <xf numFmtId="9" fontId="1" fillId="4" borderId="1" xfId="1" applyNumberFormat="1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df0e3fdb395e79/Projects/Absolute%20Service/1.%20&#4307;&#4304;&#4305;&#4304;%20&#4315;&#4308;&#4321;&#4322;&#4312;&#4304;/BoQ/&#4305;.&#4334;&#4308;&#4320;&#4306;&#4312;&#4304;&#4316;&#4312;&#4321;%20&#4325;&#4323;&#4329;&#4304;-Bo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J71">
            <v>27</v>
          </cell>
          <cell r="K7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2"/>
  <sheetViews>
    <sheetView view="pageBreakPreview" topLeftCell="A6" zoomScale="90" zoomScaleNormal="55" zoomScaleSheetLayoutView="90" workbookViewId="0">
      <selection activeCell="D11" sqref="D11:G37"/>
    </sheetView>
  </sheetViews>
  <sheetFormatPr defaultRowHeight="12.75"/>
  <cols>
    <col min="1" max="1" width="6.140625" style="55" customWidth="1"/>
    <col min="2" max="2" width="79" style="55" customWidth="1"/>
    <col min="3" max="3" width="9.7109375" style="55" customWidth="1"/>
    <col min="4" max="4" width="24.5703125" style="55" customWidth="1"/>
    <col min="5" max="7" width="23.140625" style="55" customWidth="1"/>
    <col min="8" max="10" width="20.7109375" style="52" customWidth="1"/>
    <col min="11" max="16384" width="9.140625" style="52"/>
  </cols>
  <sheetData>
    <row r="1" spans="1:7" s="41" customFormat="1">
      <c r="A1" s="141"/>
      <c r="B1" s="141" t="s">
        <v>513</v>
      </c>
      <c r="C1" s="139"/>
      <c r="D1" s="139"/>
      <c r="E1" s="139"/>
      <c r="F1" s="142" t="s">
        <v>18</v>
      </c>
      <c r="G1" s="143"/>
    </row>
    <row r="2" spans="1:7" s="41" customFormat="1">
      <c r="A2" s="157"/>
      <c r="B2" s="157"/>
      <c r="C2" s="139"/>
      <c r="D2" s="139"/>
      <c r="E2" s="139"/>
      <c r="F2" s="142" t="s">
        <v>59</v>
      </c>
      <c r="G2" s="143" t="s">
        <v>20</v>
      </c>
    </row>
    <row r="3" spans="1:7" s="41" customFormat="1">
      <c r="A3" s="157" t="s">
        <v>29</v>
      </c>
      <c r="B3" s="157"/>
      <c r="C3" s="139"/>
      <c r="D3" s="139"/>
      <c r="E3" s="139"/>
      <c r="F3" s="142" t="s">
        <v>19</v>
      </c>
      <c r="G3" s="143"/>
    </row>
    <row r="4" spans="1:7" s="139" customFormat="1">
      <c r="A4" s="155" t="s">
        <v>48</v>
      </c>
      <c r="B4" s="155"/>
      <c r="C4" s="155"/>
      <c r="D4" s="155"/>
      <c r="E4" s="155"/>
      <c r="F4" s="155"/>
      <c r="G4" s="155"/>
    </row>
    <row r="5" spans="1:7" s="55" customFormat="1">
      <c r="A5" s="101"/>
      <c r="B5" s="144"/>
      <c r="C5" s="144"/>
      <c r="D5" s="144"/>
      <c r="E5" s="144"/>
      <c r="F5" s="144"/>
      <c r="G5" s="144"/>
    </row>
    <row r="6" spans="1:7" s="55" customFormat="1">
      <c r="A6" s="156" t="s">
        <v>2</v>
      </c>
      <c r="B6" s="156" t="s">
        <v>3</v>
      </c>
      <c r="C6" s="156" t="s">
        <v>12</v>
      </c>
      <c r="D6" s="154" t="s">
        <v>49</v>
      </c>
      <c r="E6" s="154" t="s">
        <v>50</v>
      </c>
      <c r="F6" s="154" t="s">
        <v>51</v>
      </c>
      <c r="G6" s="154" t="s">
        <v>52</v>
      </c>
    </row>
    <row r="7" spans="1:7" s="55" customFormat="1">
      <c r="A7" s="156"/>
      <c r="B7" s="156"/>
      <c r="C7" s="156"/>
      <c r="D7" s="154"/>
      <c r="E7" s="154"/>
      <c r="F7" s="154"/>
      <c r="G7" s="154"/>
    </row>
    <row r="8" spans="1:7" s="55" customFormat="1">
      <c r="A8" s="156"/>
      <c r="B8" s="156"/>
      <c r="C8" s="156"/>
      <c r="D8" s="154"/>
      <c r="E8" s="154"/>
      <c r="F8" s="154"/>
      <c r="G8" s="154"/>
    </row>
    <row r="9" spans="1:7" s="55" customForma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</row>
    <row r="10" spans="1:7" s="55" customFormat="1">
      <c r="A10" s="44"/>
      <c r="B10" s="44"/>
      <c r="C10" s="44"/>
      <c r="D10" s="44"/>
      <c r="E10" s="44"/>
      <c r="F10" s="44"/>
      <c r="G10" s="44"/>
    </row>
    <row r="11" spans="1:7" s="55" customFormat="1">
      <c r="A11" s="145"/>
      <c r="B11" s="145" t="s">
        <v>53</v>
      </c>
      <c r="C11" s="145"/>
      <c r="D11" s="147"/>
      <c r="E11" s="147"/>
      <c r="F11" s="147"/>
      <c r="G11" s="147"/>
    </row>
    <row r="12" spans="1:7" s="55" customFormat="1">
      <c r="A12" s="146" t="s">
        <v>162</v>
      </c>
      <c r="B12" s="46" t="str">
        <f>'1-1'!C12</f>
        <v>მოსამზადებელი სამუშაოები</v>
      </c>
      <c r="C12" s="46"/>
      <c r="D12" s="148"/>
      <c r="E12" s="148"/>
      <c r="F12" s="148"/>
      <c r="G12" s="148"/>
    </row>
    <row r="13" spans="1:7" s="55" customFormat="1">
      <c r="A13" s="145"/>
      <c r="B13" s="145" t="s">
        <v>54</v>
      </c>
      <c r="C13" s="145"/>
      <c r="D13" s="147"/>
      <c r="E13" s="147"/>
      <c r="F13" s="147"/>
      <c r="G13" s="147"/>
    </row>
    <row r="14" spans="1:7" s="55" customFormat="1">
      <c r="A14" s="146" t="s">
        <v>175</v>
      </c>
      <c r="B14" s="46" t="str">
        <f>'2-1'!C7</f>
        <v>მიწის ვაკისი</v>
      </c>
      <c r="C14" s="46"/>
      <c r="D14" s="148"/>
      <c r="E14" s="148"/>
      <c r="F14" s="148"/>
      <c r="G14" s="148"/>
    </row>
    <row r="15" spans="1:7" s="55" customFormat="1">
      <c r="A15" s="145"/>
      <c r="B15" s="145" t="s">
        <v>55</v>
      </c>
      <c r="C15" s="145"/>
      <c r="D15" s="147"/>
      <c r="E15" s="147"/>
      <c r="F15" s="147"/>
      <c r="G15" s="147"/>
    </row>
    <row r="16" spans="1:7" s="55" customFormat="1">
      <c r="A16" s="146" t="s">
        <v>205</v>
      </c>
      <c r="B16" s="46" t="str">
        <f>'3-1'!C7</f>
        <v>რ/ბ კედლის მოწყობის სამუშაოები პკ 0+60 პკ 1+10 სკ2</v>
      </c>
      <c r="C16" s="46"/>
      <c r="D16" s="148"/>
      <c r="E16" s="148"/>
      <c r="F16" s="148"/>
      <c r="G16" s="148"/>
    </row>
    <row r="17" spans="1:7" s="55" customFormat="1">
      <c r="A17" s="146" t="s">
        <v>206</v>
      </c>
      <c r="B17" s="46" t="str">
        <f>'3-2'!C7</f>
        <v>ღობის მოწყობის სამუშაოები</v>
      </c>
      <c r="C17" s="46"/>
      <c r="D17" s="148"/>
      <c r="E17" s="148"/>
      <c r="F17" s="148"/>
      <c r="G17" s="148"/>
    </row>
    <row r="18" spans="1:7" s="55" customFormat="1">
      <c r="A18" s="146" t="s">
        <v>207</v>
      </c>
      <c r="B18" s="46" t="str">
        <f>'3-3'!C7</f>
        <v>სანიაღვრე ქსელის მოწყობა</v>
      </c>
      <c r="C18" s="46"/>
      <c r="D18" s="148"/>
      <c r="E18" s="148"/>
      <c r="F18" s="148"/>
      <c r="G18" s="148"/>
    </row>
    <row r="19" spans="1:7" s="55" customFormat="1">
      <c r="A19" s="145"/>
      <c r="B19" s="145" t="s">
        <v>56</v>
      </c>
      <c r="C19" s="145"/>
      <c r="D19" s="147"/>
      <c r="E19" s="147"/>
      <c r="F19" s="147"/>
      <c r="G19" s="147"/>
    </row>
    <row r="20" spans="1:7" s="55" customFormat="1">
      <c r="A20" s="146" t="s">
        <v>189</v>
      </c>
      <c r="B20" s="46" t="str">
        <f>'4-1'!C7</f>
        <v>საგზაო სამოსი ტიპი 1</v>
      </c>
      <c r="C20" s="46"/>
      <c r="D20" s="148"/>
      <c r="E20" s="148"/>
      <c r="F20" s="148"/>
      <c r="G20" s="148"/>
    </row>
    <row r="21" spans="1:7" s="55" customFormat="1">
      <c r="A21" s="146" t="s">
        <v>315</v>
      </c>
      <c r="B21" s="46" t="str">
        <f>'4-2'!C7</f>
        <v>საგზაო სამოსი ტიპი 2</v>
      </c>
      <c r="C21" s="46"/>
      <c r="D21" s="148"/>
      <c r="E21" s="148"/>
      <c r="F21" s="148"/>
      <c r="G21" s="148"/>
    </row>
    <row r="22" spans="1:7" s="55" customFormat="1">
      <c r="A22" s="145"/>
      <c r="B22" s="145" t="s">
        <v>57</v>
      </c>
      <c r="C22" s="145"/>
      <c r="D22" s="147"/>
      <c r="E22" s="147"/>
      <c r="F22" s="147"/>
      <c r="G22" s="147"/>
    </row>
    <row r="23" spans="1:7" s="55" customFormat="1">
      <c r="A23" s="146" t="s">
        <v>208</v>
      </c>
      <c r="B23" s="46" t="str">
        <f>'5-1'!C8</f>
        <v>მიერთებებისა და ადგილობრივი შესასვლელების მოწყობის სამუშაოები</v>
      </c>
      <c r="C23" s="46"/>
      <c r="D23" s="148"/>
      <c r="E23" s="148"/>
      <c r="F23" s="148"/>
      <c r="G23" s="148"/>
    </row>
    <row r="24" spans="1:7" s="55" customFormat="1">
      <c r="A24" s="146"/>
      <c r="B24" s="46"/>
      <c r="C24" s="46"/>
      <c r="D24" s="148"/>
      <c r="E24" s="148"/>
      <c r="F24" s="148"/>
      <c r="G24" s="148"/>
    </row>
    <row r="25" spans="1:7" s="153" customFormat="1">
      <c r="A25" s="44"/>
      <c r="B25" s="46" t="s">
        <v>4</v>
      </c>
      <c r="C25" s="44"/>
      <c r="D25" s="149"/>
      <c r="E25" s="149"/>
      <c r="F25" s="149"/>
      <c r="G25" s="149"/>
    </row>
    <row r="26" spans="1:7" s="55" customFormat="1">
      <c r="A26" s="69"/>
      <c r="B26" s="138"/>
      <c r="C26" s="84"/>
      <c r="D26" s="71"/>
      <c r="E26" s="71"/>
      <c r="F26" s="71"/>
      <c r="G26" s="71"/>
    </row>
    <row r="27" spans="1:7" s="55" customFormat="1">
      <c r="A27" s="69"/>
      <c r="B27" s="138" t="s">
        <v>10</v>
      </c>
      <c r="C27" s="84">
        <v>0.1</v>
      </c>
      <c r="D27" s="71"/>
      <c r="E27" s="71"/>
      <c r="F27" s="71"/>
      <c r="G27" s="71"/>
    </row>
    <row r="28" spans="1:7" s="55" customFormat="1">
      <c r="A28" s="69"/>
      <c r="B28" s="150" t="s">
        <v>4</v>
      </c>
      <c r="C28" s="84"/>
      <c r="D28" s="71"/>
      <c r="E28" s="71"/>
      <c r="F28" s="71"/>
      <c r="G28" s="71"/>
    </row>
    <row r="29" spans="1:7" s="55" customFormat="1">
      <c r="A29" s="69"/>
      <c r="B29" s="138" t="s">
        <v>11</v>
      </c>
      <c r="C29" s="84">
        <v>0.08</v>
      </c>
      <c r="D29" s="71"/>
      <c r="E29" s="71"/>
      <c r="F29" s="71"/>
      <c r="G29" s="71"/>
    </row>
    <row r="30" spans="1:7">
      <c r="A30" s="68"/>
      <c r="B30" s="150" t="s">
        <v>4</v>
      </c>
      <c r="C30" s="84"/>
      <c r="D30" s="71"/>
      <c r="E30" s="71"/>
      <c r="F30" s="71"/>
      <c r="G30" s="71"/>
    </row>
    <row r="31" spans="1:7">
      <c r="A31" s="94"/>
      <c r="B31" s="138" t="s">
        <v>26</v>
      </c>
      <c r="C31" s="151">
        <v>0.05</v>
      </c>
      <c r="D31" s="71"/>
      <c r="E31" s="71"/>
      <c r="F31" s="71"/>
      <c r="G31" s="71"/>
    </row>
    <row r="32" spans="1:7">
      <c r="A32" s="94"/>
      <c r="B32" s="150" t="s">
        <v>4</v>
      </c>
      <c r="C32" s="84"/>
      <c r="D32" s="71"/>
      <c r="E32" s="71"/>
      <c r="F32" s="71"/>
      <c r="G32" s="71"/>
    </row>
    <row r="33" spans="1:7">
      <c r="A33" s="94"/>
      <c r="B33" s="138" t="s">
        <v>27</v>
      </c>
      <c r="C33" s="151">
        <v>0.18</v>
      </c>
      <c r="D33" s="71"/>
      <c r="E33" s="71"/>
      <c r="F33" s="71"/>
      <c r="G33" s="71"/>
    </row>
    <row r="34" spans="1:7">
      <c r="A34" s="94"/>
      <c r="B34" s="138"/>
      <c r="C34" s="152"/>
      <c r="D34" s="71"/>
      <c r="E34" s="71"/>
      <c r="F34" s="71"/>
      <c r="G34" s="71"/>
    </row>
    <row r="35" spans="1:7">
      <c r="A35" s="66"/>
      <c r="B35" s="66" t="s">
        <v>4</v>
      </c>
      <c r="C35" s="66"/>
      <c r="D35" s="67"/>
      <c r="E35" s="67"/>
      <c r="F35" s="67"/>
      <c r="G35" s="67"/>
    </row>
    <row r="36" spans="1:7">
      <c r="B36" s="56"/>
      <c r="C36" s="57"/>
      <c r="D36" s="57"/>
      <c r="E36" s="57"/>
      <c r="F36" s="57"/>
      <c r="G36" s="57"/>
    </row>
    <row r="37" spans="1:7">
      <c r="B37" s="56"/>
      <c r="C37" s="57"/>
      <c r="D37" s="57"/>
      <c r="E37" s="57"/>
      <c r="F37" s="57"/>
      <c r="G37" s="57"/>
    </row>
    <row r="38" spans="1:7">
      <c r="B38" s="56"/>
      <c r="C38" s="57"/>
      <c r="D38" s="57"/>
      <c r="E38" s="57"/>
      <c r="F38" s="57"/>
      <c r="G38" s="57"/>
    </row>
    <row r="39" spans="1:7">
      <c r="B39" s="56"/>
      <c r="C39" s="57"/>
      <c r="D39" s="57"/>
      <c r="E39" s="57"/>
      <c r="F39" s="57"/>
      <c r="G39" s="57"/>
    </row>
    <row r="40" spans="1:7">
      <c r="B40" s="56"/>
      <c r="C40" s="57"/>
      <c r="D40" s="57"/>
      <c r="E40" s="57"/>
      <c r="F40" s="57"/>
      <c r="G40" s="57"/>
    </row>
    <row r="41" spans="1:7">
      <c r="B41" s="56"/>
      <c r="C41" s="57"/>
      <c r="D41" s="57"/>
      <c r="E41" s="57"/>
      <c r="F41" s="57"/>
      <c r="G41" s="57"/>
    </row>
    <row r="42" spans="1:7">
      <c r="B42" s="56"/>
      <c r="C42" s="57"/>
      <c r="D42" s="57"/>
      <c r="E42" s="57"/>
      <c r="F42" s="57"/>
      <c r="G42" s="57"/>
    </row>
    <row r="43" spans="1:7">
      <c r="B43" s="56"/>
      <c r="C43" s="57"/>
      <c r="D43" s="57"/>
      <c r="E43" s="57"/>
      <c r="F43" s="57"/>
      <c r="G43" s="57"/>
    </row>
    <row r="44" spans="1:7">
      <c r="B44" s="56"/>
      <c r="C44" s="57"/>
      <c r="D44" s="57"/>
      <c r="E44" s="57"/>
      <c r="F44" s="57"/>
      <c r="G44" s="57"/>
    </row>
    <row r="45" spans="1:7">
      <c r="B45" s="56"/>
      <c r="C45" s="57"/>
      <c r="D45" s="57"/>
      <c r="E45" s="57"/>
      <c r="F45" s="57"/>
      <c r="G45" s="57"/>
    </row>
    <row r="46" spans="1:7">
      <c r="B46" s="56"/>
      <c r="C46" s="57"/>
      <c r="D46" s="57"/>
      <c r="E46" s="57"/>
      <c r="F46" s="57"/>
      <c r="G46" s="57"/>
    </row>
    <row r="47" spans="1:7">
      <c r="B47" s="56"/>
      <c r="C47" s="57"/>
      <c r="D47" s="57"/>
      <c r="E47" s="57"/>
      <c r="F47" s="57"/>
      <c r="G47" s="57"/>
    </row>
    <row r="48" spans="1:7">
      <c r="B48" s="56"/>
      <c r="C48" s="57"/>
      <c r="D48" s="57"/>
      <c r="E48" s="57"/>
      <c r="F48" s="57"/>
      <c r="G48" s="57"/>
    </row>
    <row r="49" spans="2:7">
      <c r="B49" s="56"/>
      <c r="C49" s="57"/>
      <c r="D49" s="57"/>
      <c r="E49" s="57"/>
      <c r="F49" s="57"/>
      <c r="G49" s="57"/>
    </row>
    <row r="50" spans="2:7">
      <c r="B50" s="56"/>
      <c r="C50" s="57"/>
      <c r="D50" s="57"/>
      <c r="E50" s="57"/>
      <c r="F50" s="57"/>
      <c r="G50" s="57"/>
    </row>
    <row r="51" spans="2:7">
      <c r="B51" s="56"/>
      <c r="C51" s="57"/>
      <c r="D51" s="57"/>
      <c r="E51" s="57"/>
      <c r="F51" s="57"/>
      <c r="G51" s="57"/>
    </row>
    <row r="52" spans="2:7">
      <c r="B52" s="56"/>
      <c r="C52" s="57"/>
      <c r="D52" s="57"/>
      <c r="E52" s="57"/>
      <c r="F52" s="57"/>
      <c r="G52" s="57"/>
    </row>
    <row r="53" spans="2:7">
      <c r="B53" s="56"/>
      <c r="C53" s="57"/>
      <c r="D53" s="57"/>
      <c r="E53" s="57"/>
      <c r="F53" s="57"/>
      <c r="G53" s="57"/>
    </row>
    <row r="54" spans="2:7">
      <c r="B54" s="56"/>
      <c r="C54" s="57"/>
      <c r="D54" s="57"/>
      <c r="E54" s="57"/>
      <c r="F54" s="57"/>
      <c r="G54" s="57"/>
    </row>
    <row r="55" spans="2:7">
      <c r="B55" s="56"/>
      <c r="C55" s="57"/>
      <c r="D55" s="57"/>
      <c r="E55" s="57"/>
      <c r="F55" s="57"/>
      <c r="G55" s="57"/>
    </row>
    <row r="56" spans="2:7">
      <c r="B56" s="56"/>
      <c r="C56" s="57"/>
      <c r="D56" s="57"/>
      <c r="E56" s="57"/>
      <c r="F56" s="57"/>
      <c r="G56" s="57"/>
    </row>
    <row r="57" spans="2:7">
      <c r="B57" s="56"/>
      <c r="C57" s="57"/>
      <c r="D57" s="57"/>
      <c r="E57" s="57"/>
      <c r="F57" s="57"/>
      <c r="G57" s="57"/>
    </row>
    <row r="58" spans="2:7">
      <c r="B58" s="56"/>
      <c r="C58" s="57"/>
      <c r="D58" s="57"/>
      <c r="E58" s="57"/>
      <c r="F58" s="57"/>
      <c r="G58" s="57"/>
    </row>
    <row r="59" spans="2:7">
      <c r="B59" s="56"/>
      <c r="C59" s="57"/>
      <c r="D59" s="57"/>
      <c r="E59" s="57"/>
      <c r="F59" s="57"/>
      <c r="G59" s="57"/>
    </row>
    <row r="60" spans="2:7">
      <c r="B60" s="56"/>
      <c r="C60" s="57"/>
      <c r="D60" s="57"/>
      <c r="E60" s="57"/>
      <c r="F60" s="57"/>
      <c r="G60" s="57"/>
    </row>
    <row r="61" spans="2:7">
      <c r="B61" s="56"/>
      <c r="C61" s="57"/>
      <c r="D61" s="57"/>
      <c r="E61" s="57"/>
      <c r="F61" s="57"/>
      <c r="G61" s="57"/>
    </row>
    <row r="62" spans="2:7">
      <c r="B62" s="56"/>
      <c r="C62" s="57"/>
      <c r="D62" s="57"/>
      <c r="E62" s="57"/>
      <c r="F62" s="57"/>
      <c r="G62" s="57"/>
    </row>
    <row r="63" spans="2:7">
      <c r="B63" s="56"/>
      <c r="C63" s="57"/>
      <c r="D63" s="57"/>
      <c r="E63" s="57"/>
      <c r="F63" s="57"/>
      <c r="G63" s="57"/>
    </row>
    <row r="64" spans="2:7">
      <c r="B64" s="56"/>
      <c r="C64" s="57"/>
      <c r="D64" s="57"/>
      <c r="E64" s="57"/>
      <c r="F64" s="57"/>
      <c r="G64" s="57"/>
    </row>
    <row r="65" spans="2:7">
      <c r="B65" s="56"/>
      <c r="C65" s="57"/>
      <c r="D65" s="57"/>
      <c r="E65" s="57"/>
      <c r="F65" s="57"/>
      <c r="G65" s="57"/>
    </row>
    <row r="66" spans="2:7">
      <c r="B66" s="56"/>
      <c r="C66" s="57"/>
      <c r="D66" s="57"/>
      <c r="E66" s="57"/>
      <c r="F66" s="57"/>
      <c r="G66" s="57"/>
    </row>
    <row r="67" spans="2:7">
      <c r="B67" s="56"/>
      <c r="C67" s="57"/>
      <c r="D67" s="57"/>
      <c r="E67" s="57"/>
      <c r="F67" s="57"/>
      <c r="G67" s="57"/>
    </row>
    <row r="68" spans="2:7">
      <c r="B68" s="56"/>
      <c r="C68" s="57"/>
      <c r="D68" s="57"/>
      <c r="E68" s="57"/>
      <c r="F68" s="57"/>
      <c r="G68" s="57"/>
    </row>
    <row r="69" spans="2:7">
      <c r="B69" s="56"/>
      <c r="C69" s="57"/>
      <c r="D69" s="57"/>
      <c r="E69" s="57"/>
      <c r="F69" s="57"/>
      <c r="G69" s="57"/>
    </row>
    <row r="70" spans="2:7">
      <c r="B70" s="56"/>
      <c r="C70" s="56"/>
      <c r="D70" s="56"/>
      <c r="E70" s="56"/>
      <c r="F70" s="56"/>
      <c r="G70" s="56"/>
    </row>
    <row r="71" spans="2:7">
      <c r="B71" s="56"/>
      <c r="C71" s="56"/>
      <c r="D71" s="56"/>
      <c r="E71" s="56"/>
      <c r="F71" s="56"/>
      <c r="G71" s="56"/>
    </row>
    <row r="72" spans="2:7">
      <c r="B72" s="56"/>
      <c r="C72" s="56"/>
      <c r="D72" s="56"/>
      <c r="E72" s="56"/>
      <c r="F72" s="56"/>
      <c r="G72" s="56"/>
    </row>
    <row r="73" spans="2:7">
      <c r="B73" s="56"/>
      <c r="C73" s="56"/>
      <c r="D73" s="56"/>
      <c r="E73" s="56"/>
      <c r="F73" s="56"/>
      <c r="G73" s="56"/>
    </row>
    <row r="74" spans="2:7">
      <c r="B74" s="56"/>
      <c r="C74" s="56"/>
      <c r="D74" s="56"/>
      <c r="E74" s="56"/>
      <c r="F74" s="56"/>
      <c r="G74" s="56"/>
    </row>
    <row r="75" spans="2:7">
      <c r="B75" s="56"/>
      <c r="C75" s="56"/>
      <c r="D75" s="56"/>
      <c r="E75" s="56"/>
      <c r="F75" s="56"/>
      <c r="G75" s="56"/>
    </row>
    <row r="76" spans="2:7">
      <c r="B76" s="56"/>
      <c r="C76" s="56"/>
      <c r="D76" s="56"/>
      <c r="E76" s="56"/>
      <c r="F76" s="56"/>
      <c r="G76" s="56"/>
    </row>
    <row r="77" spans="2:7">
      <c r="B77" s="56"/>
      <c r="C77" s="56"/>
      <c r="D77" s="56"/>
      <c r="E77" s="56"/>
      <c r="F77" s="56"/>
      <c r="G77" s="56"/>
    </row>
    <row r="78" spans="2:7">
      <c r="B78" s="56"/>
      <c r="C78" s="56"/>
      <c r="D78" s="56"/>
      <c r="E78" s="56"/>
      <c r="F78" s="56"/>
      <c r="G78" s="56"/>
    </row>
    <row r="79" spans="2:7">
      <c r="B79" s="56"/>
      <c r="C79" s="56"/>
      <c r="D79" s="56"/>
      <c r="E79" s="56"/>
      <c r="F79" s="56"/>
      <c r="G79" s="56"/>
    </row>
    <row r="80" spans="2:7">
      <c r="B80" s="56"/>
      <c r="C80" s="56"/>
      <c r="D80" s="56"/>
      <c r="E80" s="56"/>
      <c r="F80" s="56"/>
      <c r="G80" s="56"/>
    </row>
    <row r="81" spans="2:7">
      <c r="B81" s="56"/>
      <c r="C81" s="56"/>
      <c r="D81" s="56"/>
      <c r="E81" s="56"/>
      <c r="F81" s="56"/>
      <c r="G81" s="56"/>
    </row>
    <row r="82" spans="2:7">
      <c r="B82" s="56"/>
      <c r="C82" s="56"/>
      <c r="D82" s="56"/>
      <c r="E82" s="56"/>
      <c r="F82" s="56"/>
      <c r="G82" s="56"/>
    </row>
  </sheetData>
  <mergeCells count="10">
    <mergeCell ref="A2:B2"/>
    <mergeCell ref="A3:B3"/>
    <mergeCell ref="G6:G8"/>
    <mergeCell ref="A4:G4"/>
    <mergeCell ref="A6:A8"/>
    <mergeCell ref="B6:B8"/>
    <mergeCell ref="C6:C8"/>
    <mergeCell ref="D6:D8"/>
    <mergeCell ref="E6:E8"/>
    <mergeCell ref="F6:F8"/>
  </mergeCells>
  <pageMargins left="0.39370078740157483" right="0.39370078740157483" top="0.78740157480314965" bottom="0.39370078740157483" header="0.31496062992125984" footer="0.31496062992125984"/>
  <pageSetup paperSize="9" scale="4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60" zoomScaleNormal="55" workbookViewId="0">
      <selection activeCell="A14" sqref="A1:D1048576"/>
    </sheetView>
  </sheetViews>
  <sheetFormatPr defaultRowHeight="15"/>
  <cols>
    <col min="1" max="1" width="15.7109375" style="5" customWidth="1"/>
    <col min="2" max="2" width="200.7109375" style="5" customWidth="1"/>
    <col min="3" max="3" width="9.7109375" style="5" customWidth="1"/>
    <col min="4" max="4" width="34.7109375" style="5" customWidth="1"/>
    <col min="5" max="7" width="20.7109375" customWidth="1"/>
  </cols>
  <sheetData>
    <row r="1" spans="1:4">
      <c r="A1" s="32"/>
      <c r="B1" s="32"/>
      <c r="C1" s="11"/>
      <c r="D1" s="11"/>
    </row>
    <row r="2" spans="1:4">
      <c r="A2" s="32"/>
      <c r="B2" s="32"/>
      <c r="C2" s="11"/>
      <c r="D2" s="11"/>
    </row>
    <row r="3" spans="1:4" ht="15" customHeight="1">
      <c r="A3" s="33">
        <f>სატენდერო!A3</f>
        <v>0</v>
      </c>
      <c r="B3" s="33"/>
      <c r="C3" s="11"/>
      <c r="D3" s="164"/>
    </row>
    <row r="4" spans="1:4" ht="15" customHeight="1">
      <c r="A4" s="33"/>
      <c r="B4" s="33"/>
      <c r="C4" s="11"/>
      <c r="D4" s="164"/>
    </row>
    <row r="5" spans="1:4" ht="15" customHeight="1">
      <c r="A5" s="33" t="s">
        <v>28</v>
      </c>
      <c r="B5" s="33"/>
      <c r="C5" s="11"/>
      <c r="D5" s="164"/>
    </row>
    <row r="6" spans="1:4" ht="15" customHeight="1">
      <c r="A6" s="33"/>
      <c r="B6" s="33"/>
      <c r="C6" s="11"/>
      <c r="D6" s="164"/>
    </row>
    <row r="7" spans="1:4" ht="15" customHeight="1">
      <c r="A7" s="33">
        <f>სატენდერო!A7</f>
        <v>0</v>
      </c>
      <c r="B7" s="33"/>
      <c r="C7" s="11"/>
      <c r="D7" s="164"/>
    </row>
    <row r="8" spans="1:4" ht="15" customHeight="1">
      <c r="A8" s="33"/>
      <c r="B8" s="33"/>
      <c r="C8" s="11"/>
      <c r="D8" s="164"/>
    </row>
    <row r="9" spans="1:4" ht="15" customHeight="1">
      <c r="A9" s="33" t="s">
        <v>29</v>
      </c>
      <c r="B9" s="33"/>
      <c r="C9" s="11"/>
      <c r="D9" s="164"/>
    </row>
    <row r="10" spans="1:4" ht="15" customHeight="1">
      <c r="A10" s="33"/>
      <c r="B10" s="33"/>
      <c r="C10" s="12"/>
      <c r="D10" s="164"/>
    </row>
    <row r="11" spans="1:4" ht="15" customHeight="1">
      <c r="A11" s="164"/>
      <c r="B11" s="164"/>
      <c r="C11" s="11"/>
      <c r="D11" s="164"/>
    </row>
    <row r="12" spans="1:4" ht="15" customHeight="1">
      <c r="A12" s="164"/>
      <c r="B12" s="164"/>
      <c r="C12" s="11"/>
      <c r="D12" s="164"/>
    </row>
    <row r="13" spans="1:4" s="7" customFormat="1" ht="80.099999999999994" customHeight="1">
      <c r="A13" s="167" t="s">
        <v>48</v>
      </c>
      <c r="B13" s="168"/>
      <c r="C13" s="168"/>
      <c r="D13" s="168"/>
    </row>
    <row r="14" spans="1:4" s="7" customFormat="1" ht="39.950000000000003" customHeight="1">
      <c r="A14" s="169" t="s">
        <v>2</v>
      </c>
      <c r="B14" s="169" t="s">
        <v>3</v>
      </c>
      <c r="C14" s="169" t="s">
        <v>12</v>
      </c>
      <c r="D14" s="170" t="s">
        <v>52</v>
      </c>
    </row>
    <row r="15" spans="1:4" s="7" customFormat="1" ht="39.950000000000003" customHeight="1">
      <c r="A15" s="169"/>
      <c r="B15" s="169"/>
      <c r="C15" s="169"/>
      <c r="D15" s="170"/>
    </row>
    <row r="16" spans="1:4" s="7" customFormat="1" ht="39.950000000000003" customHeight="1">
      <c r="A16" s="169"/>
      <c r="B16" s="169"/>
      <c r="C16" s="169"/>
      <c r="D16" s="170"/>
    </row>
    <row r="17" spans="1:4" s="7" customFormat="1" ht="39.950000000000003" customHeight="1">
      <c r="A17" s="13">
        <v>1</v>
      </c>
      <c r="B17" s="13">
        <v>2</v>
      </c>
      <c r="C17" s="13">
        <v>3</v>
      </c>
      <c r="D17" s="13">
        <v>4</v>
      </c>
    </row>
    <row r="18" spans="1:4" s="6" customFormat="1" ht="39.950000000000003" customHeight="1">
      <c r="A18" s="165" t="s">
        <v>53</v>
      </c>
      <c r="B18" s="166"/>
      <c r="C18" s="166"/>
      <c r="D18" s="166"/>
    </row>
    <row r="19" spans="1:4" s="6" customFormat="1" ht="39.950000000000003" customHeight="1">
      <c r="A19" s="14" t="s">
        <v>162</v>
      </c>
      <c r="B19" s="15" t="str">
        <f>სატენდერო!B20</f>
        <v>მოსამზადებელი სამუშაოები</v>
      </c>
      <c r="C19" s="15"/>
      <c r="D19" s="16">
        <f>სატენდერო!H26</f>
        <v>0</v>
      </c>
    </row>
    <row r="20" spans="1:4" s="6" customFormat="1" ht="39.950000000000003" customHeight="1">
      <c r="A20" s="165" t="s">
        <v>54</v>
      </c>
      <c r="B20" s="166"/>
      <c r="C20" s="166"/>
      <c r="D20" s="166"/>
    </row>
    <row r="21" spans="1:4" s="6" customFormat="1" ht="39.950000000000003" customHeight="1">
      <c r="A21" s="14" t="s">
        <v>175</v>
      </c>
      <c r="B21" s="15" t="str">
        <f>სატენდერო!B27</f>
        <v>მიწის ვაკისი</v>
      </c>
      <c r="C21" s="15"/>
      <c r="D21" s="16">
        <f>სატენდერო!H39</f>
        <v>0</v>
      </c>
    </row>
    <row r="22" spans="1:4" s="6" customFormat="1" ht="39.950000000000003" customHeight="1">
      <c r="A22" s="165" t="s">
        <v>55</v>
      </c>
      <c r="B22" s="166"/>
      <c r="C22" s="166"/>
      <c r="D22" s="166"/>
    </row>
    <row r="23" spans="1:4" s="6" customFormat="1" ht="39.950000000000003" customHeight="1">
      <c r="A23" s="14" t="s">
        <v>205</v>
      </c>
      <c r="B23" s="15" t="str">
        <f>სატენდერო!B40</f>
        <v>რ/ბ კედლის მოწყობის სამუშაოები პკ 0+60 პკ 1+10 სკ2</v>
      </c>
      <c r="C23" s="15"/>
      <c r="D23" s="16" t="e">
        <f>სატენდერო!H64</f>
        <v>#REF!</v>
      </c>
    </row>
    <row r="24" spans="1:4" s="6" customFormat="1" ht="39.950000000000003" customHeight="1">
      <c r="A24" s="14" t="s">
        <v>206</v>
      </c>
      <c r="B24" s="15" t="str">
        <f>სატენდერო!B65</f>
        <v>ღობის მოწყობის სამუშაოები</v>
      </c>
      <c r="C24" s="15"/>
      <c r="D24" s="16">
        <f>სატენდერო!H84</f>
        <v>0</v>
      </c>
    </row>
    <row r="25" spans="1:4" s="6" customFormat="1" ht="39.950000000000003" customHeight="1">
      <c r="A25" s="14" t="s">
        <v>207</v>
      </c>
      <c r="B25" s="15" t="str">
        <f>სატენდერო!B85</f>
        <v>სანიაღვრე ქსელის მოწყობა</v>
      </c>
      <c r="C25" s="15"/>
      <c r="D25" s="16" t="e">
        <f>სატენდერო!H99</f>
        <v>#REF!</v>
      </c>
    </row>
    <row r="26" spans="1:4" s="6" customFormat="1" ht="39.950000000000003" customHeight="1">
      <c r="A26" s="165" t="s">
        <v>56</v>
      </c>
      <c r="B26" s="166"/>
      <c r="C26" s="166"/>
      <c r="D26" s="166"/>
    </row>
    <row r="27" spans="1:4" s="6" customFormat="1" ht="39.950000000000003" customHeight="1">
      <c r="A27" s="14" t="s">
        <v>189</v>
      </c>
      <c r="B27" s="15" t="str">
        <f>სატენდერო!B100</f>
        <v>საგზაო სამოსი ტიპი 1</v>
      </c>
      <c r="C27" s="15"/>
      <c r="D27" s="16" t="e">
        <f>სატენდერო!H111</f>
        <v>#REF!</v>
      </c>
    </row>
    <row r="28" spans="1:4" s="6" customFormat="1" ht="39.950000000000003" customHeight="1">
      <c r="A28" s="14" t="s">
        <v>315</v>
      </c>
      <c r="B28" s="15" t="str">
        <f>სატენდერო!B112</f>
        <v>საგზაო სამოსი ტიპი 2</v>
      </c>
      <c r="C28" s="15"/>
      <c r="D28" s="16">
        <f>სატენდერო!H123</f>
        <v>0</v>
      </c>
    </row>
    <row r="29" spans="1:4" s="6" customFormat="1" ht="39.950000000000003" customHeight="1">
      <c r="A29" s="165" t="s">
        <v>57</v>
      </c>
      <c r="B29" s="166"/>
      <c r="C29" s="166"/>
      <c r="D29" s="166"/>
    </row>
    <row r="30" spans="1:4" s="6" customFormat="1" ht="39.950000000000003" customHeight="1">
      <c r="A30" s="14" t="s">
        <v>208</v>
      </c>
      <c r="B30" s="15" t="str">
        <f>სატენდერო!B124</f>
        <v>მიერთებებისა და ადგილობრივი შესასვლელების მოწყობის სამუშაოები</v>
      </c>
      <c r="C30" s="15"/>
      <c r="D30" s="16">
        <f>სატენდერო!H137</f>
        <v>0</v>
      </c>
    </row>
    <row r="31" spans="1:4" s="7" customFormat="1" ht="39.950000000000003" customHeight="1">
      <c r="A31" s="13"/>
      <c r="B31" s="15" t="s">
        <v>4</v>
      </c>
      <c r="C31" s="1"/>
      <c r="D31" s="3" t="e">
        <f>ROUND(D19+D23+D21+D27+D28+D24+D25+D30,2)</f>
        <v>#REF!</v>
      </c>
    </row>
    <row r="32" spans="1:4" s="7" customFormat="1" ht="39.950000000000003" customHeight="1">
      <c r="A32" s="17"/>
      <c r="B32" s="13" t="s">
        <v>26</v>
      </c>
      <c r="C32" s="18">
        <v>0.05</v>
      </c>
      <c r="D32" s="1" t="e">
        <f>ROUND(D31*C32,2)</f>
        <v>#REF!</v>
      </c>
    </row>
    <row r="33" spans="1:4" s="7" customFormat="1" ht="39.950000000000003" customHeight="1">
      <c r="A33" s="17"/>
      <c r="B33" s="13" t="s">
        <v>4</v>
      </c>
      <c r="C33" s="13"/>
      <c r="D33" s="3" t="e">
        <f>ROUND(SUM(D31:D32),2)</f>
        <v>#REF!</v>
      </c>
    </row>
    <row r="34" spans="1:4" s="7" customFormat="1" ht="39.950000000000003" customHeight="1">
      <c r="A34" s="17"/>
      <c r="B34" s="13" t="s">
        <v>27</v>
      </c>
      <c r="C34" s="18">
        <v>0.18</v>
      </c>
      <c r="D34" s="3" t="e">
        <f>ROUND(D33*C34,2)</f>
        <v>#REF!</v>
      </c>
    </row>
    <row r="35" spans="1:4" s="7" customFormat="1" ht="39.950000000000003" customHeight="1">
      <c r="A35" s="17"/>
      <c r="B35" s="13" t="s">
        <v>4</v>
      </c>
      <c r="C35" s="13"/>
      <c r="D35" s="19" t="e">
        <f>ROUND(SUM(D33:D34),2)</f>
        <v>#REF!</v>
      </c>
    </row>
    <row r="36" spans="1:4" ht="39.950000000000003" customHeight="1">
      <c r="A36" s="20"/>
      <c r="B36" s="21"/>
      <c r="C36" s="22"/>
      <c r="D36" s="22"/>
    </row>
    <row r="37" spans="1:4" ht="39.950000000000003" customHeight="1">
      <c r="A37" s="20"/>
      <c r="B37" s="21"/>
      <c r="C37" s="22"/>
      <c r="D37" s="28"/>
    </row>
    <row r="38" spans="1:4" ht="39.950000000000003" customHeight="1">
      <c r="A38" s="20"/>
      <c r="B38" s="21"/>
      <c r="C38" s="22"/>
      <c r="D38" s="22"/>
    </row>
    <row r="39" spans="1:4" ht="39.950000000000003" customHeight="1">
      <c r="A39" s="20"/>
      <c r="B39" s="21"/>
      <c r="C39" s="22"/>
      <c r="D39" s="22"/>
    </row>
    <row r="40" spans="1:4" ht="39.950000000000003" customHeight="1">
      <c r="A40" s="20"/>
      <c r="B40" s="21"/>
      <c r="C40" s="22"/>
      <c r="D40" s="22"/>
    </row>
    <row r="41" spans="1:4" ht="39.950000000000003" customHeight="1">
      <c r="A41" s="20"/>
      <c r="B41" s="21"/>
      <c r="C41" s="22"/>
      <c r="D41" s="22"/>
    </row>
    <row r="42" spans="1:4" ht="39.950000000000003" customHeight="1">
      <c r="A42" s="20"/>
      <c r="B42" s="21"/>
      <c r="C42" s="22"/>
      <c r="D42" s="22"/>
    </row>
    <row r="43" spans="1:4" ht="39.950000000000003" customHeight="1">
      <c r="A43" s="20"/>
      <c r="B43" s="21"/>
      <c r="C43" s="22"/>
      <c r="D43" s="22"/>
    </row>
    <row r="44" spans="1:4" ht="39.950000000000003" customHeight="1">
      <c r="A44" s="20"/>
      <c r="B44" s="21"/>
      <c r="C44" s="22"/>
      <c r="D44" s="22"/>
    </row>
    <row r="45" spans="1:4" ht="39.950000000000003" customHeight="1">
      <c r="A45" s="20"/>
      <c r="B45" s="21"/>
      <c r="C45" s="22"/>
      <c r="D45" s="22"/>
    </row>
    <row r="46" spans="1:4" ht="39.950000000000003" customHeight="1">
      <c r="A46" s="20"/>
      <c r="B46" s="21"/>
      <c r="C46" s="22"/>
      <c r="D46" s="22"/>
    </row>
    <row r="47" spans="1:4" ht="39.950000000000003" customHeight="1">
      <c r="A47" s="20"/>
      <c r="B47" s="21"/>
      <c r="C47" s="22"/>
      <c r="D47" s="22"/>
    </row>
    <row r="48" spans="1:4" ht="39.950000000000003" customHeight="1">
      <c r="A48" s="20"/>
      <c r="B48" s="21"/>
      <c r="C48" s="22"/>
      <c r="D48" s="22"/>
    </row>
    <row r="49" spans="1:4" ht="39.950000000000003" customHeight="1">
      <c r="A49" s="20"/>
      <c r="B49" s="21"/>
      <c r="C49" s="22"/>
      <c r="D49" s="22"/>
    </row>
    <row r="50" spans="1:4" ht="39.950000000000003" customHeight="1">
      <c r="A50" s="20"/>
      <c r="B50" s="21"/>
      <c r="C50" s="22"/>
      <c r="D50" s="22"/>
    </row>
    <row r="51" spans="1:4" ht="39.950000000000003" customHeight="1">
      <c r="A51" s="20"/>
      <c r="B51" s="21"/>
      <c r="C51" s="22"/>
      <c r="D51" s="22"/>
    </row>
    <row r="52" spans="1:4" ht="39.950000000000003" customHeight="1">
      <c r="A52" s="20"/>
      <c r="B52" s="21"/>
      <c r="C52" s="22"/>
      <c r="D52" s="22"/>
    </row>
    <row r="53" spans="1:4" ht="39.950000000000003" customHeight="1">
      <c r="A53" s="20"/>
      <c r="B53" s="21"/>
      <c r="C53" s="22"/>
      <c r="D53" s="22"/>
    </row>
    <row r="54" spans="1:4" ht="39.950000000000003" customHeight="1">
      <c r="A54" s="20"/>
      <c r="B54" s="21"/>
      <c r="C54" s="22"/>
      <c r="D54" s="22"/>
    </row>
    <row r="55" spans="1:4" ht="39.950000000000003" customHeight="1">
      <c r="A55" s="20"/>
      <c r="B55" s="21"/>
      <c r="C55" s="22"/>
      <c r="D55" s="22"/>
    </row>
    <row r="56" spans="1:4" ht="39.950000000000003" customHeight="1">
      <c r="A56" s="20"/>
      <c r="B56" s="21"/>
      <c r="C56" s="22"/>
      <c r="D56" s="22"/>
    </row>
    <row r="57" spans="1:4" ht="39.950000000000003" customHeight="1">
      <c r="A57" s="20"/>
      <c r="B57" s="21"/>
      <c r="C57" s="22"/>
      <c r="D57" s="22"/>
    </row>
    <row r="58" spans="1:4" ht="39.950000000000003" customHeight="1">
      <c r="A58" s="20"/>
      <c r="B58" s="21"/>
      <c r="C58" s="22"/>
      <c r="D58" s="22"/>
    </row>
    <row r="59" spans="1:4" ht="39.950000000000003" customHeight="1">
      <c r="A59" s="20"/>
      <c r="B59" s="21"/>
      <c r="C59" s="22"/>
      <c r="D59" s="22"/>
    </row>
    <row r="60" spans="1:4" ht="39.950000000000003" customHeight="1">
      <c r="A60" s="20"/>
      <c r="B60" s="21"/>
      <c r="C60" s="22"/>
      <c r="D60" s="22"/>
    </row>
    <row r="61" spans="1:4" ht="39.950000000000003" customHeight="1">
      <c r="A61" s="20"/>
      <c r="B61" s="21"/>
      <c r="C61" s="22"/>
      <c r="D61" s="22"/>
    </row>
    <row r="62" spans="1:4" ht="39.950000000000003" customHeight="1">
      <c r="A62" s="20"/>
      <c r="B62" s="21"/>
      <c r="C62" s="22"/>
      <c r="D62" s="22"/>
    </row>
    <row r="63" spans="1:4" ht="39.950000000000003" customHeight="1">
      <c r="A63" s="20"/>
      <c r="B63" s="21"/>
      <c r="C63" s="22"/>
      <c r="D63" s="22"/>
    </row>
    <row r="64" spans="1:4" ht="39.950000000000003" customHeight="1">
      <c r="A64" s="20"/>
      <c r="B64" s="21"/>
      <c r="C64" s="22"/>
      <c r="D64" s="22"/>
    </row>
    <row r="65" spans="1:4" ht="39.950000000000003" customHeight="1">
      <c r="A65" s="20"/>
      <c r="B65" s="21"/>
      <c r="C65" s="22"/>
      <c r="D65" s="22"/>
    </row>
    <row r="66" spans="1:4" ht="39.950000000000003" customHeight="1">
      <c r="A66" s="20"/>
      <c r="B66" s="21"/>
      <c r="C66" s="22"/>
      <c r="D66" s="22"/>
    </row>
    <row r="67" spans="1:4" ht="39.950000000000003" customHeight="1">
      <c r="A67" s="20"/>
      <c r="B67" s="21"/>
      <c r="C67" s="22"/>
      <c r="D67" s="22"/>
    </row>
    <row r="68" spans="1:4" ht="39.950000000000003" customHeight="1">
      <c r="A68" s="20"/>
      <c r="B68" s="21"/>
      <c r="C68" s="22"/>
      <c r="D68" s="22"/>
    </row>
    <row r="69" spans="1:4" ht="39.950000000000003" customHeight="1">
      <c r="A69" s="20"/>
      <c r="B69" s="21"/>
      <c r="C69" s="22"/>
      <c r="D69" s="22"/>
    </row>
    <row r="70" spans="1:4" ht="39.950000000000003" customHeight="1">
      <c r="A70" s="20"/>
      <c r="B70" s="21"/>
      <c r="C70" s="22"/>
      <c r="D70" s="22"/>
    </row>
    <row r="71" spans="1:4" ht="39.950000000000003" customHeight="1">
      <c r="A71" s="20"/>
      <c r="B71" s="21"/>
      <c r="C71" s="22"/>
      <c r="D71" s="22"/>
    </row>
    <row r="72" spans="1:4">
      <c r="B72" s="23"/>
      <c r="C72" s="24"/>
      <c r="D72" s="24"/>
    </row>
    <row r="73" spans="1:4">
      <c r="B73" s="23"/>
      <c r="C73" s="24"/>
      <c r="D73" s="24"/>
    </row>
    <row r="74" spans="1:4">
      <c r="B74" s="23"/>
      <c r="C74" s="24"/>
      <c r="D74" s="24"/>
    </row>
    <row r="75" spans="1:4">
      <c r="B75" s="23"/>
      <c r="C75" s="24"/>
      <c r="D75" s="24"/>
    </row>
    <row r="76" spans="1:4">
      <c r="B76" s="23"/>
      <c r="C76" s="23"/>
      <c r="D76" s="23"/>
    </row>
    <row r="77" spans="1:4">
      <c r="B77" s="23"/>
      <c r="C77" s="23"/>
      <c r="D77" s="23"/>
    </row>
    <row r="78" spans="1:4">
      <c r="B78" s="23"/>
      <c r="C78" s="23"/>
      <c r="D78" s="23"/>
    </row>
    <row r="79" spans="1:4">
      <c r="B79" s="23"/>
      <c r="C79" s="23"/>
      <c r="D79" s="23"/>
    </row>
    <row r="80" spans="1:4">
      <c r="B80" s="23"/>
      <c r="C80" s="23"/>
      <c r="D80" s="23"/>
    </row>
    <row r="81" spans="2:4">
      <c r="B81" s="23"/>
      <c r="C81" s="23"/>
      <c r="D81" s="23"/>
    </row>
    <row r="82" spans="2:4">
      <c r="B82" s="23"/>
      <c r="C82" s="23"/>
      <c r="D82" s="23"/>
    </row>
    <row r="83" spans="2:4">
      <c r="B83" s="23"/>
      <c r="C83" s="23"/>
      <c r="D83" s="23"/>
    </row>
    <row r="84" spans="2:4">
      <c r="B84" s="23"/>
      <c r="C84" s="23"/>
      <c r="D84" s="23"/>
    </row>
    <row r="85" spans="2:4">
      <c r="B85" s="23"/>
      <c r="C85" s="23"/>
      <c r="D85" s="23"/>
    </row>
    <row r="86" spans="2:4">
      <c r="B86" s="23"/>
      <c r="C86" s="23"/>
      <c r="D86" s="23"/>
    </row>
    <row r="87" spans="2:4">
      <c r="B87" s="23"/>
      <c r="C87" s="23"/>
      <c r="D87" s="23"/>
    </row>
    <row r="88" spans="2:4">
      <c r="B88" s="23"/>
      <c r="C88" s="23"/>
      <c r="D88" s="23"/>
    </row>
  </sheetData>
  <mergeCells count="16">
    <mergeCell ref="A20:D20"/>
    <mergeCell ref="A22:D22"/>
    <mergeCell ref="A26:D26"/>
    <mergeCell ref="A29:D29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="60" zoomScaleNormal="55" workbookViewId="0">
      <selection activeCell="A19" sqref="A1:I1048576"/>
    </sheetView>
  </sheetViews>
  <sheetFormatPr defaultRowHeight="15"/>
  <cols>
    <col min="1" max="1" width="15.7109375" style="5" customWidth="1"/>
    <col min="2" max="2" width="181.7109375" style="5" customWidth="1"/>
    <col min="3" max="4" width="15.7109375" style="5" hidden="1" customWidth="1"/>
    <col min="5" max="5" width="17.7109375" style="5" customWidth="1"/>
    <col min="6" max="6" width="15.7109375" style="5" customWidth="1"/>
    <col min="7" max="7" width="17.7109375" style="5" customWidth="1"/>
    <col min="8" max="8" width="21.28515625" style="29" bestFit="1" customWidth="1"/>
    <col min="9" max="9" width="20.7109375" style="5" customWidth="1"/>
    <col min="10" max="11" width="20.7109375" customWidth="1"/>
  </cols>
  <sheetData>
    <row r="1" spans="1:9">
      <c r="A1" s="172"/>
      <c r="B1" s="172"/>
      <c r="C1" s="11"/>
      <c r="D1" s="11"/>
      <c r="E1" s="11"/>
      <c r="F1" s="11"/>
      <c r="G1" s="11"/>
      <c r="H1" s="25"/>
      <c r="I1" s="11"/>
    </row>
    <row r="2" spans="1:9">
      <c r="A2" s="172"/>
      <c r="B2" s="172"/>
      <c r="C2" s="11"/>
      <c r="D2" s="11"/>
      <c r="E2" s="11"/>
      <c r="F2" s="11"/>
      <c r="G2" s="11"/>
      <c r="H2" s="25"/>
      <c r="I2" s="11"/>
    </row>
    <row r="3" spans="1:9" ht="15" customHeight="1">
      <c r="A3" s="164">
        <f>'1-1'!A1:C1</f>
        <v>0</v>
      </c>
      <c r="B3" s="164"/>
      <c r="C3" s="11"/>
      <c r="D3" s="11"/>
      <c r="E3" s="171" t="s">
        <v>17</v>
      </c>
      <c r="F3" s="171"/>
      <c r="G3" s="171"/>
      <c r="H3" s="164"/>
      <c r="I3" s="164"/>
    </row>
    <row r="4" spans="1:9" ht="15" customHeight="1">
      <c r="A4" s="164"/>
      <c r="B4" s="164"/>
      <c r="C4" s="11"/>
      <c r="D4" s="11"/>
      <c r="E4" s="171"/>
      <c r="F4" s="171"/>
      <c r="G4" s="171"/>
      <c r="H4" s="164"/>
      <c r="I4" s="164"/>
    </row>
    <row r="5" spans="1:9" ht="15" customHeight="1">
      <c r="A5" s="164" t="s">
        <v>28</v>
      </c>
      <c r="B5" s="164"/>
      <c r="C5" s="11"/>
      <c r="D5" s="11"/>
      <c r="E5" s="171" t="s">
        <v>18</v>
      </c>
      <c r="F5" s="171"/>
      <c r="G5" s="171"/>
      <c r="H5" s="164"/>
      <c r="I5" s="164"/>
    </row>
    <row r="6" spans="1:9" ht="15" customHeight="1">
      <c r="A6" s="164"/>
      <c r="B6" s="164"/>
      <c r="C6" s="11"/>
      <c r="D6" s="11"/>
      <c r="E6" s="171"/>
      <c r="F6" s="171"/>
      <c r="G6" s="171"/>
      <c r="H6" s="164"/>
      <c r="I6" s="164"/>
    </row>
    <row r="7" spans="1:9" ht="15" customHeight="1">
      <c r="A7" s="164">
        <f>'1-1'!A3:C3</f>
        <v>0</v>
      </c>
      <c r="B7" s="164"/>
      <c r="C7" s="11"/>
      <c r="D7" s="11"/>
      <c r="E7" s="171" t="s">
        <v>59</v>
      </c>
      <c r="F7" s="171"/>
      <c r="G7" s="171"/>
      <c r="H7" s="164" t="s">
        <v>20</v>
      </c>
      <c r="I7" s="164"/>
    </row>
    <row r="8" spans="1:9" ht="15" customHeight="1">
      <c r="A8" s="164"/>
      <c r="B8" s="164"/>
      <c r="C8" s="11"/>
      <c r="D8" s="11"/>
      <c r="E8" s="171"/>
      <c r="F8" s="171"/>
      <c r="G8" s="171"/>
      <c r="H8" s="164"/>
      <c r="I8" s="164"/>
    </row>
    <row r="9" spans="1:9" ht="15" customHeight="1">
      <c r="A9" s="164" t="s">
        <v>29</v>
      </c>
      <c r="B9" s="164"/>
      <c r="C9" s="11"/>
      <c r="D9" s="11"/>
      <c r="E9" s="171" t="s">
        <v>19</v>
      </c>
      <c r="F9" s="171"/>
      <c r="G9" s="171"/>
      <c r="H9" s="164"/>
      <c r="I9" s="164"/>
    </row>
    <row r="10" spans="1:9" ht="15" customHeight="1">
      <c r="A10" s="164"/>
      <c r="B10" s="164"/>
      <c r="C10" s="11"/>
      <c r="D10" s="11"/>
      <c r="E10" s="171"/>
      <c r="F10" s="171"/>
      <c r="G10" s="171"/>
      <c r="H10" s="164"/>
      <c r="I10" s="164"/>
    </row>
    <row r="11" spans="1:9" ht="15" customHeight="1">
      <c r="A11" s="164"/>
      <c r="B11" s="164"/>
      <c r="C11" s="11"/>
      <c r="D11" s="171"/>
      <c r="E11" s="171"/>
      <c r="F11" s="171"/>
      <c r="G11" s="171"/>
      <c r="H11" s="164"/>
      <c r="I11" s="164"/>
    </row>
    <row r="12" spans="1:9" ht="15" customHeight="1">
      <c r="A12" s="164"/>
      <c r="B12" s="164"/>
      <c r="C12" s="11"/>
      <c r="D12" s="171"/>
      <c r="E12" s="171"/>
      <c r="F12" s="171"/>
      <c r="G12" s="171"/>
      <c r="H12" s="164"/>
      <c r="I12" s="164"/>
    </row>
    <row r="13" spans="1:9" ht="15" customHeight="1">
      <c r="A13" s="176" t="e">
        <f>'1-1'!A6:M7</f>
        <v>#VALUE!</v>
      </c>
      <c r="B13" s="176"/>
      <c r="C13" s="176"/>
      <c r="D13" s="176"/>
      <c r="E13" s="176"/>
      <c r="F13" s="176"/>
      <c r="G13" s="176"/>
      <c r="H13" s="176"/>
      <c r="I13" s="176"/>
    </row>
    <row r="14" spans="1:9" ht="15" customHeight="1">
      <c r="A14" s="176"/>
      <c r="B14" s="176"/>
      <c r="C14" s="176"/>
      <c r="D14" s="176"/>
      <c r="E14" s="176"/>
      <c r="F14" s="176"/>
      <c r="G14" s="176"/>
      <c r="H14" s="176"/>
      <c r="I14" s="176"/>
    </row>
    <row r="15" spans="1:9" ht="15" customHeight="1">
      <c r="A15" s="176"/>
      <c r="B15" s="176"/>
      <c r="C15" s="176"/>
      <c r="D15" s="176"/>
      <c r="E15" s="176"/>
      <c r="F15" s="176"/>
      <c r="G15" s="176"/>
      <c r="H15" s="176"/>
      <c r="I15" s="176"/>
    </row>
    <row r="16" spans="1:9" s="5" customFormat="1" ht="39.950000000000003" customHeight="1">
      <c r="A16" s="169" t="s">
        <v>2</v>
      </c>
      <c r="B16" s="177" t="s">
        <v>3</v>
      </c>
      <c r="C16" s="180" t="s">
        <v>7</v>
      </c>
      <c r="D16" s="180" t="s">
        <v>8</v>
      </c>
      <c r="E16" s="180" t="s">
        <v>7</v>
      </c>
      <c r="F16" s="180" t="s">
        <v>8</v>
      </c>
      <c r="G16" s="173" t="s">
        <v>284</v>
      </c>
      <c r="H16" s="169" t="s">
        <v>285</v>
      </c>
      <c r="I16" s="169" t="s">
        <v>5</v>
      </c>
    </row>
    <row r="17" spans="1:9" s="5" customFormat="1" ht="39.950000000000003" customHeight="1">
      <c r="A17" s="169"/>
      <c r="B17" s="178"/>
      <c r="C17" s="181"/>
      <c r="D17" s="181"/>
      <c r="E17" s="181"/>
      <c r="F17" s="181"/>
      <c r="G17" s="174"/>
      <c r="H17" s="169"/>
      <c r="I17" s="169"/>
    </row>
    <row r="18" spans="1:9" s="5" customFormat="1" ht="39.950000000000003" customHeight="1">
      <c r="A18" s="169"/>
      <c r="B18" s="179"/>
      <c r="C18" s="182"/>
      <c r="D18" s="182"/>
      <c r="E18" s="182"/>
      <c r="F18" s="182"/>
      <c r="G18" s="175"/>
      <c r="H18" s="169"/>
      <c r="I18" s="169"/>
    </row>
    <row r="19" spans="1:9" s="5" customFormat="1" ht="39.950000000000003" customHeight="1">
      <c r="A19" s="13">
        <v>1</v>
      </c>
      <c r="B19" s="13">
        <v>2</v>
      </c>
      <c r="C19" s="13">
        <v>3</v>
      </c>
      <c r="D19" s="13">
        <v>4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</row>
    <row r="20" spans="1:9" s="5" customFormat="1" ht="80.099999999999994" customHeight="1">
      <c r="A20" s="13"/>
      <c r="B20" s="15" t="str">
        <f>'1-1'!C12</f>
        <v>მოსამზადებელი სამუშაოები</v>
      </c>
      <c r="C20" s="1"/>
      <c r="D20" s="1"/>
      <c r="E20" s="1"/>
      <c r="F20" s="1"/>
      <c r="G20" s="1"/>
      <c r="H20" s="3"/>
      <c r="I20" s="1"/>
    </row>
    <row r="21" spans="1:9" ht="39.950000000000003" customHeight="1">
      <c r="A21" s="26">
        <f>'1-1'!A13</f>
        <v>0</v>
      </c>
      <c r="B21" s="26">
        <f>'1-1'!C13</f>
        <v>0</v>
      </c>
      <c r="C21" s="26">
        <f>'1-1'!D13</f>
        <v>0</v>
      </c>
      <c r="D21" s="26">
        <f>'1-1'!F13</f>
        <v>0</v>
      </c>
      <c r="E21" s="4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3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4" t="e">
        <f t="shared" ref="G21" si="2">ROUND(H21/F21,2)</f>
        <v>#DIV/0!</v>
      </c>
      <c r="H21" s="26">
        <f>'1-1'!M13</f>
        <v>0</v>
      </c>
      <c r="I21" s="26">
        <f>'1-1'!B13</f>
        <v>0</v>
      </c>
    </row>
    <row r="22" spans="1:9" s="5" customFormat="1" ht="39.950000000000003" customHeight="1">
      <c r="A22" s="17"/>
      <c r="B22" s="13" t="s">
        <v>4</v>
      </c>
      <c r="C22" s="1"/>
      <c r="D22" s="3"/>
      <c r="E22" s="3"/>
      <c r="F22" s="4"/>
      <c r="G22" s="3"/>
      <c r="H22" s="3">
        <f>ROUND(SUM(H21:H21),2)</f>
        <v>0</v>
      </c>
      <c r="I22" s="27"/>
    </row>
    <row r="23" spans="1:9" s="5" customFormat="1" ht="39.950000000000003" customHeight="1">
      <c r="A23" s="17"/>
      <c r="B23" s="13" t="s">
        <v>10</v>
      </c>
      <c r="C23" s="1"/>
      <c r="D23" s="1"/>
      <c r="E23" s="31" t="s">
        <v>12</v>
      </c>
      <c r="F23" s="1">
        <v>10</v>
      </c>
      <c r="G23" s="1"/>
      <c r="H23" s="3">
        <f>ROUND(H22*F23%,2)</f>
        <v>0</v>
      </c>
      <c r="I23" s="27"/>
    </row>
    <row r="24" spans="1:9" s="5" customFormat="1" ht="39.950000000000003" customHeight="1">
      <c r="A24" s="17"/>
      <c r="B24" s="13" t="s">
        <v>4</v>
      </c>
      <c r="C24" s="1"/>
      <c r="D24" s="1"/>
      <c r="E24" s="4"/>
      <c r="F24" s="1"/>
      <c r="G24" s="4"/>
      <c r="H24" s="4">
        <f>ROUND(SUM(H22:H23),2)</f>
        <v>0</v>
      </c>
      <c r="I24" s="27"/>
    </row>
    <row r="25" spans="1:9" s="5" customFormat="1" ht="39.950000000000003" customHeight="1">
      <c r="A25" s="17"/>
      <c r="B25" s="13" t="s">
        <v>11</v>
      </c>
      <c r="C25" s="1"/>
      <c r="D25" s="1"/>
      <c r="E25" s="31" t="s">
        <v>12</v>
      </c>
      <c r="F25" s="1">
        <v>8</v>
      </c>
      <c r="G25" s="1"/>
      <c r="H25" s="3">
        <f>ROUND(H24*F25%,2)</f>
        <v>0</v>
      </c>
      <c r="I25" s="27"/>
    </row>
    <row r="26" spans="1:9" s="5" customFormat="1" ht="39.950000000000003" customHeight="1">
      <c r="A26" s="17"/>
      <c r="B26" s="13" t="s">
        <v>4</v>
      </c>
      <c r="C26" s="1"/>
      <c r="D26" s="1"/>
      <c r="E26" s="1"/>
      <c r="F26" s="1"/>
      <c r="G26" s="1"/>
      <c r="H26" s="3">
        <f>ROUND(SUM(H24:H25),2)</f>
        <v>0</v>
      </c>
      <c r="I26" s="27"/>
    </row>
    <row r="27" spans="1:9" s="5" customFormat="1" ht="80.099999999999994" customHeight="1">
      <c r="A27" s="13"/>
      <c r="B27" s="15" t="str">
        <f>'2-1'!C7</f>
        <v>მიწის ვაკისი</v>
      </c>
      <c r="C27" s="1"/>
      <c r="D27" s="1"/>
      <c r="E27" s="1"/>
      <c r="F27" s="1"/>
      <c r="G27" s="1"/>
      <c r="H27" s="3"/>
      <c r="I27" s="1"/>
    </row>
    <row r="28" spans="1:9" ht="39.950000000000003" customHeight="1">
      <c r="A28" s="26">
        <f>'2-1'!A8</f>
        <v>0</v>
      </c>
      <c r="B28" s="26">
        <f>'2-1'!C8</f>
        <v>0</v>
      </c>
      <c r="C28" s="26">
        <f>'2-1'!D8</f>
        <v>0</v>
      </c>
      <c r="D28" s="26">
        <f>'2-1'!F8</f>
        <v>0</v>
      </c>
      <c r="E28" s="4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4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4" t="e">
        <f t="shared" ref="G28" si="5">ROUND(H28/F28,2)</f>
        <v>#DIV/0!</v>
      </c>
      <c r="H28" s="26">
        <f>'2-1'!M8</f>
        <v>0</v>
      </c>
      <c r="I28" s="26">
        <f>'2-1'!B8</f>
        <v>0</v>
      </c>
    </row>
    <row r="29" spans="1:9" ht="39.950000000000003" customHeight="1">
      <c r="A29" s="26" t="str">
        <f>'2-1'!A13</f>
        <v>1.1.3</v>
      </c>
      <c r="B29" s="26" t="str">
        <f>'2-1'!C13</f>
        <v>სხვა მანქანები</v>
      </c>
      <c r="C29" s="26" t="str">
        <f>'2-1'!D13</f>
        <v>ლარი</v>
      </c>
      <c r="D29" s="26">
        <f>'2-1'!F13</f>
        <v>0.64049999999999996</v>
      </c>
      <c r="E29" s="4" t="str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4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0.64049999999999996</v>
      </c>
      <c r="G29" s="4">
        <f t="shared" ref="G29:G34" si="8">ROUND(H29/F29,2)</f>
        <v>0</v>
      </c>
      <c r="H29" s="26">
        <f>'2-1'!M13</f>
        <v>0</v>
      </c>
      <c r="I29" s="26">
        <f>'2-1'!B13</f>
        <v>0</v>
      </c>
    </row>
    <row r="30" spans="1:9" ht="39.950000000000003" customHeight="1">
      <c r="A30" s="26" t="str">
        <f>'2-1'!A14</f>
        <v>1.1.4</v>
      </c>
      <c r="B30" s="26" t="str">
        <f>'2-1'!C14</f>
        <v>ღორღი ბუნებრივი ქვის ფრაქცია 40-70</v>
      </c>
      <c r="C30" s="26" t="str">
        <f>'2-1'!D14</f>
        <v>მ3</v>
      </c>
      <c r="D30" s="26">
        <f>'2-1'!F14</f>
        <v>1.525E-2</v>
      </c>
      <c r="E30" s="4" t="b">
        <f t="shared" si="6"/>
        <v>0</v>
      </c>
      <c r="F30" s="4" t="b">
        <f t="shared" si="7"/>
        <v>0</v>
      </c>
      <c r="G30" s="4" t="e">
        <f t="shared" si="8"/>
        <v>#DIV/0!</v>
      </c>
      <c r="H30" s="26">
        <f>'2-1'!M14</f>
        <v>0</v>
      </c>
      <c r="I30" s="26" t="str">
        <f>'2-1'!B14</f>
        <v>4-1-238</v>
      </c>
    </row>
    <row r="31" spans="1:9" ht="39.950000000000003" customHeight="1">
      <c r="A31" s="26">
        <f>'2-1'!A19</f>
        <v>0</v>
      </c>
      <c r="B31" s="26">
        <f>'2-1'!C19</f>
        <v>0</v>
      </c>
      <c r="C31" s="26" t="str">
        <f>'2-1'!D19</f>
        <v>1000 მ3</v>
      </c>
      <c r="D31" s="26">
        <f>'2-1'!F19</f>
        <v>0.30499999999999999</v>
      </c>
      <c r="E31" s="4" t="b">
        <f t="shared" si="6"/>
        <v>0</v>
      </c>
      <c r="F31" s="4" t="b">
        <f t="shared" si="7"/>
        <v>0</v>
      </c>
      <c r="G31" s="4" t="e">
        <f t="shared" si="8"/>
        <v>#DIV/0!</v>
      </c>
      <c r="H31" s="26">
        <f>'2-1'!M19</f>
        <v>0</v>
      </c>
      <c r="I31" s="26">
        <f>'2-1'!B19</f>
        <v>0</v>
      </c>
    </row>
    <row r="32" spans="1:9" ht="39.950000000000003" customHeight="1">
      <c r="A32" s="26">
        <f>'2-1'!A24</f>
        <v>0</v>
      </c>
      <c r="B32" s="26">
        <f>'2-1'!C24</f>
        <v>0</v>
      </c>
      <c r="C32" s="26">
        <f>'2-1'!D24</f>
        <v>0</v>
      </c>
      <c r="D32" s="26">
        <f>'2-1'!F24</f>
        <v>0</v>
      </c>
      <c r="E32" s="4" t="b">
        <f t="shared" si="6"/>
        <v>0</v>
      </c>
      <c r="F32" s="4" t="b">
        <f t="shared" si="7"/>
        <v>0</v>
      </c>
      <c r="G32" s="4" t="e">
        <f t="shared" si="8"/>
        <v>#DIV/0!</v>
      </c>
      <c r="H32" s="26">
        <f>'2-1'!M24</f>
        <v>0</v>
      </c>
      <c r="I32" s="26">
        <f>'2-1'!B24</f>
        <v>0</v>
      </c>
    </row>
    <row r="33" spans="1:10" ht="39.950000000000003" customHeight="1">
      <c r="A33" s="26">
        <f>'2-1'!A25</f>
        <v>1.4</v>
      </c>
      <c r="B33" s="26" t="str">
        <f>'2-1'!C25</f>
        <v xml:space="preserve">ხრეშოვანი გრუნტის დატვირთვა კარიერში ექსკავატორით ავტოთვითმცლელზე </v>
      </c>
      <c r="C33" s="26" t="str">
        <f>'2-1'!D25</f>
        <v>მ3</v>
      </c>
      <c r="D33" s="26">
        <f>'2-1'!F25</f>
        <v>8</v>
      </c>
      <c r="E33" s="4" t="b">
        <f t="shared" si="6"/>
        <v>0</v>
      </c>
      <c r="F33" s="4" t="b">
        <f t="shared" si="7"/>
        <v>0</v>
      </c>
      <c r="G33" s="4" t="e">
        <f t="shared" si="8"/>
        <v>#DIV/0!</v>
      </c>
      <c r="H33" s="26">
        <f>'2-1'!M25</f>
        <v>0</v>
      </c>
      <c r="I33" s="26" t="str">
        <f>'2-1'!B25</f>
        <v>1-22-15</v>
      </c>
      <c r="J33" s="2"/>
    </row>
    <row r="34" spans="1:10" ht="39.950000000000003" customHeight="1">
      <c r="A34" s="34" t="str">
        <f>'2-1'!A27</f>
        <v>1.4.1</v>
      </c>
      <c r="B34" s="26" t="str">
        <f>'2-1'!C27</f>
        <v>შრომითი დანახარჯები</v>
      </c>
      <c r="C34" s="26" t="str">
        <f>'2-1'!D27</f>
        <v>კაც/სთ</v>
      </c>
      <c r="D34" s="26">
        <f>'2-1'!F27</f>
        <v>0.16</v>
      </c>
      <c r="E34" s="4" t="b">
        <f t="shared" si="6"/>
        <v>0</v>
      </c>
      <c r="F34" s="4" t="b">
        <f t="shared" si="7"/>
        <v>0</v>
      </c>
      <c r="G34" s="4" t="e">
        <f t="shared" si="8"/>
        <v>#DIV/0!</v>
      </c>
      <c r="H34" s="26">
        <f>'2-1'!M27</f>
        <v>0</v>
      </c>
      <c r="I34" s="26">
        <f>'2-1'!B27</f>
        <v>0</v>
      </c>
      <c r="J34" s="2"/>
    </row>
    <row r="35" spans="1:10" s="5" customFormat="1" ht="39.950000000000003" customHeight="1">
      <c r="A35" s="17"/>
      <c r="B35" s="13" t="s">
        <v>4</v>
      </c>
      <c r="C35" s="1"/>
      <c r="D35" s="3"/>
      <c r="E35" s="3"/>
      <c r="F35" s="4"/>
      <c r="G35" s="3"/>
      <c r="H35" s="3">
        <f>ROUND(SUM(H28:H34),2)</f>
        <v>0</v>
      </c>
      <c r="I35" s="27"/>
    </row>
    <row r="36" spans="1:10" s="5" customFormat="1" ht="39.950000000000003" customHeight="1">
      <c r="A36" s="17"/>
      <c r="B36" s="13" t="s">
        <v>10</v>
      </c>
      <c r="C36" s="1"/>
      <c r="D36" s="1"/>
      <c r="E36" s="31" t="s">
        <v>12</v>
      </c>
      <c r="F36" s="1">
        <v>10</v>
      </c>
      <c r="G36" s="1"/>
      <c r="H36" s="3">
        <f>ROUND(H35*F36%,2)</f>
        <v>0</v>
      </c>
      <c r="I36" s="27"/>
    </row>
    <row r="37" spans="1:10" s="5" customFormat="1" ht="39.950000000000003" customHeight="1">
      <c r="A37" s="17"/>
      <c r="B37" s="13" t="s">
        <v>4</v>
      </c>
      <c r="C37" s="1"/>
      <c r="D37" s="1"/>
      <c r="E37" s="4"/>
      <c r="F37" s="1"/>
      <c r="G37" s="4"/>
      <c r="H37" s="4">
        <f>ROUND(SUM(H35:H36),2)</f>
        <v>0</v>
      </c>
      <c r="I37" s="27"/>
    </row>
    <row r="38" spans="1:10" s="5" customFormat="1" ht="39.950000000000003" customHeight="1">
      <c r="A38" s="17"/>
      <c r="B38" s="13" t="s">
        <v>11</v>
      </c>
      <c r="C38" s="1"/>
      <c r="D38" s="1"/>
      <c r="E38" s="31" t="s">
        <v>12</v>
      </c>
      <c r="F38" s="1">
        <v>8</v>
      </c>
      <c r="G38" s="1"/>
      <c r="H38" s="3">
        <f>ROUND(H37*F38%,2)</f>
        <v>0</v>
      </c>
      <c r="I38" s="27"/>
    </row>
    <row r="39" spans="1:10" s="5" customFormat="1" ht="39.950000000000003" customHeight="1">
      <c r="A39" s="17"/>
      <c r="B39" s="13" t="s">
        <v>4</v>
      </c>
      <c r="C39" s="1"/>
      <c r="D39" s="1"/>
      <c r="E39" s="1"/>
      <c r="F39" s="1"/>
      <c r="G39" s="1"/>
      <c r="H39" s="3">
        <f>ROUND(SUM(H37:H38),2)</f>
        <v>0</v>
      </c>
      <c r="I39" s="27"/>
    </row>
    <row r="40" spans="1:10" s="5" customFormat="1" ht="80.099999999999994" customHeight="1">
      <c r="A40" s="13"/>
      <c r="B40" s="15" t="str">
        <f>'3-1'!C7</f>
        <v>რ/ბ კედლის მოწყობის სამუშაოები პკ 0+60 პკ 1+10 სკ2</v>
      </c>
      <c r="C40" s="1"/>
      <c r="D40" s="1"/>
      <c r="E40" s="1"/>
      <c r="F40" s="1"/>
      <c r="G40" s="1"/>
      <c r="H40" s="3"/>
      <c r="I40" s="1"/>
    </row>
    <row r="41" spans="1:10" ht="39.950000000000003" customHeight="1">
      <c r="A41" s="26">
        <f>'3-1'!A9</f>
        <v>1.1000000000000001</v>
      </c>
      <c r="B41" s="26" t="str">
        <f>'3-1'!C9</f>
        <v xml:space="preserve">მე-4 კატეგორიის გრუნტის დამუშავება და დატვირთვა ექსკავატორით ავტოთვითმცლელზე </v>
      </c>
      <c r="C41" s="26" t="str">
        <f>'3-1'!D9</f>
        <v>მ3</v>
      </c>
      <c r="D41" s="26">
        <f>'3-1'!F9</f>
        <v>1023</v>
      </c>
      <c r="E41" s="4" t="b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0</v>
      </c>
      <c r="F41" s="4" t="b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0</v>
      </c>
      <c r="G41" s="4" t="e">
        <f t="shared" ref="G41" si="11">ROUND(H41/F41,2)</f>
        <v>#DIV/0!</v>
      </c>
      <c r="H41" s="26">
        <f>'3-1'!M9</f>
        <v>0</v>
      </c>
      <c r="I41" s="26" t="str">
        <f>'3-1'!B9</f>
        <v>1-22-16</v>
      </c>
    </row>
    <row r="42" spans="1:10" ht="39.950000000000003" customHeight="1">
      <c r="A42" s="26" t="str">
        <f>'3-1'!A14</f>
        <v>1.1.4</v>
      </c>
      <c r="B42" s="26" t="str">
        <f>'3-1'!C14</f>
        <v>ღორღი ბუნებრივი ქვის ფრაქცია 40-70</v>
      </c>
      <c r="C42" s="26" t="str">
        <f>'3-1'!D14</f>
        <v>მ3</v>
      </c>
      <c r="D42" s="26">
        <f>'3-1'!F14</f>
        <v>6.137999999999999E-2</v>
      </c>
      <c r="E42" s="4" t="b">
        <f t="shared" ref="E42:E59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4" t="b">
        <f t="shared" ref="F42:F59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4" t="e">
        <f t="shared" ref="G42:G59" si="14">ROUND(H42/F42,2)</f>
        <v>#DIV/0!</v>
      </c>
      <c r="H42" s="26">
        <f>'3-1'!M14</f>
        <v>0</v>
      </c>
      <c r="I42" s="26" t="str">
        <f>'3-1'!B14</f>
        <v>4-1-238</v>
      </c>
    </row>
    <row r="43" spans="1:10" ht="39.950000000000003" customHeight="1">
      <c r="A43" s="26">
        <f>'3-1'!A16</f>
        <v>1.2</v>
      </c>
      <c r="B43" s="26" t="str">
        <f>'3-1'!C16</f>
        <v xml:space="preserve">მე-4 კატეგორიის გრუნტის ფენის დამუშავება ხელით სიღრმით 2 მ-მდე </v>
      </c>
      <c r="C43" s="26" t="str">
        <f>'3-1'!D16</f>
        <v>მ3</v>
      </c>
      <c r="D43" s="26">
        <f>'3-1'!F16</f>
        <v>10</v>
      </c>
      <c r="E43" s="4" t="b">
        <f t="shared" si="12"/>
        <v>0</v>
      </c>
      <c r="F43" s="4" t="b">
        <f t="shared" si="13"/>
        <v>0</v>
      </c>
      <c r="G43" s="4" t="e">
        <f t="shared" si="14"/>
        <v>#DIV/0!</v>
      </c>
      <c r="H43" s="26">
        <f>'3-1'!M16</f>
        <v>0</v>
      </c>
      <c r="I43" s="26" t="str">
        <f>'3-1'!B16</f>
        <v>1-80-4</v>
      </c>
    </row>
    <row r="44" spans="1:10" ht="39.950000000000003" customHeight="1">
      <c r="A44" s="26" t="str">
        <f>'3-1'!A18</f>
        <v>1.2.1</v>
      </c>
      <c r="B44" s="26" t="str">
        <f>'3-1'!C18</f>
        <v>შრომითი დანახარჯები</v>
      </c>
      <c r="C44" s="26" t="str">
        <f>'3-1'!D18</f>
        <v>კაც/სთ</v>
      </c>
      <c r="D44" s="26">
        <f>'3-1'!F18</f>
        <v>57.408000000000001</v>
      </c>
      <c r="E44" s="4" t="b">
        <f t="shared" si="12"/>
        <v>0</v>
      </c>
      <c r="F44" s="4" t="b">
        <f t="shared" si="13"/>
        <v>0</v>
      </c>
      <c r="G44" s="4" t="e">
        <f t="shared" si="14"/>
        <v>#DIV/0!</v>
      </c>
      <c r="H44" s="26">
        <f>'3-1'!M18</f>
        <v>0</v>
      </c>
      <c r="I44" s="26">
        <f>'3-1'!B18</f>
        <v>0</v>
      </c>
    </row>
    <row r="45" spans="1:10" ht="39.950000000000003" customHeight="1">
      <c r="A45" s="26">
        <f>'3-1'!A19</f>
        <v>0</v>
      </c>
      <c r="B45" s="26">
        <f>'3-1'!C19</f>
        <v>0</v>
      </c>
      <c r="C45" s="26">
        <f>'3-1'!D19</f>
        <v>0</v>
      </c>
      <c r="D45" s="26">
        <f>'3-1'!F19</f>
        <v>0</v>
      </c>
      <c r="E45" s="4" t="b">
        <f t="shared" si="12"/>
        <v>0</v>
      </c>
      <c r="F45" s="4" t="b">
        <f t="shared" si="13"/>
        <v>0</v>
      </c>
      <c r="G45" s="4" t="e">
        <f t="shared" si="14"/>
        <v>#DIV/0!</v>
      </c>
      <c r="H45" s="26">
        <f>'3-1'!M19</f>
        <v>0</v>
      </c>
      <c r="I45" s="26">
        <f>'3-1'!B19</f>
        <v>0</v>
      </c>
    </row>
    <row r="46" spans="1:10" ht="39.950000000000003" customHeight="1">
      <c r="A46" s="26">
        <f>'3-1'!A24</f>
        <v>0</v>
      </c>
      <c r="B46" s="26">
        <f>'3-1'!C24</f>
        <v>0</v>
      </c>
      <c r="C46" s="26">
        <f>'3-1'!D24</f>
        <v>0</v>
      </c>
      <c r="D46" s="26">
        <f>'3-1'!F24</f>
        <v>0</v>
      </c>
      <c r="E46" s="4" t="b">
        <f t="shared" si="12"/>
        <v>0</v>
      </c>
      <c r="F46" s="4" t="b">
        <f t="shared" si="13"/>
        <v>0</v>
      </c>
      <c r="G46" s="4" t="e">
        <f t="shared" si="14"/>
        <v>#DIV/0!</v>
      </c>
      <c r="H46" s="26">
        <f>'3-1'!M24</f>
        <v>0</v>
      </c>
      <c r="I46" s="26">
        <f>'3-1'!B24</f>
        <v>0</v>
      </c>
    </row>
    <row r="47" spans="1:10" ht="39.950000000000003" customHeight="1">
      <c r="A47" s="26">
        <f>'3-1'!A26</f>
        <v>0</v>
      </c>
      <c r="B47" s="26">
        <f>'3-1'!C26</f>
        <v>0</v>
      </c>
      <c r="C47" s="26" t="str">
        <f>'3-1'!D26</f>
        <v>1000 მ3</v>
      </c>
      <c r="D47" s="26">
        <f>'3-1'!F26</f>
        <v>1.0329999999999999</v>
      </c>
      <c r="E47" s="4" t="b">
        <f t="shared" si="12"/>
        <v>0</v>
      </c>
      <c r="F47" s="4" t="b">
        <f t="shared" si="13"/>
        <v>0</v>
      </c>
      <c r="G47" s="4" t="e">
        <f t="shared" si="14"/>
        <v>#DIV/0!</v>
      </c>
      <c r="H47" s="26">
        <f>'3-1'!M26</f>
        <v>0</v>
      </c>
      <c r="I47" s="26">
        <f>'3-1'!B26</f>
        <v>0</v>
      </c>
    </row>
    <row r="48" spans="1:10" ht="39.950000000000003" customHeight="1">
      <c r="A48" s="26" t="str">
        <f>'3-1'!A29</f>
        <v>1.5.3</v>
      </c>
      <c r="B48" s="26" t="str">
        <f>'3-1'!C29</f>
        <v>სხვა მანქანები</v>
      </c>
      <c r="C48" s="26" t="str">
        <f>'3-1'!D29</f>
        <v>ლარი</v>
      </c>
      <c r="D48" s="26">
        <f>'3-1'!F29</f>
        <v>0.18593999999999997</v>
      </c>
      <c r="E48" s="4" t="str">
        <f t="shared" si="12"/>
        <v>ლარი</v>
      </c>
      <c r="F48" s="4">
        <f t="shared" si="13"/>
        <v>0.18593999999999997</v>
      </c>
      <c r="G48" s="4">
        <f t="shared" si="14"/>
        <v>0</v>
      </c>
      <c r="H48" s="26">
        <f>'3-1'!M29</f>
        <v>0</v>
      </c>
      <c r="I48" s="26">
        <f>'3-1'!B29</f>
        <v>0</v>
      </c>
    </row>
    <row r="49" spans="1:9" ht="39.950000000000003" customHeight="1">
      <c r="A49" s="26" t="str">
        <f>'3-1'!A34</f>
        <v>1.6.1</v>
      </c>
      <c r="B49" s="26" t="str">
        <f>'3-1'!C34</f>
        <v>შრომითი დანახარჯები</v>
      </c>
      <c r="C49" s="26" t="str">
        <f>'3-1'!D34</f>
        <v>კაც/სთ</v>
      </c>
      <c r="D49" s="26">
        <f>'3-1'!F34</f>
        <v>13.213200000000001</v>
      </c>
      <c r="E49" s="4" t="b">
        <f t="shared" ref="E49" si="15">IF(C49="კმ","კმ",IF(C49="1 ჰა","1 ჰა",IF(C49="100 ც","ც",IF(C49="1 ც","ც",IF(C49="ც","ც",IF(C49="ტ","ტ",IF(C49="1 ტ","ტ",IF(C49="მ³","მ³",IF(C49="1 მ³","მ³",IF(C49="10 მ³","მ³",IF(C49="100 მ³","მ³",IF(C49="1000 მ³","მ³",IF(C49="1000 მ","მ",IF(C49="100 მ","მ",IF(C49="10 მ","მ",IF(C49="10 მ ","მ",IF(C49="მ","მ",IF(C49="1000 მ²","მ²",IF(C49="1000 მ² ","მ²",IF(C49="100 მ²","მ²",IF(C49="100 მ² ","მ²",IF(C49="10 მ²","მ²",IF(C49="მ² ","მ²",IF(C49="ლარი","ლარი",IF(C49="ხიდი","ლარი",IF(C49="100 მ","მ",IF(C49="გ.მ.","მ")))))))))))))))))))))))))))</f>
        <v>0</v>
      </c>
      <c r="F49" s="4" t="b">
        <f t="shared" ref="F49" si="16">IF(C49="კმ",D49,IF(C49="1 ჰა",D49,IF(C49="100 ც",D49*100,IF(C49="1 ც",D49,IF(C49="ც",D49,IF(C49="ტ",D49,IF(C49="1 ტ",D49,IF(C49="მ³",D49,IF(C49="1 მ³",D49,IF(C49="10 მ³",D49*10,IF(C49="100 მ³",D49*100,IF(C49="1000 მ³",D49*1000,IF(C49="1000 მ",D49*1000,IF(C49="100 მ",D49*100,IF(C49="10 მ",D49*10,IF(C49="10 მ ",D49*10,IF(C49="მ",D49,IF(C49="1000 მ²",D49*1000,IF(C49="1000 მ² ",D49*1000,IF(C49="100 მ²",D49*100,IF(C49="100 მ² ",D49*100,IF(C49="10 მ²",D49*10,IF(C49="მ² ",D49,IF(C49="ლარი",D49,IF(C49="ხიდი",D49,IF(C49="100 მ",D49*100,IF(C49="გ.მ.",D49)))))))))))))))))))))))))))</f>
        <v>0</v>
      </c>
      <c r="G49" s="4" t="e">
        <f t="shared" ref="G49" si="17">ROUND(H49/F49,2)</f>
        <v>#DIV/0!</v>
      </c>
      <c r="H49" s="26">
        <f>'3-1'!M34</f>
        <v>0</v>
      </c>
      <c r="I49" s="26">
        <f>'3-1'!B34</f>
        <v>0</v>
      </c>
    </row>
    <row r="50" spans="1:9" ht="39.950000000000003" customHeight="1">
      <c r="A50" s="35">
        <f>'3-1'!A42</f>
        <v>0</v>
      </c>
      <c r="B50" s="26">
        <f>'3-1'!C42</f>
        <v>0</v>
      </c>
      <c r="C50" s="26">
        <f>'3-1'!D42</f>
        <v>0</v>
      </c>
      <c r="D50" s="26">
        <f>'3-1'!F42</f>
        <v>0</v>
      </c>
      <c r="E50" s="4" t="b">
        <f t="shared" si="12"/>
        <v>0</v>
      </c>
      <c r="F50" s="4" t="b">
        <f t="shared" si="13"/>
        <v>0</v>
      </c>
      <c r="G50" s="4" t="e">
        <f t="shared" si="14"/>
        <v>#DIV/0!</v>
      </c>
      <c r="H50" s="26">
        <f>'3-1'!M42</f>
        <v>0</v>
      </c>
      <c r="I50" s="26">
        <f>'3-1'!B42</f>
        <v>0</v>
      </c>
    </row>
    <row r="51" spans="1:9" ht="39.950000000000003" customHeight="1">
      <c r="A51" s="35" t="str">
        <f>'3-1'!A52</f>
        <v>1.9.1</v>
      </c>
      <c r="B51" s="26" t="str">
        <f>'3-1'!C52</f>
        <v>შრომითი დანახარჯები</v>
      </c>
      <c r="C51" s="26" t="str">
        <f>'3-1'!D52</f>
        <v>კაც/სთ</v>
      </c>
      <c r="D51" s="26">
        <f>'3-1'!F52</f>
        <v>91.947900000000004</v>
      </c>
      <c r="E51" s="4" t="b">
        <f t="shared" si="12"/>
        <v>0</v>
      </c>
      <c r="F51" s="4" t="b">
        <f t="shared" si="13"/>
        <v>0</v>
      </c>
      <c r="G51" s="4" t="e">
        <f t="shared" si="14"/>
        <v>#DIV/0!</v>
      </c>
      <c r="H51" s="26">
        <f>'3-1'!M52</f>
        <v>0</v>
      </c>
      <c r="I51" s="26">
        <f>'3-1'!B52</f>
        <v>0</v>
      </c>
    </row>
    <row r="52" spans="1:9" ht="39.950000000000003" customHeight="1">
      <c r="A52" s="26" t="str">
        <f>'3-1'!A58</f>
        <v>1.9.7</v>
      </c>
      <c r="B52" s="26" t="str">
        <f>'3-1'!C58</f>
        <v>სხვა მასალები</v>
      </c>
      <c r="C52" s="26" t="str">
        <f>'3-1'!D58</f>
        <v>ლარი</v>
      </c>
      <c r="D52" s="26">
        <f>'3-1'!F58</f>
        <v>3.4419000000000004</v>
      </c>
      <c r="E52" s="4" t="str">
        <f t="shared" si="12"/>
        <v>ლარი</v>
      </c>
      <c r="F52" s="4">
        <f t="shared" si="13"/>
        <v>3.4419000000000004</v>
      </c>
      <c r="G52" s="4">
        <f t="shared" si="14"/>
        <v>0</v>
      </c>
      <c r="H52" s="26">
        <f>'3-1'!M58</f>
        <v>0</v>
      </c>
      <c r="I52" s="26">
        <f>'3-1'!B58</f>
        <v>0</v>
      </c>
    </row>
    <row r="53" spans="1:9" ht="39.950000000000003" customHeight="1">
      <c r="A53" s="26" t="e">
        <f>'3-1'!#REF!</f>
        <v>#REF!</v>
      </c>
      <c r="B53" s="26" t="e">
        <f>'3-1'!#REF!</f>
        <v>#REF!</v>
      </c>
      <c r="C53" s="26" t="e">
        <f>'3-1'!#REF!</f>
        <v>#REF!</v>
      </c>
      <c r="D53" s="26" t="e">
        <f>'3-1'!#REF!</f>
        <v>#REF!</v>
      </c>
      <c r="E53" s="4" t="e">
        <f t="shared" si="12"/>
        <v>#REF!</v>
      </c>
      <c r="F53" s="4" t="e">
        <f t="shared" si="13"/>
        <v>#REF!</v>
      </c>
      <c r="G53" s="4" t="e">
        <f t="shared" si="14"/>
        <v>#REF!</v>
      </c>
      <c r="H53" s="26" t="e">
        <f>'3-1'!#REF!</f>
        <v>#REF!</v>
      </c>
      <c r="I53" s="26" t="e">
        <f>'3-1'!#REF!</f>
        <v>#REF!</v>
      </c>
    </row>
    <row r="54" spans="1:9" ht="39.950000000000003" customHeight="1">
      <c r="A54" s="26" t="e">
        <f>'3-1'!#REF!</f>
        <v>#REF!</v>
      </c>
      <c r="B54" s="26" t="e">
        <f>'3-1'!#REF!</f>
        <v>#REF!</v>
      </c>
      <c r="C54" s="26" t="e">
        <f>'3-1'!#REF!</f>
        <v>#REF!</v>
      </c>
      <c r="D54" s="26" t="e">
        <f>'3-1'!#REF!</f>
        <v>#REF!</v>
      </c>
      <c r="E54" s="4" t="e">
        <f t="shared" si="12"/>
        <v>#REF!</v>
      </c>
      <c r="F54" s="4" t="e">
        <f t="shared" si="13"/>
        <v>#REF!</v>
      </c>
      <c r="G54" s="4" t="e">
        <f t="shared" si="14"/>
        <v>#REF!</v>
      </c>
      <c r="H54" s="26" t="e">
        <f>'3-1'!#REF!</f>
        <v>#REF!</v>
      </c>
      <c r="I54" s="26" t="e">
        <f>'3-1'!#REF!</f>
        <v>#REF!</v>
      </c>
    </row>
    <row r="55" spans="1:9" ht="39.950000000000003" customHeight="1">
      <c r="A55" s="26" t="str">
        <f>'3-1'!A68</f>
        <v>1.10.10</v>
      </c>
      <c r="B55" s="26" t="str">
        <f>'3-1'!C68</f>
        <v>ელექტროდი შედუღების</v>
      </c>
      <c r="C55" s="26" t="str">
        <f>'3-1'!D68</f>
        <v>კგ</v>
      </c>
      <c r="D55" s="26">
        <f>'3-1'!F68</f>
        <v>63.524999999999999</v>
      </c>
      <c r="E55" s="4" t="b">
        <f t="shared" si="12"/>
        <v>0</v>
      </c>
      <c r="F55" s="4" t="b">
        <f t="shared" si="13"/>
        <v>0</v>
      </c>
      <c r="G55" s="4" t="e">
        <f t="shared" si="14"/>
        <v>#DIV/0!</v>
      </c>
      <c r="H55" s="26">
        <f>'3-1'!M68</f>
        <v>0</v>
      </c>
      <c r="I55" s="26" t="str">
        <f>'3-1'!B68</f>
        <v>1-10-014</v>
      </c>
    </row>
    <row r="56" spans="1:9" ht="39.950000000000003" customHeight="1">
      <c r="A56" s="26">
        <f>'3-1'!A73</f>
        <v>0</v>
      </c>
      <c r="B56" s="26">
        <f>'3-1'!C73</f>
        <v>0</v>
      </c>
      <c r="C56" s="26" t="str">
        <f>'3-1'!D73</f>
        <v>100 მ2</v>
      </c>
      <c r="D56" s="26">
        <f>'3-1'!F73</f>
        <v>2.31</v>
      </c>
      <c r="E56" s="4" t="b">
        <f t="shared" si="12"/>
        <v>0</v>
      </c>
      <c r="F56" s="4" t="b">
        <f t="shared" si="13"/>
        <v>0</v>
      </c>
      <c r="G56" s="4" t="e">
        <f t="shared" si="14"/>
        <v>#DIV/0!</v>
      </c>
      <c r="H56" s="26">
        <f>'3-1'!M73</f>
        <v>0</v>
      </c>
      <c r="I56" s="26">
        <f>'3-1'!B73</f>
        <v>0</v>
      </c>
    </row>
    <row r="57" spans="1:9" ht="39.950000000000003" customHeight="1">
      <c r="A57" s="26" t="str">
        <f>'3-1'!A77</f>
        <v>1.11.5</v>
      </c>
      <c r="B57" s="26" t="str">
        <f>'3-1'!C77</f>
        <v xml:space="preserve">სხვა მასალები </v>
      </c>
      <c r="C57" s="26" t="str">
        <f>'3-1'!D77</f>
        <v>ლარი</v>
      </c>
      <c r="D57" s="26">
        <f>'3-1'!F77</f>
        <v>5.2667999999999999</v>
      </c>
      <c r="E57" s="4" t="str">
        <f t="shared" si="12"/>
        <v>ლარი</v>
      </c>
      <c r="F57" s="4">
        <f t="shared" si="13"/>
        <v>5.2667999999999999</v>
      </c>
      <c r="G57" s="4">
        <f t="shared" si="14"/>
        <v>0</v>
      </c>
      <c r="H57" s="26">
        <f>'3-1'!M77</f>
        <v>0</v>
      </c>
      <c r="I57" s="26">
        <f>'3-1'!B77</f>
        <v>0</v>
      </c>
    </row>
    <row r="58" spans="1:9" ht="39.950000000000003" customHeight="1">
      <c r="A58" s="26" t="str">
        <f>'3-1'!A81</f>
        <v>1.12.1</v>
      </c>
      <c r="B58" s="26" t="str">
        <f>'3-1'!C81</f>
        <v>შრომითი დანახარჯები</v>
      </c>
      <c r="C58" s="26" t="str">
        <f>'3-1'!D81</f>
        <v>კაც/სთ</v>
      </c>
      <c r="D58" s="26">
        <f>'3-1'!F81</f>
        <v>376.89960000000002</v>
      </c>
      <c r="E58" s="4" t="b">
        <f t="shared" si="12"/>
        <v>0</v>
      </c>
      <c r="F58" s="4" t="b">
        <f t="shared" si="13"/>
        <v>0</v>
      </c>
      <c r="G58" s="4" t="e">
        <f t="shared" si="14"/>
        <v>#DIV/0!</v>
      </c>
      <c r="H58" s="26">
        <f>'3-1'!M81</f>
        <v>0</v>
      </c>
      <c r="I58" s="26">
        <f>'3-1'!B81</f>
        <v>0</v>
      </c>
    </row>
    <row r="59" spans="1:9" ht="39.950000000000003" customHeight="1">
      <c r="A59" s="26" t="e">
        <f>'3-1'!#REF!</f>
        <v>#REF!</v>
      </c>
      <c r="B59" s="26" t="e">
        <f>'3-1'!#REF!</f>
        <v>#REF!</v>
      </c>
      <c r="C59" s="26" t="e">
        <f>'3-1'!#REF!</f>
        <v>#REF!</v>
      </c>
      <c r="D59" s="26" t="e">
        <f>'3-1'!#REF!</f>
        <v>#REF!</v>
      </c>
      <c r="E59" s="4" t="e">
        <f t="shared" si="12"/>
        <v>#REF!</v>
      </c>
      <c r="F59" s="4" t="e">
        <f t="shared" si="13"/>
        <v>#REF!</v>
      </c>
      <c r="G59" s="4" t="e">
        <f t="shared" si="14"/>
        <v>#REF!</v>
      </c>
      <c r="H59" s="35" t="e">
        <f>'3-1'!#REF!</f>
        <v>#REF!</v>
      </c>
      <c r="I59" s="36" t="e">
        <f>'3-1'!#REF!</f>
        <v>#REF!</v>
      </c>
    </row>
    <row r="60" spans="1:9" s="5" customFormat="1" ht="39.950000000000003" customHeight="1">
      <c r="A60" s="17"/>
      <c r="B60" s="13" t="s">
        <v>4</v>
      </c>
      <c r="C60" s="1"/>
      <c r="D60" s="3"/>
      <c r="E60" s="3"/>
      <c r="F60" s="4"/>
      <c r="G60" s="3"/>
      <c r="H60" s="3" t="e">
        <f>ROUND(SUM(H41:H59),2)</f>
        <v>#REF!</v>
      </c>
      <c r="I60" s="27"/>
    </row>
    <row r="61" spans="1:9" s="5" customFormat="1" ht="39.950000000000003" customHeight="1">
      <c r="A61" s="17"/>
      <c r="B61" s="13" t="s">
        <v>10</v>
      </c>
      <c r="C61" s="1"/>
      <c r="D61" s="1"/>
      <c r="E61" s="31" t="s">
        <v>12</v>
      </c>
      <c r="F61" s="1">
        <v>10</v>
      </c>
      <c r="G61" s="1"/>
      <c r="H61" s="3" t="e">
        <f>ROUND(H60*F61%,2)</f>
        <v>#REF!</v>
      </c>
      <c r="I61" s="27"/>
    </row>
    <row r="62" spans="1:9" s="5" customFormat="1" ht="39.950000000000003" customHeight="1">
      <c r="A62" s="17"/>
      <c r="B62" s="13" t="s">
        <v>4</v>
      </c>
      <c r="C62" s="1"/>
      <c r="D62" s="1"/>
      <c r="E62" s="4"/>
      <c r="F62" s="1"/>
      <c r="G62" s="4"/>
      <c r="H62" s="4" t="e">
        <f>ROUND(SUM(H60:H61),2)</f>
        <v>#REF!</v>
      </c>
      <c r="I62" s="27"/>
    </row>
    <row r="63" spans="1:9" s="5" customFormat="1" ht="39.950000000000003" customHeight="1">
      <c r="A63" s="17"/>
      <c r="B63" s="13" t="s">
        <v>11</v>
      </c>
      <c r="C63" s="1"/>
      <c r="D63" s="1"/>
      <c r="E63" s="31" t="s">
        <v>12</v>
      </c>
      <c r="F63" s="1">
        <v>8</v>
      </c>
      <c r="G63" s="1"/>
      <c r="H63" s="3" t="e">
        <f>ROUND(H62*F63%,2)</f>
        <v>#REF!</v>
      </c>
      <c r="I63" s="27"/>
    </row>
    <row r="64" spans="1:9" s="5" customFormat="1" ht="39.950000000000003" customHeight="1">
      <c r="A64" s="17"/>
      <c r="B64" s="13" t="s">
        <v>4</v>
      </c>
      <c r="C64" s="1"/>
      <c r="D64" s="1"/>
      <c r="E64" s="1"/>
      <c r="F64" s="1"/>
      <c r="G64" s="1"/>
      <c r="H64" s="3" t="e">
        <f>ROUND(SUM(H62:H63),2)</f>
        <v>#REF!</v>
      </c>
      <c r="I64" s="27"/>
    </row>
    <row r="65" spans="1:9" s="5" customFormat="1" ht="80.099999999999994" customHeight="1">
      <c r="A65" s="13"/>
      <c r="B65" s="15" t="str">
        <f>'3-2'!C7</f>
        <v>ღობის მოწყობის სამუშაოები</v>
      </c>
      <c r="C65" s="1"/>
      <c r="D65" s="1"/>
      <c r="E65" s="1"/>
      <c r="F65" s="1"/>
      <c r="G65" s="1"/>
      <c r="H65" s="3"/>
      <c r="I65" s="1"/>
    </row>
    <row r="66" spans="1:9" ht="39.950000000000003" customHeight="1">
      <c r="A66" s="26">
        <f>'3-2'!A8</f>
        <v>0</v>
      </c>
      <c r="B66" s="26">
        <f>'3-2'!C8</f>
        <v>0</v>
      </c>
      <c r="C66" s="26">
        <f>'3-2'!D8</f>
        <v>0</v>
      </c>
      <c r="D66" s="26">
        <f>'3-2'!F8</f>
        <v>0</v>
      </c>
      <c r="E66" s="4" t="b">
        <f t="shared" ref="E66" si="18">IF(C66="კმ","კმ",IF(C66="1 ჰა","1 ჰა",IF(C66="100 ც","ც",IF(C66="1 ც","ც",IF(C66="ც","ც",IF(C66="ტ","ტ",IF(C66="1 ტ","ტ",IF(C66="მ³","მ³",IF(C66="1 მ³","მ³",IF(C66="10 მ³","მ³",IF(C66="100 მ³","მ³",IF(C66="1000 მ³","მ³",IF(C66="1000 მ","მ",IF(C66="100 მ","მ",IF(C66="10 მ","მ",IF(C66="10 მ ","მ",IF(C66="მ","მ",IF(C66="1000 მ²","მ²",IF(C66="1000 მ² ","მ²",IF(C66="100 მ²","მ²",IF(C66="100 მ² ","მ²",IF(C66="10 მ²","მ²",IF(C66="მ² ","მ²",IF(C66="ლარი","ლარი",IF(C66="ხიდი","ლარი",IF(C66="100 მ","მ",IF(C66="გ.მ.","მ")))))))))))))))))))))))))))</f>
        <v>0</v>
      </c>
      <c r="F66" s="4" t="b">
        <f t="shared" ref="F66" si="19">IF(C66="კმ",D66,IF(C66="1 ჰა",D66,IF(C66="100 ც",D66*100,IF(C66="1 ც",D66,IF(C66="ც",D66,IF(C66="ტ",D66,IF(C66="1 ტ",D66,IF(C66="მ³",D66,IF(C66="1 მ³",D66,IF(C66="10 მ³",D66*10,IF(C66="100 მ³",D66*100,IF(C66="1000 მ³",D66*1000,IF(C66="1000 მ",D66*1000,IF(C66="100 მ",D66*100,IF(C66="10 მ",D66*10,IF(C66="10 მ ",D66*10,IF(C66="მ",D66,IF(C66="1000 მ²",D66*1000,IF(C66="1000 მ² ",D66*1000,IF(C66="100 მ²",D66*100,IF(C66="100 მ² ",D66*100,IF(C66="10 მ²",D66*10,IF(C66="მ² ",D66,IF(C66="ლარი",D66,IF(C66="ხიდი",D66,IF(C66="100 მ",D66*100,IF(C66="გ.მ.",D66)))))))))))))))))))))))))))</f>
        <v>0</v>
      </c>
      <c r="G66" s="4" t="e">
        <f t="shared" ref="G66" si="20">ROUND(H66/F66,2)</f>
        <v>#DIV/0!</v>
      </c>
      <c r="H66" s="26">
        <f>'3-2'!M8</f>
        <v>0</v>
      </c>
      <c r="I66" s="26">
        <f>'3-2'!B8</f>
        <v>0</v>
      </c>
    </row>
    <row r="67" spans="1:9" ht="39.950000000000003" customHeight="1">
      <c r="A67" s="26" t="str">
        <f>'3-2'!A13</f>
        <v>1.1.4</v>
      </c>
      <c r="B67" s="26" t="str">
        <f>'3-2'!C13</f>
        <v>სხვა მანქანები</v>
      </c>
      <c r="C67" s="26" t="str">
        <f>'3-2'!D13</f>
        <v>ლარი</v>
      </c>
      <c r="D67" s="26">
        <f>'3-2'!F13</f>
        <v>6.1600000000000002E-2</v>
      </c>
      <c r="E67" s="4" t="str">
        <f t="shared" ref="E67:E79" si="21">IF(C67="კმ","კმ",IF(C67="1 ჰა","1 ჰა",IF(C67="100 ც","ც",IF(C67="1 ც","ც",IF(C67="ც","ც",IF(C67="ტ","ტ",IF(C67="1 ტ","ტ",IF(C67="მ³","მ³",IF(C67="1 მ³","მ³",IF(C67="10 მ³","მ³",IF(C67="100 მ³","მ³",IF(C67="1000 მ³","მ³",IF(C67="1000 მ","მ",IF(C67="100 მ","მ",IF(C67="10 მ","მ",IF(C67="10 მ ","მ",IF(C67="მ","მ",IF(C67="1000 მ²","მ²",IF(C67="1000 მ² ","მ²",IF(C67="100 მ²","მ²",IF(C67="100 მ² ","მ²",IF(C67="10 მ²","მ²",IF(C67="მ² ","მ²",IF(C67="ლარი","ლარი",IF(C67="ხიდი","ლარი",IF(C67="100 მ","მ",IF(C67="გ.მ.","მ")))))))))))))))))))))))))))</f>
        <v>ლარი</v>
      </c>
      <c r="F67" s="4">
        <f t="shared" ref="F67:F79" si="22">IF(C67="კმ",D67,IF(C67="1 ჰა",D67,IF(C67="100 ც",D67*100,IF(C67="1 ც",D67,IF(C67="ც",D67,IF(C67="ტ",D67,IF(C67="1 ტ",D67,IF(C67="მ³",D67,IF(C67="1 მ³",D67,IF(C67="10 მ³",D67*10,IF(C67="100 მ³",D67*100,IF(C67="1000 მ³",D67*1000,IF(C67="1000 მ",D67*1000,IF(C67="100 მ",D67*100,IF(C67="10 მ",D67*10,IF(C67="10 მ ",D67*10,IF(C67="მ",D67,IF(C67="1000 მ²",D67*1000,IF(C67="1000 მ² ",D67*1000,IF(C67="100 მ²",D67*100,IF(C67="100 მ² ",D67*100,IF(C67="10 მ²",D67*10,IF(C67="მ² ",D67,IF(C67="ლარი",D67,IF(C67="ხიდი",D67,IF(C67="100 მ",D67*100,IF(C67="გ.მ.",D67)))))))))))))))))))))))))))</f>
        <v>6.1600000000000002E-2</v>
      </c>
      <c r="G67" s="4">
        <f t="shared" ref="G67:G79" si="23">ROUND(H67/F67,2)</f>
        <v>0</v>
      </c>
      <c r="H67" s="26">
        <f>'3-2'!M13</f>
        <v>0</v>
      </c>
      <c r="I67" s="26" t="str">
        <f>'3-2'!B13</f>
        <v>კ=0.7</v>
      </c>
    </row>
    <row r="68" spans="1:9" ht="39.950000000000003" customHeight="1">
      <c r="A68" s="26" t="str">
        <f>'3-2'!A18</f>
        <v>1.2.1</v>
      </c>
      <c r="B68" s="26" t="str">
        <f>'3-2'!C18</f>
        <v>შრომითი დანახარჯები</v>
      </c>
      <c r="C68" s="26" t="str">
        <f>'3-2'!D18</f>
        <v>კაც/სთ</v>
      </c>
      <c r="D68" s="26">
        <f>'3-2'!F18</f>
        <v>0.56000000000000005</v>
      </c>
      <c r="E68" s="4" t="b">
        <f t="shared" si="21"/>
        <v>0</v>
      </c>
      <c r="F68" s="4" t="b">
        <f t="shared" si="22"/>
        <v>0</v>
      </c>
      <c r="G68" s="4" t="e">
        <f t="shared" si="23"/>
        <v>#DIV/0!</v>
      </c>
      <c r="H68" s="26">
        <f>'3-2'!M18</f>
        <v>0</v>
      </c>
      <c r="I68" s="26">
        <f>'3-2'!B18</f>
        <v>0</v>
      </c>
    </row>
    <row r="69" spans="1:9" ht="39.950000000000003" customHeight="1">
      <c r="A69" s="26" t="str">
        <f>'3-2'!A20</f>
        <v>1.2.3</v>
      </c>
      <c r="B69" s="26" t="str">
        <f>'3-2'!C20</f>
        <v>სხვა მანქანები</v>
      </c>
      <c r="C69" s="26" t="str">
        <f>'3-2'!D20</f>
        <v>ლარი</v>
      </c>
      <c r="D69" s="26">
        <f>'3-2'!F20</f>
        <v>5.8800000000000005E-2</v>
      </c>
      <c r="E69" s="4" t="str">
        <f t="shared" si="21"/>
        <v>ლარი</v>
      </c>
      <c r="F69" s="4">
        <f t="shared" si="22"/>
        <v>5.8800000000000005E-2</v>
      </c>
      <c r="G69" s="4">
        <f t="shared" si="23"/>
        <v>0</v>
      </c>
      <c r="H69" s="26">
        <f>'3-2'!M20</f>
        <v>0</v>
      </c>
      <c r="I69" s="26">
        <f>'3-2'!B20</f>
        <v>0</v>
      </c>
    </row>
    <row r="70" spans="1:9" ht="39.950000000000003" customHeight="1">
      <c r="A70" s="26">
        <f>'3-2'!A22</f>
        <v>0</v>
      </c>
      <c r="B70" s="26">
        <f>'3-2'!C22</f>
        <v>0</v>
      </c>
      <c r="C70" s="26">
        <f>'3-2'!D22</f>
        <v>0</v>
      </c>
      <c r="D70" s="26">
        <f>'3-2'!F22</f>
        <v>0</v>
      </c>
      <c r="E70" s="4" t="b">
        <f t="shared" si="21"/>
        <v>0</v>
      </c>
      <c r="F70" s="4" t="b">
        <f t="shared" si="22"/>
        <v>0</v>
      </c>
      <c r="G70" s="4" t="e">
        <f t="shared" si="23"/>
        <v>#DIV/0!</v>
      </c>
      <c r="H70" s="26">
        <f>'3-2'!M22</f>
        <v>0</v>
      </c>
      <c r="I70" s="26">
        <f>'3-2'!B22</f>
        <v>0</v>
      </c>
    </row>
    <row r="71" spans="1:9" ht="39.950000000000003" customHeight="1">
      <c r="A71" s="26">
        <f>'3-2'!A23</f>
        <v>1.3</v>
      </c>
      <c r="B71" s="26" t="str">
        <f>'3-2'!C23</f>
        <v xml:space="preserve">მე-3 კატეგორიის გრუნტის ფენის დამუშავება ხელით </v>
      </c>
      <c r="C71" s="26" t="str">
        <f>'3-2'!D23</f>
        <v>მ3</v>
      </c>
      <c r="D71" s="26">
        <f>'3-2'!F23</f>
        <v>1</v>
      </c>
      <c r="E71" s="4" t="b">
        <f t="shared" si="21"/>
        <v>0</v>
      </c>
      <c r="F71" s="4" t="b">
        <f t="shared" si="22"/>
        <v>0</v>
      </c>
      <c r="G71" s="4" t="e">
        <f t="shared" si="23"/>
        <v>#DIV/0!</v>
      </c>
      <c r="H71" s="26">
        <f>'3-2'!M23</f>
        <v>0</v>
      </c>
      <c r="I71" s="26" t="str">
        <f>'3-2'!B23</f>
        <v>1-80-3</v>
      </c>
    </row>
    <row r="72" spans="1:9" ht="39.950000000000003" customHeight="1">
      <c r="A72" s="26" t="str">
        <f>'3-2'!A28</f>
        <v>1.4.1</v>
      </c>
      <c r="B72" s="26" t="str">
        <f>'3-2'!C28</f>
        <v>შრომითი დანახარჯები</v>
      </c>
      <c r="C72" s="26" t="str">
        <f>'3-2'!D28</f>
        <v>კაც/სთ</v>
      </c>
      <c r="D72" s="26">
        <f>'3-2'!F28</f>
        <v>1.0335000000000001</v>
      </c>
      <c r="E72" s="4" t="b">
        <f t="shared" si="21"/>
        <v>0</v>
      </c>
      <c r="F72" s="4" t="b">
        <f t="shared" si="22"/>
        <v>0</v>
      </c>
      <c r="G72" s="4" t="e">
        <f t="shared" si="23"/>
        <v>#DIV/0!</v>
      </c>
      <c r="H72" s="26">
        <f>'3-2'!M28</f>
        <v>0</v>
      </c>
      <c r="I72" s="26" t="str">
        <f>'3-2'!B28</f>
        <v>ЕНиР</v>
      </c>
    </row>
    <row r="73" spans="1:9" ht="39.950000000000003" customHeight="1">
      <c r="A73" s="26">
        <f>'3-2'!A31</f>
        <v>0</v>
      </c>
      <c r="B73" s="26">
        <f>'3-2'!C31</f>
        <v>0</v>
      </c>
      <c r="C73" s="26">
        <f>'3-2'!D31</f>
        <v>0</v>
      </c>
      <c r="D73" s="26">
        <f>'3-2'!F31</f>
        <v>0</v>
      </c>
      <c r="E73" s="4" t="b">
        <f t="shared" si="21"/>
        <v>0</v>
      </c>
      <c r="F73" s="4" t="b">
        <f t="shared" si="22"/>
        <v>0</v>
      </c>
      <c r="G73" s="4" t="e">
        <f t="shared" si="23"/>
        <v>#DIV/0!</v>
      </c>
      <c r="H73" s="26">
        <f>'3-2'!M31</f>
        <v>0</v>
      </c>
      <c r="I73" s="26">
        <f>'3-2'!B31</f>
        <v>0</v>
      </c>
    </row>
    <row r="74" spans="1:9" ht="39.950000000000003" customHeight="1">
      <c r="A74" s="26" t="str">
        <f>'3-2'!A36</f>
        <v>1.6.3</v>
      </c>
      <c r="B74" s="26" t="str">
        <f>'3-2'!C36</f>
        <v>სხვა მანქანები</v>
      </c>
      <c r="C74" s="26" t="str">
        <f>'3-2'!D36</f>
        <v>ლარი</v>
      </c>
      <c r="D74" s="26">
        <f>'3-2'!F36</f>
        <v>5.2199999999999998E-3</v>
      </c>
      <c r="E74" s="4" t="str">
        <f t="shared" si="21"/>
        <v>ლარი</v>
      </c>
      <c r="F74" s="4">
        <f t="shared" si="22"/>
        <v>5.2199999999999998E-3</v>
      </c>
      <c r="G74" s="4">
        <f t="shared" si="23"/>
        <v>0</v>
      </c>
      <c r="H74" s="26">
        <f>'3-2'!M36</f>
        <v>0</v>
      </c>
      <c r="I74" s="26">
        <f>'3-2'!B36</f>
        <v>0</v>
      </c>
    </row>
    <row r="75" spans="1:9" ht="39.950000000000003" customHeight="1">
      <c r="A75" s="35">
        <f>'3-2'!A46</f>
        <v>1.8</v>
      </c>
      <c r="B75" s="26" t="str">
        <f>'3-2'!C46</f>
        <v>ბეტონის საგების  მომზადება სისქით 10 სმ</v>
      </c>
      <c r="C75" s="26" t="str">
        <f>'3-2'!D46</f>
        <v>მ3</v>
      </c>
      <c r="D75" s="26">
        <f>'3-2'!F46</f>
        <v>2</v>
      </c>
      <c r="E75" s="4" t="b">
        <f t="shared" si="21"/>
        <v>0</v>
      </c>
      <c r="F75" s="4" t="b">
        <f t="shared" si="22"/>
        <v>0</v>
      </c>
      <c r="G75" s="4" t="e">
        <f t="shared" si="23"/>
        <v>#DIV/0!</v>
      </c>
      <c r="H75" s="26">
        <f>'3-2'!M46</f>
        <v>0</v>
      </c>
      <c r="I75" s="26" t="str">
        <f>'3-2'!B46</f>
        <v>6-1-1.</v>
      </c>
    </row>
    <row r="76" spans="1:9" ht="39.950000000000003" customHeight="1">
      <c r="A76" s="26" t="str">
        <f>'3-2'!A51</f>
        <v>1.8.4</v>
      </c>
      <c r="B76" s="26" t="str">
        <f>'3-2'!C51</f>
        <v>სხვა მასალები</v>
      </c>
      <c r="C76" s="26" t="str">
        <f>'3-2'!D51</f>
        <v>ლარი</v>
      </c>
      <c r="D76" s="26">
        <f>'3-2'!F51</f>
        <v>1.24</v>
      </c>
      <c r="E76" s="4" t="str">
        <f t="shared" si="21"/>
        <v>ლარი</v>
      </c>
      <c r="F76" s="4">
        <f t="shared" si="22"/>
        <v>1.24</v>
      </c>
      <c r="G76" s="4">
        <f t="shared" si="23"/>
        <v>0</v>
      </c>
      <c r="H76" s="26">
        <f>'3-2'!M51</f>
        <v>0</v>
      </c>
      <c r="I76" s="26">
        <f>'3-2'!B51</f>
        <v>0</v>
      </c>
    </row>
    <row r="77" spans="1:9" ht="39.950000000000003" customHeight="1">
      <c r="A77" s="26">
        <f>'3-2'!A54</f>
        <v>0</v>
      </c>
      <c r="B77" s="26">
        <f>'3-2'!C54</f>
        <v>0</v>
      </c>
      <c r="C77" s="26" t="str">
        <f>'3-2'!D54</f>
        <v>100 მ3</v>
      </c>
      <c r="D77" s="26">
        <f>'3-2'!F54</f>
        <v>0.15</v>
      </c>
      <c r="E77" s="4" t="b">
        <f t="shared" si="21"/>
        <v>0</v>
      </c>
      <c r="F77" s="4" t="b">
        <f t="shared" si="22"/>
        <v>0</v>
      </c>
      <c r="G77" s="4" t="e">
        <f t="shared" si="23"/>
        <v>#DIV/0!</v>
      </c>
      <c r="H77" s="26">
        <f>'3-2'!M54</f>
        <v>0</v>
      </c>
      <c r="I77" s="26">
        <f>'3-2'!B54</f>
        <v>0</v>
      </c>
    </row>
    <row r="78" spans="1:9" ht="39.950000000000003" customHeight="1">
      <c r="A78" s="26" t="str">
        <f>'3-2'!A56</f>
        <v>1.9.3</v>
      </c>
      <c r="B78" s="26" t="str">
        <f>'3-2'!C56</f>
        <v>სხვა მასალები მანქანები</v>
      </c>
      <c r="C78" s="26" t="str">
        <f>'3-2'!D56</f>
        <v>ლარი</v>
      </c>
      <c r="D78" s="26">
        <f>'3-2'!F56</f>
        <v>16.349999999999998</v>
      </c>
      <c r="E78" s="4" t="str">
        <f t="shared" si="21"/>
        <v>ლარი</v>
      </c>
      <c r="F78" s="4">
        <f t="shared" si="22"/>
        <v>16.349999999999998</v>
      </c>
      <c r="G78" s="4">
        <f t="shared" si="23"/>
        <v>0</v>
      </c>
      <c r="H78" s="26">
        <f>'3-2'!M56</f>
        <v>0</v>
      </c>
      <c r="I78" s="26">
        <f>'3-2'!B56</f>
        <v>0</v>
      </c>
    </row>
    <row r="79" spans="1:9" ht="39.950000000000003" customHeight="1">
      <c r="A79" s="26" t="str">
        <f>'3-2'!A59</f>
        <v>1.9.8</v>
      </c>
      <c r="B79" s="26" t="str">
        <f>'3-2'!C59</f>
        <v>ფარი ყალიბის სისქით 18 მმ</v>
      </c>
      <c r="C79" s="26" t="str">
        <f>'3-2'!D59</f>
        <v>მ2</v>
      </c>
      <c r="D79" s="26">
        <f>'3-2'!F59</f>
        <v>17.7</v>
      </c>
      <c r="E79" s="4" t="b">
        <f t="shared" si="21"/>
        <v>0</v>
      </c>
      <c r="F79" s="4" t="b">
        <f t="shared" si="22"/>
        <v>0</v>
      </c>
      <c r="G79" s="4" t="e">
        <f t="shared" si="23"/>
        <v>#DIV/0!</v>
      </c>
      <c r="H79" s="26">
        <f>'3-2'!M59</f>
        <v>0</v>
      </c>
      <c r="I79" s="26" t="str">
        <f>'3-2'!B59</f>
        <v>5-1-132</v>
      </c>
    </row>
    <row r="80" spans="1:9" s="5" customFormat="1" ht="39.950000000000003" customHeight="1">
      <c r="A80" s="17"/>
      <c r="B80" s="13" t="s">
        <v>4</v>
      </c>
      <c r="C80" s="1"/>
      <c r="D80" s="3"/>
      <c r="E80" s="3"/>
      <c r="F80" s="4"/>
      <c r="G80" s="3"/>
      <c r="H80" s="3">
        <f>ROUND(SUM(H66:H79),2)</f>
        <v>0</v>
      </c>
      <c r="I80" s="27"/>
    </row>
    <row r="81" spans="1:9" s="5" customFormat="1" ht="39.950000000000003" customHeight="1">
      <c r="A81" s="17"/>
      <c r="B81" s="13" t="s">
        <v>10</v>
      </c>
      <c r="C81" s="1"/>
      <c r="D81" s="1"/>
      <c r="E81" s="31" t="s">
        <v>12</v>
      </c>
      <c r="F81" s="1">
        <v>10</v>
      </c>
      <c r="G81" s="1"/>
      <c r="H81" s="3">
        <f>ROUND(H80*F81%,2)</f>
        <v>0</v>
      </c>
      <c r="I81" s="27"/>
    </row>
    <row r="82" spans="1:9" s="5" customFormat="1" ht="39.950000000000003" customHeight="1">
      <c r="A82" s="17"/>
      <c r="B82" s="13" t="s">
        <v>4</v>
      </c>
      <c r="C82" s="1"/>
      <c r="D82" s="1"/>
      <c r="E82" s="4"/>
      <c r="F82" s="1"/>
      <c r="G82" s="4"/>
      <c r="H82" s="4">
        <f>ROUND(SUM(H80:H81),2)</f>
        <v>0</v>
      </c>
      <c r="I82" s="27"/>
    </row>
    <row r="83" spans="1:9" s="5" customFormat="1" ht="39.950000000000003" customHeight="1">
      <c r="A83" s="17"/>
      <c r="B83" s="13" t="s">
        <v>11</v>
      </c>
      <c r="C83" s="1"/>
      <c r="D83" s="1"/>
      <c r="E83" s="31" t="s">
        <v>12</v>
      </c>
      <c r="F83" s="1">
        <v>8</v>
      </c>
      <c r="G83" s="1"/>
      <c r="H83" s="3">
        <f>ROUND(H82*F83%,2)</f>
        <v>0</v>
      </c>
      <c r="I83" s="27"/>
    </row>
    <row r="84" spans="1:9" s="5" customFormat="1" ht="39.950000000000003" customHeight="1">
      <c r="A84" s="17"/>
      <c r="B84" s="13" t="s">
        <v>4</v>
      </c>
      <c r="C84" s="1"/>
      <c r="D84" s="1"/>
      <c r="E84" s="1"/>
      <c r="F84" s="1"/>
      <c r="G84" s="1"/>
      <c r="H84" s="3">
        <f>ROUND(SUM(H82:H83),2)</f>
        <v>0</v>
      </c>
      <c r="I84" s="27"/>
    </row>
    <row r="85" spans="1:9" s="5" customFormat="1" ht="80.099999999999994" customHeight="1">
      <c r="A85" s="13"/>
      <c r="B85" s="15" t="str">
        <f>'3-3'!C7</f>
        <v>სანიაღვრე ქსელის მოწყობა</v>
      </c>
      <c r="C85" s="1"/>
      <c r="D85" s="1"/>
      <c r="E85" s="1"/>
      <c r="F85" s="1"/>
      <c r="G85" s="1"/>
      <c r="H85" s="3"/>
      <c r="I85" s="1"/>
    </row>
    <row r="86" spans="1:9" ht="39.950000000000003" customHeight="1">
      <c r="A86" s="26">
        <f>'3-3'!A8</f>
        <v>0</v>
      </c>
      <c r="B86" s="26">
        <f>'3-3'!C8</f>
        <v>0</v>
      </c>
      <c r="C86" s="26">
        <f>'3-3'!D8</f>
        <v>0</v>
      </c>
      <c r="D86" s="26">
        <f>'3-3'!F8</f>
        <v>0</v>
      </c>
      <c r="E86" s="4" t="b">
        <f t="shared" ref="E86" si="24">IF(C86="კმ","კმ",IF(C86="1 ჰა","1 ჰა",IF(C86="100 ც","ც",IF(C86="1 ც","ც",IF(C86="ც","ც",IF(C86="ტ","ტ",IF(C86="1 ტ","ტ",IF(C86="მ³","მ³",IF(C86="1 მ³","მ³",IF(C86="10 მ³","მ³",IF(C86="100 მ³","მ³",IF(C86="1000 მ³","მ³",IF(C86="1000 მ","მ",IF(C86="100 მ","მ",IF(C86="10 მ","მ",IF(C86="10 მ ","მ",IF(C86="მ","მ",IF(C86="1000 მ²","მ²",IF(C86="1000 მ² ","მ²",IF(C86="100 მ²","მ²",IF(C86="100 მ² ","მ²",IF(C86="10 მ²","მ²",IF(C86="მ² ","მ²",IF(C86="ლარი","ლარი",IF(C86="ხიდი","ლარი",IF(C86="100 მ","მ",IF(C86="გ.მ.","მ")))))))))))))))))))))))))))</f>
        <v>0</v>
      </c>
      <c r="F86" s="4" t="b">
        <f t="shared" ref="F86" si="25">IF(C86="კმ",D86,IF(C86="1 ჰა",D86,IF(C86="100 ც",D86*100,IF(C86="1 ც",D86,IF(C86="ც",D86,IF(C86="ტ",D86,IF(C86="1 ტ",D86,IF(C86="მ³",D86,IF(C86="1 მ³",D86,IF(C86="10 მ³",D86*10,IF(C86="100 მ³",D86*100,IF(C86="1000 მ³",D86*1000,IF(C86="1000 მ",D86*1000,IF(C86="100 მ",D86*100,IF(C86="10 მ",D86*10,IF(C86="10 მ ",D86*10,IF(C86="მ",D86,IF(C86="1000 მ²",D86*1000,IF(C86="1000 მ² ",D86*1000,IF(C86="100 მ²",D86*100,IF(C86="100 მ² ",D86*100,IF(C86="10 მ²",D86*10,IF(C86="მ² ",D86,IF(C86="ლარი",D86,IF(C86="ხიდი",D86,IF(C86="100 მ",D86*100,IF(C86="გ.მ.",D86)))))))))))))))))))))))))))</f>
        <v>0</v>
      </c>
      <c r="G86" s="4" t="e">
        <f t="shared" ref="G86" si="26">ROUND(H86/F86,2)</f>
        <v>#DIV/0!</v>
      </c>
      <c r="H86" s="26">
        <f>'3-3'!M8</f>
        <v>0</v>
      </c>
      <c r="I86" s="26">
        <f>'3-3'!B8</f>
        <v>0</v>
      </c>
    </row>
    <row r="87" spans="1:9" ht="39.950000000000003" customHeight="1">
      <c r="A87" s="26" t="str">
        <f>'3-3'!A13</f>
        <v>1.1.3</v>
      </c>
      <c r="B87" s="26" t="str">
        <f>'3-3'!C13</f>
        <v>სხვა მანქანები</v>
      </c>
      <c r="C87" s="26" t="str">
        <f>'3-3'!D13</f>
        <v>ლარი</v>
      </c>
      <c r="D87" s="26">
        <f>'3-3'!F13</f>
        <v>0.69720000000000004</v>
      </c>
      <c r="E87" s="4" t="str">
        <f t="shared" ref="E87:E93" si="27">IF(C87="კმ","კმ",IF(C87="1 ჰა","1 ჰა",IF(C87="100 ც","ც",IF(C87="1 ც","ც",IF(C87="ც","ც",IF(C87="ტ","ტ",IF(C87="1 ტ","ტ",IF(C87="მ³","მ³",IF(C87="1 მ³","მ³",IF(C87="10 მ³","მ³",IF(C87="100 მ³","მ³",IF(C87="1000 მ³","მ³",IF(C87="1000 მ","მ",IF(C87="100 მ","მ",IF(C87="10 მ","მ",IF(C87="10 მ ","მ",IF(C87="მ","მ",IF(C87="1000 მ²","მ²",IF(C87="1000 მ² ","მ²",IF(C87="100 მ²","მ²",IF(C87="100 მ² ","მ²",IF(C87="10 მ²","მ²",IF(C87="მ² ","მ²",IF(C87="ლარი","ლარი",IF(C87="ხიდი","ლარი",IF(C87="100 მ","მ",IF(C87="გ.მ.","მ")))))))))))))))))))))))))))</f>
        <v>ლარი</v>
      </c>
      <c r="F87" s="4">
        <f t="shared" ref="F87:F93" si="28">IF(C87="კმ",D87,IF(C87="1 ჰა",D87,IF(C87="100 ც",D87*100,IF(C87="1 ც",D87,IF(C87="ც",D87,IF(C87="ტ",D87,IF(C87="1 ტ",D87,IF(C87="მ³",D87,IF(C87="1 მ³",D87,IF(C87="10 მ³",D87*10,IF(C87="100 მ³",D87*100,IF(C87="1000 მ³",D87*1000,IF(C87="1000 მ",D87*1000,IF(C87="100 მ",D87*100,IF(C87="10 მ",D87*10,IF(C87="10 მ ",D87*10,IF(C87="მ",D87,IF(C87="1000 მ²",D87*1000,IF(C87="1000 მ² ",D87*1000,IF(C87="100 მ²",D87*100,IF(C87="100 მ² ",D87*100,IF(C87="10 მ²",D87*10,IF(C87="მ² ",D87,IF(C87="ლარი",D87,IF(C87="ხიდი",D87,IF(C87="100 მ",D87*100,IF(C87="გ.მ.",D87)))))))))))))))))))))))))))</f>
        <v>0.69720000000000004</v>
      </c>
      <c r="G87" s="4">
        <f t="shared" ref="G87:G94" si="29">ROUND(H87/F87,2)</f>
        <v>0</v>
      </c>
      <c r="H87" s="26">
        <f>'3-3'!M13</f>
        <v>0</v>
      </c>
      <c r="I87" s="26">
        <f>'3-3'!B13</f>
        <v>0</v>
      </c>
    </row>
    <row r="88" spans="1:9" ht="39.950000000000003" customHeight="1">
      <c r="A88" s="26">
        <f>'3-3'!A16</f>
        <v>1.2</v>
      </c>
      <c r="B88" s="26" t="str">
        <f>'3-3'!C16</f>
        <v>ქვიშა-ხრეშოვანი ქვესაგები ფენის მოწყობა სისქით 30 სმ</v>
      </c>
      <c r="C88" s="26" t="str">
        <f>'3-3'!D16</f>
        <v>მ3</v>
      </c>
      <c r="D88" s="26">
        <f>'3-3'!F16</f>
        <v>13</v>
      </c>
      <c r="E88" s="4" t="b">
        <f t="shared" si="27"/>
        <v>0</v>
      </c>
      <c r="F88" s="4" t="b">
        <f t="shared" si="28"/>
        <v>0</v>
      </c>
      <c r="G88" s="4" t="e">
        <f t="shared" si="29"/>
        <v>#DIV/0!</v>
      </c>
      <c r="H88" s="26">
        <f>'3-3'!M16</f>
        <v>0</v>
      </c>
      <c r="I88" s="26" t="str">
        <f>'3-3'!B16</f>
        <v>23-1-2.</v>
      </c>
    </row>
    <row r="89" spans="1:9" ht="39.950000000000003" customHeight="1">
      <c r="A89" s="26">
        <f>'3-3'!A21</f>
        <v>1.3</v>
      </c>
      <c r="B89" s="26" t="str">
        <f>'3-3'!C21</f>
        <v>პლასტმასის გოფრირებული მილის მონტაჟი Ø500 მმ</v>
      </c>
      <c r="C89" s="26" t="str">
        <f>'3-3'!D21</f>
        <v>მ</v>
      </c>
      <c r="D89" s="26">
        <f>'3-3'!F21</f>
        <v>130</v>
      </c>
      <c r="E89" s="4" t="str">
        <f t="shared" si="27"/>
        <v>მ</v>
      </c>
      <c r="F89" s="4">
        <f t="shared" si="28"/>
        <v>130</v>
      </c>
      <c r="G89" s="4">
        <f t="shared" si="29"/>
        <v>0</v>
      </c>
      <c r="H89" s="26">
        <f>'3-3'!M21</f>
        <v>0</v>
      </c>
      <c r="I89" s="26" t="str">
        <f>'3-3'!B21</f>
        <v>23-01-020-04</v>
      </c>
    </row>
    <row r="90" spans="1:9" ht="39.950000000000003" customHeight="1">
      <c r="A90" s="26" t="e">
        <f>'3-3'!#REF!</f>
        <v>#REF!</v>
      </c>
      <c r="B90" s="26" t="e">
        <f>'3-3'!#REF!</f>
        <v>#REF!</v>
      </c>
      <c r="C90" s="26" t="e">
        <f>'3-3'!#REF!</f>
        <v>#REF!</v>
      </c>
      <c r="D90" s="26" t="e">
        <f>'3-3'!#REF!</f>
        <v>#REF!</v>
      </c>
      <c r="E90" s="4" t="e">
        <f t="shared" si="27"/>
        <v>#REF!</v>
      </c>
      <c r="F90" s="4" t="e">
        <f t="shared" si="28"/>
        <v>#REF!</v>
      </c>
      <c r="G90" s="4" t="e">
        <f t="shared" si="29"/>
        <v>#REF!</v>
      </c>
      <c r="H90" s="26" t="e">
        <f>'3-3'!#REF!</f>
        <v>#REF!</v>
      </c>
      <c r="I90" s="26" t="e">
        <f>'3-3'!#REF!</f>
        <v>#REF!</v>
      </c>
    </row>
    <row r="91" spans="1:9" ht="39.950000000000003" customHeight="1">
      <c r="A91" s="26" t="str">
        <f>'3-3'!A27</f>
        <v>1.3.7</v>
      </c>
      <c r="B91" s="26" t="str">
        <f>'3-3'!C27</f>
        <v>ავტომობილი ბორტიანი 5 ტ-მდე</v>
      </c>
      <c r="C91" s="26" t="str">
        <f>'3-3'!D27</f>
        <v>მანქ/სთ</v>
      </c>
      <c r="D91" s="26">
        <f>'3-3'!F27</f>
        <v>0.50700000000000001</v>
      </c>
      <c r="E91" s="4" t="b">
        <f t="shared" si="27"/>
        <v>0</v>
      </c>
      <c r="F91" s="4" t="b">
        <f t="shared" si="28"/>
        <v>0</v>
      </c>
      <c r="G91" s="4" t="e">
        <f t="shared" si="29"/>
        <v>#DIV/0!</v>
      </c>
      <c r="H91" s="26">
        <f>'3-3'!M27</f>
        <v>0</v>
      </c>
      <c r="I91" s="26" t="str">
        <f>'3-3'!B27</f>
        <v>14-1-340</v>
      </c>
    </row>
    <row r="92" spans="1:9" ht="39.950000000000003" customHeight="1">
      <c r="A92" s="26" t="str">
        <f>'3-3'!A31</f>
        <v>1.4.1</v>
      </c>
      <c r="B92" s="26" t="str">
        <f>'3-3'!C31</f>
        <v>შრომითი დანახარჯები</v>
      </c>
      <c r="C92" s="26" t="str">
        <f>'3-3'!D31</f>
        <v>კაც/სთ</v>
      </c>
      <c r="D92" s="26">
        <f>'3-3'!F31</f>
        <v>55.8</v>
      </c>
      <c r="E92" s="4" t="str">
        <f>C92</f>
        <v>კაც/სთ</v>
      </c>
      <c r="F92" s="4">
        <f>D92</f>
        <v>55.8</v>
      </c>
      <c r="G92" s="4">
        <f t="shared" si="29"/>
        <v>0</v>
      </c>
      <c r="H92" s="26">
        <f>'3-3'!M31</f>
        <v>0</v>
      </c>
      <c r="I92" s="26">
        <f>'3-3'!B31</f>
        <v>0</v>
      </c>
    </row>
    <row r="93" spans="1:9" ht="39.950000000000003" customHeight="1">
      <c r="A93" s="26" t="str">
        <f>'3-3'!A36</f>
        <v>1.5.1</v>
      </c>
      <c r="B93" s="26" t="str">
        <f>'3-3'!C36</f>
        <v>შრომითი დანახარჯები</v>
      </c>
      <c r="C93" s="26" t="str">
        <f>'3-3'!D36</f>
        <v>კაც/სთ</v>
      </c>
      <c r="D93" s="26">
        <f>'3-3'!F36</f>
        <v>0.51150000000000007</v>
      </c>
      <c r="E93" s="4" t="b">
        <f t="shared" si="27"/>
        <v>0</v>
      </c>
      <c r="F93" s="4" t="b">
        <f t="shared" si="28"/>
        <v>0</v>
      </c>
      <c r="G93" s="4" t="e">
        <f t="shared" si="29"/>
        <v>#DIV/0!</v>
      </c>
      <c r="H93" s="26">
        <f>'3-3'!M36</f>
        <v>0</v>
      </c>
      <c r="I93" s="26">
        <f>'3-3'!B36</f>
        <v>0</v>
      </c>
    </row>
    <row r="94" spans="1:9" ht="39.950000000000003" customHeight="1">
      <c r="A94" s="26">
        <f>'3-3'!A42</f>
        <v>0</v>
      </c>
      <c r="B94" s="26">
        <f>'3-3'!C42</f>
        <v>0</v>
      </c>
      <c r="C94" s="26" t="str">
        <f>'3-3'!D42</f>
        <v>100 მ3</v>
      </c>
      <c r="D94" s="26">
        <f>'3-3'!F42</f>
        <v>3.4000000000000002E-2</v>
      </c>
      <c r="E94" s="4" t="str">
        <f>C94</f>
        <v>100 მ3</v>
      </c>
      <c r="F94" s="4">
        <f>D94</f>
        <v>3.4000000000000002E-2</v>
      </c>
      <c r="G94" s="4">
        <f t="shared" si="29"/>
        <v>0</v>
      </c>
      <c r="H94" s="26">
        <f>'3-3'!M42</f>
        <v>0</v>
      </c>
      <c r="I94" s="26">
        <f>'3-3'!B42</f>
        <v>0</v>
      </c>
    </row>
    <row r="95" spans="1:9" s="5" customFormat="1" ht="39.950000000000003" customHeight="1">
      <c r="A95" s="17"/>
      <c r="B95" s="13" t="s">
        <v>4</v>
      </c>
      <c r="C95" s="1"/>
      <c r="D95" s="3"/>
      <c r="E95" s="3"/>
      <c r="F95" s="4"/>
      <c r="G95" s="3"/>
      <c r="H95" s="3" t="e">
        <f>ROUND(SUM(H86:H94),2)</f>
        <v>#REF!</v>
      </c>
      <c r="I95" s="27"/>
    </row>
    <row r="96" spans="1:9" s="5" customFormat="1" ht="39.950000000000003" customHeight="1">
      <c r="A96" s="17"/>
      <c r="B96" s="13" t="s">
        <v>10</v>
      </c>
      <c r="C96" s="1"/>
      <c r="D96" s="1"/>
      <c r="E96" s="31" t="s">
        <v>12</v>
      </c>
      <c r="F96" s="1">
        <v>10</v>
      </c>
      <c r="G96" s="1"/>
      <c r="H96" s="3" t="e">
        <f>ROUND(H95*F96%,2)</f>
        <v>#REF!</v>
      </c>
      <c r="I96" s="27"/>
    </row>
    <row r="97" spans="1:9" s="5" customFormat="1" ht="39.950000000000003" customHeight="1">
      <c r="A97" s="17"/>
      <c r="B97" s="13" t="s">
        <v>4</v>
      </c>
      <c r="C97" s="1"/>
      <c r="D97" s="1"/>
      <c r="E97" s="4"/>
      <c r="F97" s="1"/>
      <c r="G97" s="4"/>
      <c r="H97" s="4" t="e">
        <f>ROUND(SUM(H95:H96),2)</f>
        <v>#REF!</v>
      </c>
      <c r="I97" s="27"/>
    </row>
    <row r="98" spans="1:9" s="5" customFormat="1" ht="39.950000000000003" customHeight="1">
      <c r="A98" s="17"/>
      <c r="B98" s="13" t="s">
        <v>11</v>
      </c>
      <c r="C98" s="1"/>
      <c r="D98" s="1"/>
      <c r="E98" s="31" t="s">
        <v>12</v>
      </c>
      <c r="F98" s="1">
        <v>8</v>
      </c>
      <c r="G98" s="1"/>
      <c r="H98" s="3" t="e">
        <f>ROUND(H97*F98%,2)</f>
        <v>#REF!</v>
      </c>
      <c r="I98" s="27"/>
    </row>
    <row r="99" spans="1:9" s="5" customFormat="1" ht="39.950000000000003" customHeight="1">
      <c r="A99" s="17"/>
      <c r="B99" s="13" t="s">
        <v>4</v>
      </c>
      <c r="C99" s="1"/>
      <c r="D99" s="1"/>
      <c r="E99" s="1"/>
      <c r="F99" s="1"/>
      <c r="G99" s="1"/>
      <c r="H99" s="3" t="e">
        <f>ROUND(SUM(H97:H98),2)</f>
        <v>#REF!</v>
      </c>
      <c r="I99" s="27"/>
    </row>
    <row r="100" spans="1:9" s="5" customFormat="1" ht="80.099999999999994" customHeight="1">
      <c r="A100" s="13"/>
      <c r="B100" s="15" t="str">
        <f>'4-1'!C7</f>
        <v>საგზაო სამოსი ტიპი 1</v>
      </c>
      <c r="C100" s="1"/>
      <c r="D100" s="1"/>
      <c r="E100" s="1"/>
      <c r="F100" s="1"/>
      <c r="G100" s="1"/>
      <c r="H100" s="3"/>
      <c r="I100" s="1"/>
    </row>
    <row r="101" spans="1:9" ht="39.950000000000003" customHeight="1">
      <c r="A101" s="26">
        <f>'4-1'!A8</f>
        <v>0</v>
      </c>
      <c r="B101" s="26">
        <f>'4-1'!C8</f>
        <v>0</v>
      </c>
      <c r="C101" s="26">
        <f>'4-1'!D8</f>
        <v>0</v>
      </c>
      <c r="D101" s="26">
        <f>'4-1'!F8</f>
        <v>0</v>
      </c>
      <c r="E101" s="4" t="b">
        <f t="shared" ref="E101" si="30">IF(C101="კმ","კმ",IF(C101="1 ჰა","1 ჰა",IF(C101="100 ც","ც",IF(C101="1 ც","ც",IF(C101="ც","ც",IF(C101="ტ","ტ",IF(C101="1 ტ","ტ",IF(C101="მ³","მ³",IF(C101="1 მ³","მ³",IF(C101="10 მ³","მ³",IF(C101="100 მ³","მ³",IF(C101="1000 მ³","მ³",IF(C101="1000 მ","მ",IF(C101="100 მ","მ",IF(C101="10 მ","მ",IF(C101="10 მ ","მ",IF(C101="მ","მ",IF(C101="1000 მ²","მ²",IF(C101="1000 მ² ","მ²",IF(C101="100 მ²","მ²",IF(C101="100 მ² ","მ²",IF(C101="10 მ²","მ²",IF(C101="მ² ","მ²",IF(C101="ლარი","ლარი",IF(C101="ხიდი","ლარი",IF(C101="100 მ","მ",IF(C101="გ.მ.","მ")))))))))))))))))))))))))))</f>
        <v>0</v>
      </c>
      <c r="F101" s="4" t="b">
        <f t="shared" ref="F101" si="31">IF(C101="კმ",D101,IF(C101="1 ჰა",D101,IF(C101="100 ც",D101*100,IF(C101="1 ც",D101,IF(C101="ც",D101,IF(C101="ტ",D101,IF(C101="1 ტ",D101,IF(C101="მ³",D101,IF(C101="1 მ³",D101,IF(C101="10 მ³",D101*10,IF(C101="100 მ³",D101*100,IF(C101="1000 მ³",D101*1000,IF(C101="1000 მ",D101*1000,IF(C101="100 მ",D101*100,IF(C101="10 მ",D101*10,IF(C101="10 მ ",D101*10,IF(C101="მ",D101,IF(C101="1000 მ²",D101*1000,IF(C101="1000 მ² ",D101*1000,IF(C101="100 მ²",D101*100,IF(C101="100 მ² ",D101*100,IF(C101="10 მ²",D101*10,IF(C101="მ² ",D101,IF(C101="ლარი",D101,IF(C101="ხიდი",D101,IF(C101="100 მ",D101*100,IF(C101="გ.მ.",D101)))))))))))))))))))))))))))</f>
        <v>0</v>
      </c>
      <c r="G101" s="4" t="e">
        <f t="shared" ref="G101" si="32">ROUND(H101/F101,2)</f>
        <v>#DIV/0!</v>
      </c>
      <c r="H101" s="26">
        <f>'4-1'!M8</f>
        <v>0</v>
      </c>
      <c r="I101" s="26">
        <f>'4-1'!B8</f>
        <v>0</v>
      </c>
    </row>
    <row r="102" spans="1:9" ht="39.950000000000003" customHeight="1">
      <c r="A102" s="26" t="e">
        <f>'4-1'!#REF!</f>
        <v>#REF!</v>
      </c>
      <c r="B102" s="26" t="e">
        <f>'4-1'!#REF!</f>
        <v>#REF!</v>
      </c>
      <c r="C102" s="26" t="e">
        <f>'4-1'!#REF!</f>
        <v>#REF!</v>
      </c>
      <c r="D102" s="26" t="e">
        <f>'4-1'!#REF!</f>
        <v>#REF!</v>
      </c>
      <c r="E102" s="4" t="e">
        <f t="shared" ref="E102:E106" si="33">IF(C102="კმ","კმ",IF(C102="1 ჰა","1 ჰა",IF(C102="100 ც","ც",IF(C102="1 ც","ც",IF(C102="ც","ც",IF(C102="ტ","ტ",IF(C102="1 ტ","ტ",IF(C102="მ³","მ³",IF(C102="1 მ³","მ³",IF(C102="10 მ³","მ³",IF(C102="100 მ³","მ³",IF(C102="1000 მ³","მ³",IF(C102="1000 მ","მ",IF(C102="100 მ","მ",IF(C102="10 მ","მ",IF(C102="10 მ ","მ",IF(C102="მ","მ",IF(C102="1000 მ²","მ²",IF(C102="1000 მ² ","მ²",IF(C102="100 მ²","მ²",IF(C102="100 მ² ","მ²",IF(C102="10 მ²","მ²",IF(C102="მ² ","მ²",IF(C102="ლარი","ლარი",IF(C102="ხიდი","ლარი",IF(C102="100 მ","მ",IF(C102="გ.მ.","მ")))))))))))))))))))))))))))</f>
        <v>#REF!</v>
      </c>
      <c r="F102" s="4" t="e">
        <f t="shared" ref="F102:F106" si="34">IF(C102="კმ",D102,IF(C102="1 ჰა",D102,IF(C102="100 ც",D102*100,IF(C102="1 ც",D102,IF(C102="ც",D102,IF(C102="ტ",D102,IF(C102="1 ტ",D102,IF(C102="მ³",D102,IF(C102="1 მ³",D102,IF(C102="10 მ³",D102*10,IF(C102="100 მ³",D102*100,IF(C102="1000 მ³",D102*1000,IF(C102="1000 მ",D102*1000,IF(C102="100 მ",D102*100,IF(C102="10 მ",D102*10,IF(C102="10 მ ",D102*10,IF(C102="მ",D102,IF(C102="1000 მ²",D102*1000,IF(C102="1000 მ² ",D102*1000,IF(C102="100 მ²",D102*100,IF(C102="100 მ² ",D102*100,IF(C102="10 მ²",D102*10,IF(C102="მ² ",D102,IF(C102="ლარი",D102,IF(C102="ხიდი",D102,IF(C102="100 მ",D102*100,IF(C102="გ.მ.",D102)))))))))))))))))))))))))))</f>
        <v>#REF!</v>
      </c>
      <c r="G102" s="4" t="e">
        <f t="shared" ref="G102:G106" si="35">ROUND(H102/F102,2)</f>
        <v>#REF!</v>
      </c>
      <c r="H102" s="26" t="e">
        <f>'4-1'!#REF!</f>
        <v>#REF!</v>
      </c>
      <c r="I102" s="26" t="e">
        <f>'4-1'!#REF!</f>
        <v>#REF!</v>
      </c>
    </row>
    <row r="103" spans="1:9" ht="39.950000000000003" customHeight="1">
      <c r="A103" s="26">
        <f>'4-1'!A18</f>
        <v>1.2</v>
      </c>
      <c r="B103" s="26" t="str">
        <f>'4-1'!C18</f>
        <v>თხევადი ბიტუმის მოსხმა</v>
      </c>
      <c r="C103" s="26" t="str">
        <f>'4-1'!D18</f>
        <v>ტ</v>
      </c>
      <c r="D103" s="26">
        <f>'4-1'!F18</f>
        <v>0.56000000000000005</v>
      </c>
      <c r="E103" s="4" t="str">
        <f t="shared" si="33"/>
        <v>ტ</v>
      </c>
      <c r="F103" s="4">
        <f t="shared" si="34"/>
        <v>0.56000000000000005</v>
      </c>
      <c r="G103" s="4">
        <f t="shared" si="35"/>
        <v>0</v>
      </c>
      <c r="H103" s="26">
        <f>'4-1'!M18</f>
        <v>0</v>
      </c>
      <c r="I103" s="26" t="str">
        <f>'4-1'!B18</f>
        <v>27-63-1</v>
      </c>
    </row>
    <row r="104" spans="1:9" ht="39.950000000000003" customHeight="1">
      <c r="A104" s="26" t="str">
        <f>'4-1'!A26</f>
        <v>1.3.2</v>
      </c>
      <c r="B104" s="26" t="str">
        <f>'4-1'!C26</f>
        <v>თვითმავალი სატკეპნი საგზაო 5 ტ</v>
      </c>
      <c r="C104" s="26" t="str">
        <f>'4-1'!D26</f>
        <v>მანქ/სთ</v>
      </c>
      <c r="D104" s="26">
        <f>'4-1'!F26</f>
        <v>3.3411000000000004</v>
      </c>
      <c r="E104" s="4" t="b">
        <f t="shared" si="33"/>
        <v>0</v>
      </c>
      <c r="F104" s="4" t="b">
        <f t="shared" si="34"/>
        <v>0</v>
      </c>
      <c r="G104" s="4" t="e">
        <f t="shared" si="35"/>
        <v>#DIV/0!</v>
      </c>
      <c r="H104" s="26">
        <f>'4-1'!M26</f>
        <v>0</v>
      </c>
      <c r="I104" s="26" t="str">
        <f>'4-1'!B26</f>
        <v>14-1-218</v>
      </c>
    </row>
    <row r="105" spans="1:9" ht="39.950000000000003" customHeight="1">
      <c r="A105" s="26" t="str">
        <f>'4-1'!A29</f>
        <v>1.3.5</v>
      </c>
      <c r="B105" s="26" t="str">
        <f>'4-1'!C29</f>
        <v>სხვა მანქანები</v>
      </c>
      <c r="C105" s="26" t="str">
        <f>'4-1'!D29</f>
        <v>ლარი</v>
      </c>
      <c r="D105" s="26">
        <f>'4-1'!F29</f>
        <v>2.0768999999999997</v>
      </c>
      <c r="E105" s="4" t="str">
        <f t="shared" si="33"/>
        <v>ლარი</v>
      </c>
      <c r="F105" s="4">
        <f t="shared" si="34"/>
        <v>2.0768999999999997</v>
      </c>
      <c r="G105" s="4">
        <f t="shared" si="35"/>
        <v>0</v>
      </c>
      <c r="H105" s="26">
        <f>'4-1'!M29</f>
        <v>0</v>
      </c>
      <c r="I105" s="26">
        <f>'4-1'!B29</f>
        <v>0</v>
      </c>
    </row>
    <row r="106" spans="1:9" ht="39.950000000000003" customHeight="1">
      <c r="A106" s="26">
        <f>'4-1'!A37</f>
        <v>0</v>
      </c>
      <c r="B106" s="26">
        <f>'4-1'!C37</f>
        <v>0</v>
      </c>
      <c r="C106" s="26">
        <f>'4-1'!D37</f>
        <v>0</v>
      </c>
      <c r="D106" s="26">
        <f>'4-1'!F37</f>
        <v>0</v>
      </c>
      <c r="E106" s="4" t="b">
        <f t="shared" si="33"/>
        <v>0</v>
      </c>
      <c r="F106" s="4" t="b">
        <f t="shared" si="34"/>
        <v>0</v>
      </c>
      <c r="G106" s="4" t="e">
        <f t="shared" si="35"/>
        <v>#DIV/0!</v>
      </c>
      <c r="H106" s="26">
        <f>'4-1'!M37</f>
        <v>0</v>
      </c>
      <c r="I106" s="26">
        <f>'4-1'!B37</f>
        <v>0</v>
      </c>
    </row>
    <row r="107" spans="1:9" s="5" customFormat="1" ht="39.950000000000003" customHeight="1">
      <c r="A107" s="17"/>
      <c r="B107" s="13" t="s">
        <v>4</v>
      </c>
      <c r="C107" s="1"/>
      <c r="D107" s="3"/>
      <c r="E107" s="3"/>
      <c r="F107" s="4"/>
      <c r="G107" s="3"/>
      <c r="H107" s="3" t="e">
        <f>ROUND(SUM(H101:H106),2)</f>
        <v>#REF!</v>
      </c>
      <c r="I107" s="27"/>
    </row>
    <row r="108" spans="1:9" s="5" customFormat="1" ht="39.950000000000003" customHeight="1">
      <c r="A108" s="17"/>
      <c r="B108" s="13" t="s">
        <v>10</v>
      </c>
      <c r="C108" s="1"/>
      <c r="D108" s="1"/>
      <c r="E108" s="31" t="s">
        <v>12</v>
      </c>
      <c r="F108" s="1">
        <v>10</v>
      </c>
      <c r="G108" s="1"/>
      <c r="H108" s="3" t="e">
        <f>ROUND(H107*F108%,2)</f>
        <v>#REF!</v>
      </c>
      <c r="I108" s="27"/>
    </row>
    <row r="109" spans="1:9" s="5" customFormat="1" ht="39.950000000000003" customHeight="1">
      <c r="A109" s="17"/>
      <c r="B109" s="13" t="s">
        <v>4</v>
      </c>
      <c r="C109" s="1"/>
      <c r="D109" s="1"/>
      <c r="E109" s="4"/>
      <c r="F109" s="1"/>
      <c r="G109" s="4"/>
      <c r="H109" s="3" t="e">
        <f>ROUND(SUM(H107:H108),2)</f>
        <v>#REF!</v>
      </c>
      <c r="I109" s="27"/>
    </row>
    <row r="110" spans="1:9" s="5" customFormat="1" ht="39.950000000000003" customHeight="1">
      <c r="A110" s="17"/>
      <c r="B110" s="13" t="s">
        <v>11</v>
      </c>
      <c r="C110" s="1"/>
      <c r="D110" s="1"/>
      <c r="E110" s="31" t="s">
        <v>12</v>
      </c>
      <c r="F110" s="1">
        <v>8</v>
      </c>
      <c r="G110" s="1"/>
      <c r="H110" s="3" t="e">
        <f>ROUND(H109*F110%,2)</f>
        <v>#REF!</v>
      </c>
      <c r="I110" s="27"/>
    </row>
    <row r="111" spans="1:9" s="5" customFormat="1" ht="39.75" customHeight="1">
      <c r="A111" s="17"/>
      <c r="B111" s="13" t="s">
        <v>4</v>
      </c>
      <c r="C111" s="1"/>
      <c r="D111" s="1"/>
      <c r="E111" s="1"/>
      <c r="F111" s="1"/>
      <c r="G111" s="1"/>
      <c r="H111" s="3" t="e">
        <f>ROUND(SUM(H109:H110),2)</f>
        <v>#REF!</v>
      </c>
      <c r="I111" s="27"/>
    </row>
    <row r="112" spans="1:9" s="5" customFormat="1" ht="80.099999999999994" customHeight="1">
      <c r="A112" s="13"/>
      <c r="B112" s="15" t="str">
        <f>'4-2'!C7</f>
        <v>საგზაო სამოსი ტიპი 2</v>
      </c>
      <c r="C112" s="1"/>
      <c r="D112" s="1"/>
      <c r="E112" s="1"/>
      <c r="F112" s="1"/>
      <c r="G112" s="1"/>
      <c r="H112" s="3"/>
      <c r="I112" s="1"/>
    </row>
    <row r="113" spans="1:9" ht="39.950000000000003" customHeight="1">
      <c r="A113" s="26">
        <f>'4-2'!A8</f>
        <v>0</v>
      </c>
      <c r="B113" s="26">
        <f>'4-2'!C8</f>
        <v>0</v>
      </c>
      <c r="C113" s="26">
        <f>'4-2'!D8</f>
        <v>0</v>
      </c>
      <c r="D113" s="26">
        <f>'4-2'!F8</f>
        <v>0</v>
      </c>
      <c r="E113" s="4" t="b">
        <f t="shared" ref="E113" si="36">IF(C113="კმ","კმ",IF(C113="1 ჰა","1 ჰა",IF(C113="100 ც","ც",IF(C113="1 ც","ც",IF(C113="ც","ც",IF(C113="ტ","ტ",IF(C113="1 ტ","ტ",IF(C113="მ³","მ³",IF(C113="1 მ³","მ³",IF(C113="10 მ³","მ³",IF(C113="100 მ³","მ³",IF(C113="1000 მ³","მ³",IF(C113="1000 მ","მ",IF(C113="100 მ","მ",IF(C113="10 მ","მ",IF(C113="10 მ ","მ",IF(C113="მ","მ",IF(C113="1000 მ²","მ²",IF(C113="1000 მ² ","მ²",IF(C113="100 მ²","მ²",IF(C113="100 მ² ","მ²",IF(C113="10 მ²","მ²",IF(C113="მ² ","მ²",IF(C113="ლარი","ლარი",IF(C113="ხიდი","ლარი",IF(C113="100 მ","მ",IF(C113="გ.მ.","მ")))))))))))))))))))))))))))</f>
        <v>0</v>
      </c>
      <c r="F113" s="4" t="b">
        <f t="shared" ref="F113" si="37">IF(C113="კმ",D113,IF(C113="1 ჰა",D113,IF(C113="100 ც",D113*100,IF(C113="1 ც",D113,IF(C113="ც",D113,IF(C113="ტ",D113,IF(C113="1 ტ",D113,IF(C113="მ³",D113,IF(C113="1 მ³",D113,IF(C113="10 მ³",D113*10,IF(C113="100 მ³",D113*100,IF(C113="1000 მ³",D113*1000,IF(C113="1000 მ",D113*1000,IF(C113="100 მ",D113*100,IF(C113="10 მ",D113*10,IF(C113="10 მ ",D113*10,IF(C113="მ",D113,IF(C113="1000 მ²",D113*1000,IF(C113="1000 მ² ",D113*1000,IF(C113="100 მ²",D113*100,IF(C113="100 მ² ",D113*100,IF(C113="10 მ²",D113*10,IF(C113="მ² ",D113,IF(C113="ლარი",D113,IF(C113="ხიდი",D113,IF(C113="100 მ",D113*100,IF(C113="გ.მ.",D113)))))))))))))))))))))))))))</f>
        <v>0</v>
      </c>
      <c r="G113" s="4" t="e">
        <f t="shared" ref="G113" si="38">ROUND(H113/F113,2)</f>
        <v>#DIV/0!</v>
      </c>
      <c r="H113" s="26">
        <f>'4-2'!M8</f>
        <v>0</v>
      </c>
      <c r="I113" s="26">
        <f>'4-2'!B8</f>
        <v>0</v>
      </c>
    </row>
    <row r="114" spans="1:9" ht="39.950000000000003" customHeight="1">
      <c r="A114" s="26" t="str">
        <f>'4-2'!A15</f>
        <v>1.1.5</v>
      </c>
      <c r="B114" s="26" t="str">
        <f>'4-2'!C15</f>
        <v>წყალი</v>
      </c>
      <c r="C114" s="26" t="str">
        <f>'4-2'!D15</f>
        <v>მ3</v>
      </c>
      <c r="D114" s="26">
        <f>'4-2'!F15</f>
        <v>5.25</v>
      </c>
      <c r="E114" s="4" t="b">
        <f t="shared" ref="E114:E118" si="39">IF(C114="კმ","კმ",IF(C114="1 ჰა","1 ჰა",IF(C114="100 ც","ც",IF(C114="1 ც","ც",IF(C114="ც","ც",IF(C114="ტ","ტ",IF(C114="1 ტ","ტ",IF(C114="მ³","მ³",IF(C114="1 მ³","მ³",IF(C114="10 მ³","მ³",IF(C114="100 მ³","მ³",IF(C114="1000 მ³","მ³",IF(C114="1000 მ","მ",IF(C114="100 მ","მ",IF(C114="10 მ","მ",IF(C114="10 მ ","მ",IF(C114="მ","მ",IF(C114="1000 მ²","მ²",IF(C114="1000 მ² ","მ²",IF(C114="100 მ²","მ²",IF(C114="100 მ² ","მ²",IF(C114="10 მ²","მ²",IF(C114="მ² ","მ²",IF(C114="ლარი","ლარი",IF(C114="ხიდი","ლარი",IF(C114="100 მ","მ",IF(C114="გ.მ.","მ")))))))))))))))))))))))))))</f>
        <v>0</v>
      </c>
      <c r="F114" s="4" t="b">
        <f t="shared" ref="F114:F118" si="40">IF(C114="კმ",D114,IF(C114="1 ჰა",D114,IF(C114="100 ც",D114*100,IF(C114="1 ც",D114,IF(C114="ც",D114,IF(C114="ტ",D114,IF(C114="1 ტ",D114,IF(C114="მ³",D114,IF(C114="1 მ³",D114,IF(C114="10 მ³",D114*10,IF(C114="100 მ³",D114*100,IF(C114="1000 მ³",D114*1000,IF(C114="1000 მ",D114*1000,IF(C114="100 მ",D114*100,IF(C114="10 მ",D114*10,IF(C114="10 მ ",D114*10,IF(C114="მ",D114,IF(C114="1000 მ²",D114*1000,IF(C114="1000 მ² ",D114*1000,IF(C114="100 მ²",D114*100,IF(C114="100 მ² ",D114*100,IF(C114="10 მ²",D114*10,IF(C114="მ² ",D114,IF(C114="ლარი",D114,IF(C114="ხიდი",D114,IF(C114="100 მ",D114*100,IF(C114="გ.მ.",D114)))))))))))))))))))))))))))</f>
        <v>0</v>
      </c>
      <c r="G114" s="4" t="e">
        <f t="shared" ref="G114:G118" si="41">ROUND(H114/F114,2)</f>
        <v>#DIV/0!</v>
      </c>
      <c r="H114" s="26">
        <f>'4-2'!M15</f>
        <v>0</v>
      </c>
      <c r="I114" s="26">
        <f>'4-2'!B15</f>
        <v>0</v>
      </c>
    </row>
    <row r="115" spans="1:9" ht="39.950000000000003" customHeight="1">
      <c r="A115" s="26">
        <f>'4-2'!A23</f>
        <v>0</v>
      </c>
      <c r="B115" s="26" t="str">
        <f>'4-2'!C23</f>
        <v>არმატურა A-I კლასი</v>
      </c>
      <c r="C115" s="26" t="str">
        <f>'4-2'!D23</f>
        <v>ტ</v>
      </c>
      <c r="D115" s="26">
        <f>'4-2'!F23</f>
        <v>0.04</v>
      </c>
      <c r="E115" s="4" t="str">
        <f t="shared" si="39"/>
        <v>ტ</v>
      </c>
      <c r="F115" s="4">
        <f t="shared" si="40"/>
        <v>0.04</v>
      </c>
      <c r="G115" s="4">
        <f t="shared" si="41"/>
        <v>0</v>
      </c>
      <c r="H115" s="26">
        <f>'4-2'!M23</f>
        <v>0</v>
      </c>
      <c r="I115" s="26" t="str">
        <f>'4-2'!B23</f>
        <v>1-1-010</v>
      </c>
    </row>
    <row r="116" spans="1:9" ht="39.950000000000003" customHeight="1">
      <c r="A116" s="26" t="str">
        <f>'4-2'!A28</f>
        <v>1.2.7</v>
      </c>
      <c r="B116" s="26" t="str">
        <f>'4-2'!C28</f>
        <v>სხვა მასალები</v>
      </c>
      <c r="C116" s="26" t="str">
        <f>'4-2'!D28</f>
        <v>ლარი</v>
      </c>
      <c r="D116" s="26">
        <f>'4-2'!F28</f>
        <v>5.92</v>
      </c>
      <c r="E116" s="4" t="str">
        <f t="shared" si="39"/>
        <v>ლარი</v>
      </c>
      <c r="F116" s="4">
        <f t="shared" si="40"/>
        <v>5.92</v>
      </c>
      <c r="G116" s="4">
        <f t="shared" si="41"/>
        <v>0</v>
      </c>
      <c r="H116" s="26">
        <f>'4-2'!M28</f>
        <v>0</v>
      </c>
      <c r="I116" s="26">
        <f>'4-2'!B28</f>
        <v>0</v>
      </c>
    </row>
    <row r="117" spans="1:9" ht="39.950000000000003" customHeight="1">
      <c r="A117" s="26">
        <f>'4-2'!A31</f>
        <v>1.4</v>
      </c>
      <c r="B117" s="26" t="str">
        <f>'4-2'!C31</f>
        <v>საფუძვლის ფენის მოწყობა ქვიშა-ცემენტის 5% ნარევით</v>
      </c>
      <c r="C117" s="26" t="str">
        <f>'4-2'!D31</f>
        <v>მ3</v>
      </c>
      <c r="D117" s="26">
        <f>'4-2'!F31</f>
        <v>50</v>
      </c>
      <c r="E117" s="4" t="b">
        <f t="shared" si="39"/>
        <v>0</v>
      </c>
      <c r="F117" s="4" t="b">
        <f t="shared" si="40"/>
        <v>0</v>
      </c>
      <c r="G117" s="4" t="e">
        <f t="shared" si="41"/>
        <v>#DIV/0!</v>
      </c>
      <c r="H117" s="26">
        <f>'4-2'!M31</f>
        <v>0</v>
      </c>
      <c r="I117" s="26" t="str">
        <f>'4-2'!B31</f>
        <v>27-7-2.</v>
      </c>
    </row>
    <row r="118" spans="1:9" ht="39.950000000000003" customHeight="1">
      <c r="A118" s="26" t="str">
        <f>'4-2'!A37</f>
        <v>1.4.5</v>
      </c>
      <c r="B118" s="26" t="str">
        <f>'4-2'!C37</f>
        <v>წყალი</v>
      </c>
      <c r="C118" s="26" t="str">
        <f>'4-2'!D37</f>
        <v>მ3</v>
      </c>
      <c r="D118" s="26">
        <f>'4-2'!F37</f>
        <v>3.5</v>
      </c>
      <c r="E118" s="4" t="b">
        <f t="shared" si="39"/>
        <v>0</v>
      </c>
      <c r="F118" s="4" t="b">
        <f t="shared" si="40"/>
        <v>0</v>
      </c>
      <c r="G118" s="4" t="e">
        <f t="shared" si="41"/>
        <v>#DIV/0!</v>
      </c>
      <c r="H118" s="26">
        <f>'4-2'!M37</f>
        <v>0</v>
      </c>
      <c r="I118" s="26">
        <f>'4-2'!B37</f>
        <v>0</v>
      </c>
    </row>
    <row r="119" spans="1:9" s="5" customFormat="1" ht="39.950000000000003" customHeight="1">
      <c r="A119" s="17"/>
      <c r="B119" s="13" t="s">
        <v>4</v>
      </c>
      <c r="C119" s="1"/>
      <c r="D119" s="3"/>
      <c r="E119" s="3"/>
      <c r="F119" s="4"/>
      <c r="G119" s="3"/>
      <c r="H119" s="3">
        <f>ROUND(SUM(H113:H118),2)</f>
        <v>0</v>
      </c>
      <c r="I119" s="27"/>
    </row>
    <row r="120" spans="1:9" s="5" customFormat="1" ht="39.950000000000003" customHeight="1">
      <c r="A120" s="17"/>
      <c r="B120" s="13" t="s">
        <v>10</v>
      </c>
      <c r="C120" s="1"/>
      <c r="D120" s="1"/>
      <c r="E120" s="31" t="s">
        <v>12</v>
      </c>
      <c r="F120" s="1">
        <v>10</v>
      </c>
      <c r="G120" s="1"/>
      <c r="H120" s="3">
        <f>ROUND(H119*F120%,2)</f>
        <v>0</v>
      </c>
      <c r="I120" s="27"/>
    </row>
    <row r="121" spans="1:9" s="5" customFormat="1" ht="39.950000000000003" customHeight="1">
      <c r="A121" s="17"/>
      <c r="B121" s="13" t="s">
        <v>4</v>
      </c>
      <c r="C121" s="1"/>
      <c r="D121" s="1"/>
      <c r="E121" s="4"/>
      <c r="F121" s="1"/>
      <c r="G121" s="4"/>
      <c r="H121" s="3">
        <f>ROUND(SUM(H119:H120),2)</f>
        <v>0</v>
      </c>
      <c r="I121" s="27"/>
    </row>
    <row r="122" spans="1:9" s="5" customFormat="1" ht="39.950000000000003" customHeight="1">
      <c r="A122" s="17"/>
      <c r="B122" s="13" t="s">
        <v>11</v>
      </c>
      <c r="C122" s="1"/>
      <c r="D122" s="1"/>
      <c r="E122" s="31" t="s">
        <v>12</v>
      </c>
      <c r="F122" s="1">
        <v>8</v>
      </c>
      <c r="G122" s="1"/>
      <c r="H122" s="3">
        <f>ROUND(H121*F122%,2)</f>
        <v>0</v>
      </c>
      <c r="I122" s="27"/>
    </row>
    <row r="123" spans="1:9" s="5" customFormat="1" ht="39.75" customHeight="1">
      <c r="A123" s="17"/>
      <c r="B123" s="13" t="s">
        <v>4</v>
      </c>
      <c r="C123" s="1"/>
      <c r="D123" s="1"/>
      <c r="E123" s="1"/>
      <c r="F123" s="1"/>
      <c r="G123" s="1"/>
      <c r="H123" s="3">
        <f>ROUND(SUM(H121:H122),2)</f>
        <v>0</v>
      </c>
      <c r="I123" s="27"/>
    </row>
    <row r="124" spans="1:9" s="5" customFormat="1" ht="79.5" customHeight="1">
      <c r="A124" s="13"/>
      <c r="B124" s="15" t="str">
        <f>'5-1'!C8</f>
        <v>მიერთებებისა და ადგილობრივი შესასვლელების მოწყობის სამუშაოები</v>
      </c>
      <c r="C124" s="1"/>
      <c r="D124" s="1"/>
      <c r="E124" s="1"/>
      <c r="F124" s="1"/>
      <c r="G124" s="1"/>
      <c r="H124" s="3"/>
      <c r="I124" s="1"/>
    </row>
    <row r="125" spans="1:9" ht="39.950000000000003" customHeight="1">
      <c r="A125" s="26">
        <f>'5-1'!A10</f>
        <v>1.1000000000000001</v>
      </c>
      <c r="B125" s="26" t="str">
        <f>'5-1'!C10</f>
        <v>ტერიტორიის მოშანდაკება</v>
      </c>
      <c r="C125" s="26" t="str">
        <f>'5-1'!D10</f>
        <v>მ2</v>
      </c>
      <c r="D125" s="26">
        <f>'5-1'!F10</f>
        <v>80</v>
      </c>
      <c r="E125" s="4" t="b">
        <f t="shared" ref="E125" si="42">IF(C125="კმ","კმ",IF(C125="1 ჰა","1 ჰა",IF(C125="100 ც","ც",IF(C125="1 ც","ც",IF(C125="ც","ც",IF(C125="ტ","ტ",IF(C125="1 ტ","ტ",IF(C125="მ³","მ³",IF(C125="1 მ³","მ³",IF(C125="10 მ³","მ³",IF(C125="100 მ³","მ³",IF(C125="1000 მ³","მ³",IF(C125="1000 მ","მ",IF(C125="100 მ","მ",IF(C125="10 მ","მ",IF(C125="10 მ ","მ",IF(C125="მ","მ",IF(C125="1000 მ²","მ²",IF(C125="1000 მ² ","მ²",IF(C125="100 მ²","მ²",IF(C125="100 მ² ","მ²",IF(C125="10 მ²","მ²",IF(C125="მ² ","მ²",IF(C125="ლარი","ლარი",IF(C125="ხიდი","ლარი",IF(C125="100 მ","მ",IF(C125="გ.მ.","მ")))))))))))))))))))))))))))</f>
        <v>0</v>
      </c>
      <c r="F125" s="4" t="b">
        <f t="shared" ref="F125" si="43">IF(C125="კმ",D125,IF(C125="1 ჰა",D125,IF(C125="100 ც",D125*100,IF(C125="1 ც",D125,IF(C125="ც",D125,IF(C125="ტ",D125,IF(C125="1 ტ",D125,IF(C125="მ³",D125,IF(C125="1 მ³",D125,IF(C125="10 მ³",D125*10,IF(C125="100 მ³",D125*100,IF(C125="1000 მ³",D125*1000,IF(C125="1000 მ",D125*1000,IF(C125="100 მ",D125*100,IF(C125="10 მ",D125*10,IF(C125="10 მ ",D125*10,IF(C125="მ",D125,IF(C125="1000 მ²",D125*1000,IF(C125="1000 მ² ",D125*1000,IF(C125="100 მ²",D125*100,IF(C125="100 მ² ",D125*100,IF(C125="10 მ²",D125*10,IF(C125="მ² ",D125,IF(C125="ლარი",D125,IF(C125="ხიდი",D125,IF(C125="100 მ",D125*100,IF(C125="გ.მ.",D125)))))))))))))))))))))))))))</f>
        <v>0</v>
      </c>
      <c r="G125" s="4" t="e">
        <f t="shared" ref="G125" si="44">ROUND(H125/F125,2)</f>
        <v>#DIV/0!</v>
      </c>
      <c r="H125" s="26">
        <f>'5-1'!M10</f>
        <v>0</v>
      </c>
      <c r="I125" s="26" t="str">
        <f>'5-1'!B10</f>
        <v>1-68-3</v>
      </c>
    </row>
    <row r="126" spans="1:9" ht="39.950000000000003" customHeight="1">
      <c r="A126" s="26">
        <f>'5-1'!A14</f>
        <v>0</v>
      </c>
      <c r="B126" s="26">
        <f>'5-1'!C14</f>
        <v>0</v>
      </c>
      <c r="C126" s="26">
        <f>'5-1'!D14</f>
        <v>0</v>
      </c>
      <c r="D126" s="26">
        <f>'5-1'!F14</f>
        <v>0</v>
      </c>
      <c r="E126" s="4" t="b">
        <f t="shared" ref="E126:E132" si="45">IF(C126="კმ","კმ",IF(C126="1 ჰა","1 ჰა",IF(C126="100 ც","ც",IF(C126="1 ც","ც",IF(C126="ც","ც",IF(C126="ტ","ტ",IF(C126="1 ტ","ტ",IF(C126="მ³","მ³",IF(C126="1 მ³","მ³",IF(C126="10 მ³","მ³",IF(C126="100 მ³","მ³",IF(C126="1000 მ³","მ³",IF(C126="1000 მ","მ",IF(C126="100 მ","მ",IF(C126="10 მ","მ",IF(C126="10 მ ","მ",IF(C126="მ","მ",IF(C126="1000 მ²","მ²",IF(C126="1000 მ² ","მ²",IF(C126="100 მ²","მ²",IF(C126="100 მ² ","მ²",IF(C126="10 მ²","მ²",IF(C126="მ² ","მ²",IF(C126="ლარი","ლარი",IF(C126="ხიდი","ლარი",IF(C126="100 მ","მ",IF(C126="გ.მ.","მ")))))))))))))))))))))))))))</f>
        <v>0</v>
      </c>
      <c r="F126" s="4" t="b">
        <f t="shared" ref="F126:F132" si="46">IF(C126="კმ",D126,IF(C126="1 ჰა",D126,IF(C126="100 ც",D126*100,IF(C126="1 ც",D126,IF(C126="ც",D126,IF(C126="ტ",D126,IF(C126="1 ტ",D126,IF(C126="მ³",D126,IF(C126="1 მ³",D126,IF(C126="10 მ³",D126*10,IF(C126="100 მ³",D126*100,IF(C126="1000 მ³",D126*1000,IF(C126="1000 მ",D126*1000,IF(C126="100 მ",D126*100,IF(C126="10 მ",D126*10,IF(C126="10 მ ",D126*10,IF(C126="მ",D126,IF(C126="1000 მ²",D126*1000,IF(C126="1000 მ² ",D126*1000,IF(C126="100 მ²",D126*100,IF(C126="100 მ² ",D126*100,IF(C126="10 მ²",D126*10,IF(C126="მ² ",D126,IF(C126="ლარი",D126,IF(C126="ხიდი",D126,IF(C126="100 მ",D126*100,IF(C126="გ.მ.",D126)))))))))))))))))))))))))))</f>
        <v>0</v>
      </c>
      <c r="G126" s="4" t="e">
        <f t="shared" ref="G126:G132" si="47">ROUND(H126/F126,2)</f>
        <v>#DIV/0!</v>
      </c>
      <c r="H126" s="26">
        <f>'5-1'!M14</f>
        <v>0</v>
      </c>
      <c r="I126" s="26">
        <f>'5-1'!B14</f>
        <v>0</v>
      </c>
    </row>
    <row r="127" spans="1:9" ht="39.950000000000003" customHeight="1">
      <c r="A127" s="26" t="str">
        <f>'5-1'!A22</f>
        <v>1.2.6</v>
      </c>
      <c r="B127" s="26" t="str">
        <f>'5-1'!C22</f>
        <v xml:space="preserve">ქვიშახრეშოვანი ნარევი </v>
      </c>
      <c r="C127" s="26" t="str">
        <f>'5-1'!D22</f>
        <v>მ3</v>
      </c>
      <c r="D127" s="26">
        <f>'5-1'!F22</f>
        <v>73.2</v>
      </c>
      <c r="E127" s="4" t="b">
        <f t="shared" si="45"/>
        <v>0</v>
      </c>
      <c r="F127" s="4" t="b">
        <f t="shared" si="46"/>
        <v>0</v>
      </c>
      <c r="G127" s="4" t="e">
        <f t="shared" si="47"/>
        <v>#DIV/0!</v>
      </c>
      <c r="H127" s="26">
        <f>'5-1'!M22</f>
        <v>0</v>
      </c>
      <c r="I127" s="26" t="str">
        <f>'5-1'!B22</f>
        <v>4-1-228</v>
      </c>
    </row>
    <row r="128" spans="1:9" ht="39.950000000000003" customHeight="1">
      <c r="A128" s="26" t="str">
        <f>'5-1'!A33</f>
        <v>1.3.8</v>
      </c>
      <c r="B128" s="26" t="str">
        <f>'5-1'!C33</f>
        <v xml:space="preserve">წყალი </v>
      </c>
      <c r="C128" s="26" t="str">
        <f>'5-1'!D33</f>
        <v>მ3</v>
      </c>
      <c r="D128" s="26">
        <f>'5-1'!F33</f>
        <v>2.25</v>
      </c>
      <c r="E128" s="4" t="b">
        <f t="shared" si="45"/>
        <v>0</v>
      </c>
      <c r="F128" s="4" t="b">
        <f t="shared" si="46"/>
        <v>0</v>
      </c>
      <c r="G128" s="4" t="e">
        <f t="shared" si="47"/>
        <v>#DIV/0!</v>
      </c>
      <c r="H128" s="26">
        <f>'5-1'!M33</f>
        <v>0</v>
      </c>
      <c r="I128" s="26">
        <f>'5-1'!B33</f>
        <v>0</v>
      </c>
    </row>
    <row r="129" spans="1:9" ht="39.950000000000003" customHeight="1">
      <c r="A129" s="26">
        <f>'5-1'!A37</f>
        <v>0</v>
      </c>
      <c r="B129" s="26">
        <f>'5-1'!C37</f>
        <v>0</v>
      </c>
      <c r="C129" s="26" t="str">
        <f>'5-1'!D37</f>
        <v>1 ტ</v>
      </c>
      <c r="D129" s="26">
        <f>'5-1'!F37</f>
        <v>5.2499999999999998E-2</v>
      </c>
      <c r="E129" s="4" t="str">
        <f t="shared" si="45"/>
        <v>ტ</v>
      </c>
      <c r="F129" s="4">
        <f t="shared" si="46"/>
        <v>5.2499999999999998E-2</v>
      </c>
      <c r="G129" s="4">
        <f t="shared" si="47"/>
        <v>0</v>
      </c>
      <c r="H129" s="26">
        <f>'5-1'!M37</f>
        <v>0</v>
      </c>
      <c r="I129" s="26">
        <f>'5-1'!B37</f>
        <v>0</v>
      </c>
    </row>
    <row r="130" spans="1:9" ht="39.950000000000003" customHeight="1">
      <c r="A130" s="26" t="str">
        <f>'5-1'!A46</f>
        <v>1.5.4</v>
      </c>
      <c r="B130" s="26" t="str">
        <f>'5-1'!C46</f>
        <v>ასფალტობეტონის დამგები</v>
      </c>
      <c r="C130" s="26" t="str">
        <f>'5-1'!D46</f>
        <v>მანქ/სთ</v>
      </c>
      <c r="D130" s="26">
        <f>'5-1'!F46</f>
        <v>2.7270600000000003</v>
      </c>
      <c r="E130" s="4" t="b">
        <f t="shared" si="45"/>
        <v>0</v>
      </c>
      <c r="F130" s="4" t="b">
        <f t="shared" si="46"/>
        <v>0</v>
      </c>
      <c r="G130" s="4" t="e">
        <f t="shared" si="47"/>
        <v>#DIV/0!</v>
      </c>
      <c r="H130" s="26">
        <f>'5-1'!M46</f>
        <v>0</v>
      </c>
      <c r="I130" s="26" t="str">
        <f>'5-1'!B46</f>
        <v>14-1-231</v>
      </c>
    </row>
    <row r="131" spans="1:9" ht="39.950000000000003" customHeight="1">
      <c r="A131" s="26">
        <f>'5-1'!A50</f>
        <v>0</v>
      </c>
      <c r="B131" s="26">
        <f>'5-1'!C50</f>
        <v>0</v>
      </c>
      <c r="C131" s="26">
        <f>'5-1'!D50</f>
        <v>0</v>
      </c>
      <c r="D131" s="26">
        <f>'5-1'!F50</f>
        <v>0</v>
      </c>
      <c r="E131" s="4" t="b">
        <f t="shared" si="45"/>
        <v>0</v>
      </c>
      <c r="F131" s="4" t="b">
        <f t="shared" si="46"/>
        <v>0</v>
      </c>
      <c r="G131" s="4" t="e">
        <f t="shared" si="47"/>
        <v>#DIV/0!</v>
      </c>
      <c r="H131" s="26">
        <f>'5-1'!M50</f>
        <v>0</v>
      </c>
      <c r="I131" s="26">
        <f>'5-1'!B50</f>
        <v>0</v>
      </c>
    </row>
    <row r="132" spans="1:9" ht="39.950000000000003" customHeight="1">
      <c r="A132" s="26" t="str">
        <f>'5-1'!A59</f>
        <v>1.7.2</v>
      </c>
      <c r="B132" s="26" t="str">
        <f>'5-1'!C59</f>
        <v>თვითმავალი სატკეპნი საგზაო 5 ტ</v>
      </c>
      <c r="C132" s="26" t="str">
        <f>'5-1'!D59</f>
        <v>მანქ/სთ</v>
      </c>
      <c r="D132" s="26">
        <f>'5-1'!F59</f>
        <v>3.3411000000000004</v>
      </c>
      <c r="E132" s="4" t="b">
        <f t="shared" si="45"/>
        <v>0</v>
      </c>
      <c r="F132" s="4" t="b">
        <f t="shared" si="46"/>
        <v>0</v>
      </c>
      <c r="G132" s="4" t="e">
        <f t="shared" si="47"/>
        <v>#DIV/0!</v>
      </c>
      <c r="H132" s="26">
        <f>'5-1'!M59</f>
        <v>0</v>
      </c>
      <c r="I132" s="26" t="str">
        <f>'5-1'!B59</f>
        <v>14-1-218</v>
      </c>
    </row>
    <row r="133" spans="1:9" s="5" customFormat="1" ht="39.950000000000003" customHeight="1">
      <c r="A133" s="17"/>
      <c r="B133" s="13" t="s">
        <v>4</v>
      </c>
      <c r="C133" s="1"/>
      <c r="D133" s="3"/>
      <c r="E133" s="3"/>
      <c r="F133" s="4"/>
      <c r="G133" s="3"/>
      <c r="H133" s="3">
        <f>ROUND(SUM(H125:H132),2)</f>
        <v>0</v>
      </c>
      <c r="I133" s="27"/>
    </row>
    <row r="134" spans="1:9" s="5" customFormat="1" ht="39.950000000000003" customHeight="1">
      <c r="A134" s="17"/>
      <c r="B134" s="13" t="s">
        <v>10</v>
      </c>
      <c r="C134" s="1"/>
      <c r="D134" s="1"/>
      <c r="E134" s="31" t="s">
        <v>12</v>
      </c>
      <c r="F134" s="1">
        <v>10</v>
      </c>
      <c r="G134" s="1"/>
      <c r="H134" s="3">
        <f>ROUND(H133*F134%,2)</f>
        <v>0</v>
      </c>
      <c r="I134" s="27"/>
    </row>
    <row r="135" spans="1:9" s="5" customFormat="1" ht="39.950000000000003" customHeight="1">
      <c r="A135" s="17"/>
      <c r="B135" s="13" t="s">
        <v>4</v>
      </c>
      <c r="C135" s="1"/>
      <c r="D135" s="1"/>
      <c r="E135" s="4"/>
      <c r="F135" s="1"/>
      <c r="G135" s="4"/>
      <c r="H135" s="3">
        <f>ROUND(SUM(H133:H134),2)</f>
        <v>0</v>
      </c>
      <c r="I135" s="27"/>
    </row>
    <row r="136" spans="1:9" s="5" customFormat="1" ht="39.950000000000003" customHeight="1">
      <c r="A136" s="17"/>
      <c r="B136" s="13" t="s">
        <v>11</v>
      </c>
      <c r="C136" s="1"/>
      <c r="D136" s="1"/>
      <c r="E136" s="31" t="s">
        <v>12</v>
      </c>
      <c r="F136" s="1">
        <v>8</v>
      </c>
      <c r="G136" s="1"/>
      <c r="H136" s="3">
        <f>ROUND(H135*F136%,2)</f>
        <v>0</v>
      </c>
      <c r="I136" s="27"/>
    </row>
    <row r="137" spans="1:9" s="5" customFormat="1" ht="39.75" customHeight="1">
      <c r="A137" s="17"/>
      <c r="B137" s="13" t="s">
        <v>4</v>
      </c>
      <c r="C137" s="1"/>
      <c r="D137" s="1"/>
      <c r="E137" s="1"/>
      <c r="F137" s="1"/>
      <c r="G137" s="1"/>
      <c r="H137" s="3">
        <f>ROUND(SUM(H135:H136),2)</f>
        <v>0</v>
      </c>
      <c r="I137" s="27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39" orientation="landscape" r:id="rId1"/>
  <rowBreaks count="3" manualBreakCount="3">
    <brk id="39" max="16383" man="1"/>
    <brk id="64" max="16383" man="1"/>
    <brk id="1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zoomScale="55" zoomScaleNormal="55" zoomScaleSheetLayoutView="55" workbookViewId="0">
      <selection activeCell="A19" sqref="A1:L1048576"/>
    </sheetView>
  </sheetViews>
  <sheetFormatPr defaultRowHeight="19.5"/>
  <cols>
    <col min="1" max="1" width="15.7109375" style="5" customWidth="1"/>
    <col min="2" max="2" width="105.7109375" style="5" customWidth="1"/>
    <col min="3" max="4" width="12.7109375" style="5" customWidth="1"/>
    <col min="5" max="5" width="25.7109375" style="5" customWidth="1"/>
    <col min="6" max="7" width="20.7109375" style="5" customWidth="1"/>
    <col min="8" max="9" width="13.28515625" style="5" customWidth="1"/>
    <col min="10" max="12" width="20.7109375" style="5" customWidth="1"/>
    <col min="13" max="15" width="20.7109375" customWidth="1"/>
    <col min="19" max="20" width="20.7109375" style="9" customWidth="1"/>
  </cols>
  <sheetData>
    <row r="1" spans="1:220">
      <c r="A1" s="172"/>
      <c r="B1" s="172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20">
      <c r="A2" s="172"/>
      <c r="B2" s="172"/>
      <c r="C2" s="11"/>
      <c r="D2" s="11"/>
      <c r="E2" s="11"/>
      <c r="F2" s="11"/>
      <c r="G2" s="11"/>
      <c r="H2" s="11"/>
      <c r="I2" s="11"/>
      <c r="J2" s="11"/>
      <c r="K2" s="11"/>
      <c r="L2" s="11"/>
      <c r="S2" s="183" t="s">
        <v>143</v>
      </c>
      <c r="T2" s="183"/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10</v>
      </c>
      <c r="AE2" s="9">
        <v>11</v>
      </c>
      <c r="AF2" s="9">
        <v>12</v>
      </c>
      <c r="AG2" s="9">
        <v>13</v>
      </c>
      <c r="AH2" s="9">
        <v>14</v>
      </c>
      <c r="AI2" s="9">
        <v>15</v>
      </c>
      <c r="AJ2" s="9">
        <v>16</v>
      </c>
      <c r="AK2" s="9">
        <v>17</v>
      </c>
      <c r="AL2" s="9">
        <v>18</v>
      </c>
      <c r="AM2" s="9">
        <v>19</v>
      </c>
      <c r="AN2" s="9">
        <v>20</v>
      </c>
      <c r="AO2" s="9">
        <v>21</v>
      </c>
      <c r="AP2" s="9">
        <v>22</v>
      </c>
      <c r="AQ2" s="9">
        <v>23</v>
      </c>
      <c r="AR2" s="9">
        <v>24</v>
      </c>
      <c r="AS2" s="9">
        <v>25</v>
      </c>
      <c r="AT2" s="9">
        <v>26</v>
      </c>
      <c r="AU2" s="9">
        <v>27</v>
      </c>
      <c r="AV2" s="9">
        <v>28</v>
      </c>
      <c r="AW2" s="9">
        <v>29</v>
      </c>
      <c r="AX2" s="9">
        <v>30</v>
      </c>
      <c r="AY2" s="9">
        <v>31</v>
      </c>
      <c r="AZ2" s="9">
        <v>32</v>
      </c>
      <c r="BA2" s="9">
        <v>33</v>
      </c>
      <c r="BB2" s="9">
        <v>34</v>
      </c>
      <c r="BC2" s="9">
        <v>35</v>
      </c>
      <c r="BD2" s="9">
        <v>36</v>
      </c>
      <c r="BE2" s="9">
        <v>37</v>
      </c>
      <c r="BF2" s="9">
        <v>38</v>
      </c>
      <c r="BG2" s="9">
        <v>39</v>
      </c>
      <c r="BH2" s="9">
        <v>40</v>
      </c>
      <c r="BI2" s="9">
        <v>41</v>
      </c>
      <c r="BJ2" s="9">
        <v>42</v>
      </c>
      <c r="BK2" s="9">
        <v>43</v>
      </c>
      <c r="BL2" s="9">
        <v>44</v>
      </c>
      <c r="BM2" s="9">
        <v>45</v>
      </c>
      <c r="BN2" s="9">
        <v>46</v>
      </c>
      <c r="BO2" s="9">
        <v>47</v>
      </c>
      <c r="BP2" s="9">
        <v>48</v>
      </c>
      <c r="BQ2" s="9">
        <v>49</v>
      </c>
      <c r="BR2" s="9">
        <v>50</v>
      </c>
      <c r="BS2" s="9">
        <v>51</v>
      </c>
      <c r="BT2" s="9">
        <v>52</v>
      </c>
      <c r="BU2" s="9">
        <v>53</v>
      </c>
      <c r="BV2" s="9">
        <v>54</v>
      </c>
      <c r="BW2" s="9">
        <v>55</v>
      </c>
      <c r="BX2" s="9">
        <v>56</v>
      </c>
      <c r="BY2" s="9">
        <v>57</v>
      </c>
      <c r="BZ2" s="9">
        <v>58</v>
      </c>
      <c r="CA2" s="9">
        <v>59</v>
      </c>
      <c r="CB2" s="9">
        <v>60</v>
      </c>
      <c r="CC2" s="9">
        <v>61</v>
      </c>
      <c r="CD2" s="9">
        <v>62</v>
      </c>
      <c r="CE2" s="9">
        <v>63</v>
      </c>
      <c r="CF2" s="9">
        <v>64</v>
      </c>
      <c r="CG2" s="9">
        <v>65</v>
      </c>
      <c r="CH2" s="9">
        <v>66</v>
      </c>
      <c r="CI2" s="9">
        <v>67</v>
      </c>
      <c r="CJ2" s="9">
        <v>68</v>
      </c>
      <c r="CK2" s="9">
        <v>69</v>
      </c>
      <c r="CL2" s="9">
        <v>70</v>
      </c>
      <c r="CM2" s="9">
        <v>71</v>
      </c>
      <c r="CN2" s="9">
        <v>72</v>
      </c>
      <c r="CO2" s="9">
        <v>73</v>
      </c>
      <c r="CP2" s="9">
        <v>74</v>
      </c>
      <c r="CQ2" s="9">
        <v>75</v>
      </c>
      <c r="CR2" s="9">
        <v>76</v>
      </c>
      <c r="CS2" s="9">
        <v>77</v>
      </c>
      <c r="CT2" s="9">
        <v>78</v>
      </c>
      <c r="CU2" s="9">
        <v>79</v>
      </c>
      <c r="CV2" s="9">
        <v>80</v>
      </c>
      <c r="CW2" s="9">
        <v>81</v>
      </c>
      <c r="CX2" s="9">
        <v>82</v>
      </c>
      <c r="CY2" s="9">
        <v>83</v>
      </c>
      <c r="CZ2" s="9">
        <v>84</v>
      </c>
      <c r="DA2" s="9">
        <v>85</v>
      </c>
      <c r="DB2" s="9">
        <v>86</v>
      </c>
      <c r="DC2" s="9">
        <v>87</v>
      </c>
      <c r="DD2" s="9">
        <v>88</v>
      </c>
      <c r="DE2" s="9">
        <v>89</v>
      </c>
      <c r="DF2" s="9">
        <v>90</v>
      </c>
      <c r="DG2" s="9">
        <v>91</v>
      </c>
      <c r="DH2" s="9">
        <v>92</v>
      </c>
      <c r="DI2" s="9">
        <v>93</v>
      </c>
      <c r="DJ2" s="9">
        <v>94</v>
      </c>
      <c r="DK2" s="9">
        <v>95</v>
      </c>
      <c r="DL2" s="9">
        <v>96</v>
      </c>
      <c r="DM2" s="9">
        <v>97</v>
      </c>
      <c r="DN2" s="9">
        <v>98</v>
      </c>
      <c r="DO2" s="9">
        <v>99</v>
      </c>
      <c r="DP2" s="9">
        <v>100</v>
      </c>
      <c r="DQ2" s="9">
        <v>101</v>
      </c>
      <c r="DR2" s="9">
        <v>102</v>
      </c>
      <c r="DS2" s="9">
        <v>103</v>
      </c>
      <c r="DT2" s="9">
        <v>104</v>
      </c>
      <c r="DU2" s="9">
        <v>105</v>
      </c>
      <c r="DV2" s="9">
        <v>106</v>
      </c>
      <c r="DW2" s="9">
        <v>107</v>
      </c>
      <c r="DX2" s="9">
        <v>108</v>
      </c>
      <c r="DY2" s="9">
        <v>109</v>
      </c>
      <c r="DZ2" s="9">
        <v>110</v>
      </c>
      <c r="EA2" s="9">
        <v>111</v>
      </c>
      <c r="EB2" s="9">
        <v>112</v>
      </c>
      <c r="EC2" s="9">
        <v>113</v>
      </c>
      <c r="ED2" s="9">
        <v>114</v>
      </c>
      <c r="EE2" s="9">
        <v>115</v>
      </c>
      <c r="EF2" s="9">
        <v>116</v>
      </c>
      <c r="EG2" s="9">
        <v>117</v>
      </c>
      <c r="EH2" s="9">
        <v>118</v>
      </c>
      <c r="EI2" s="9">
        <v>119</v>
      </c>
      <c r="EJ2" s="9">
        <v>120</v>
      </c>
      <c r="EK2" s="9">
        <v>121</v>
      </c>
      <c r="EL2" s="9">
        <v>122</v>
      </c>
      <c r="EM2" s="9">
        <v>123</v>
      </c>
      <c r="EN2" s="9">
        <v>124</v>
      </c>
      <c r="EO2" s="9">
        <v>125</v>
      </c>
      <c r="EP2" s="9">
        <v>126</v>
      </c>
      <c r="EQ2" s="9">
        <v>127</v>
      </c>
      <c r="ER2" s="9">
        <v>128</v>
      </c>
      <c r="ES2" s="9">
        <v>129</v>
      </c>
      <c r="ET2" s="9">
        <v>130</v>
      </c>
      <c r="EU2" s="9">
        <v>131</v>
      </c>
      <c r="EV2" s="9">
        <v>132</v>
      </c>
      <c r="EW2" s="9">
        <v>133</v>
      </c>
      <c r="EX2" s="9">
        <v>134</v>
      </c>
      <c r="EY2" s="9">
        <v>135</v>
      </c>
      <c r="EZ2" s="9">
        <v>136</v>
      </c>
      <c r="FA2" s="9">
        <v>137</v>
      </c>
      <c r="FB2" s="9">
        <v>138</v>
      </c>
      <c r="FC2" s="9">
        <v>139</v>
      </c>
      <c r="FD2" s="9">
        <v>140</v>
      </c>
      <c r="FE2" s="9">
        <v>141</v>
      </c>
      <c r="FF2" s="9">
        <v>142</v>
      </c>
      <c r="FG2" s="9">
        <v>143</v>
      </c>
      <c r="FH2" s="9">
        <v>144</v>
      </c>
      <c r="FI2" s="9">
        <v>145</v>
      </c>
      <c r="FJ2" s="9">
        <v>146</v>
      </c>
      <c r="FK2" s="9">
        <v>147</v>
      </c>
      <c r="FL2" s="9">
        <v>148</v>
      </c>
      <c r="FM2" s="9">
        <v>149</v>
      </c>
      <c r="FN2" s="9">
        <v>150</v>
      </c>
      <c r="FO2" s="9">
        <v>151</v>
      </c>
      <c r="FP2" s="9">
        <v>152</v>
      </c>
      <c r="FQ2" s="9">
        <v>153</v>
      </c>
      <c r="FR2" s="9">
        <v>154</v>
      </c>
      <c r="FS2" s="9">
        <v>155</v>
      </c>
      <c r="FT2" s="9">
        <v>156</v>
      </c>
      <c r="FU2" s="9">
        <v>157</v>
      </c>
      <c r="FV2" s="9">
        <v>158</v>
      </c>
      <c r="FW2" s="9">
        <v>159</v>
      </c>
      <c r="FX2" s="9">
        <v>160</v>
      </c>
      <c r="FY2" s="9">
        <v>161</v>
      </c>
      <c r="FZ2" s="9">
        <v>162</v>
      </c>
      <c r="GA2" s="9">
        <v>163</v>
      </c>
      <c r="GB2" s="9">
        <v>164</v>
      </c>
      <c r="GC2" s="9">
        <v>165</v>
      </c>
      <c r="GD2" s="9">
        <v>166</v>
      </c>
      <c r="GE2" s="9">
        <v>167</v>
      </c>
      <c r="GF2" s="9">
        <v>168</v>
      </c>
      <c r="GG2" s="9">
        <v>169</v>
      </c>
      <c r="GH2" s="9">
        <v>170</v>
      </c>
      <c r="GI2" s="9">
        <v>171</v>
      </c>
      <c r="GJ2" s="9">
        <v>172</v>
      </c>
      <c r="GK2" s="9">
        <v>173</v>
      </c>
      <c r="GL2" s="9">
        <v>174</v>
      </c>
      <c r="GM2" s="9">
        <v>175</v>
      </c>
      <c r="GN2" s="9">
        <v>176</v>
      </c>
      <c r="GO2" s="9">
        <v>177</v>
      </c>
      <c r="GP2" s="9">
        <v>178</v>
      </c>
      <c r="GQ2" s="9">
        <v>179</v>
      </c>
      <c r="GR2" s="9">
        <v>180</v>
      </c>
      <c r="GS2" s="9">
        <v>181</v>
      </c>
      <c r="GT2" s="9">
        <v>182</v>
      </c>
      <c r="GU2" s="9">
        <v>183</v>
      </c>
      <c r="GV2" s="9">
        <v>184</v>
      </c>
      <c r="GW2" s="9">
        <v>185</v>
      </c>
      <c r="GX2" s="9">
        <v>186</v>
      </c>
      <c r="GY2" s="9">
        <v>187</v>
      </c>
      <c r="GZ2" s="9">
        <v>188</v>
      </c>
      <c r="HA2" s="9">
        <v>189</v>
      </c>
      <c r="HB2" s="9">
        <v>190</v>
      </c>
      <c r="HC2" s="9">
        <v>191</v>
      </c>
      <c r="HD2" s="9">
        <v>192</v>
      </c>
      <c r="HE2" s="9">
        <v>193</v>
      </c>
      <c r="HF2" s="9">
        <v>194</v>
      </c>
      <c r="HG2" s="9">
        <v>195</v>
      </c>
      <c r="HH2" s="9">
        <v>196</v>
      </c>
      <c r="HI2" s="9">
        <v>197</v>
      </c>
      <c r="HJ2" s="9">
        <v>198</v>
      </c>
      <c r="HK2" s="9">
        <v>199</v>
      </c>
      <c r="HL2" s="9">
        <v>200</v>
      </c>
    </row>
    <row r="3" spans="1:220" ht="15" customHeight="1">
      <c r="A3" s="164" t="e">
        <f>კრებსითი!#REF!</f>
        <v>#REF!</v>
      </c>
      <c r="B3" s="164"/>
      <c r="C3" s="11"/>
      <c r="D3" s="11"/>
      <c r="E3" s="11"/>
      <c r="F3" s="11"/>
      <c r="G3" s="11"/>
      <c r="H3" s="11"/>
      <c r="I3" s="11"/>
      <c r="J3" s="11"/>
      <c r="K3" s="164"/>
      <c r="L3" s="164"/>
      <c r="S3" s="183" t="s">
        <v>144</v>
      </c>
      <c r="T3" s="183"/>
      <c r="U3" s="9">
        <v>1.55</v>
      </c>
      <c r="V3" s="9">
        <v>1.93</v>
      </c>
      <c r="W3" s="9">
        <v>2.42</v>
      </c>
      <c r="X3" s="9">
        <v>2.84</v>
      </c>
      <c r="Y3" s="9">
        <v>3.32</v>
      </c>
      <c r="Z3" s="9">
        <v>3.8</v>
      </c>
      <c r="AA3" s="9">
        <v>4.26</v>
      </c>
      <c r="AB3" s="9">
        <v>4.7</v>
      </c>
      <c r="AC3" s="9">
        <v>5.17</v>
      </c>
      <c r="AD3" s="9">
        <v>5.63</v>
      </c>
      <c r="AE3" s="9">
        <v>6.27</v>
      </c>
      <c r="AF3" s="9">
        <v>6.73</v>
      </c>
      <c r="AG3" s="9">
        <v>7.24</v>
      </c>
      <c r="AH3" s="9">
        <v>7.54</v>
      </c>
      <c r="AI3" s="9">
        <v>7.82</v>
      </c>
      <c r="AJ3" s="9">
        <v>8.18</v>
      </c>
      <c r="AK3" s="9">
        <v>8.5399999999999991</v>
      </c>
      <c r="AL3" s="9">
        <v>8.94</v>
      </c>
      <c r="AM3" s="9">
        <v>9.31</v>
      </c>
      <c r="AN3" s="9">
        <v>9.75</v>
      </c>
      <c r="AO3" s="9">
        <v>10.79</v>
      </c>
      <c r="AP3" s="9">
        <v>10.79</v>
      </c>
      <c r="AQ3" s="9">
        <v>10.79</v>
      </c>
      <c r="AR3" s="9">
        <v>10.79</v>
      </c>
      <c r="AS3" s="9">
        <v>10.79</v>
      </c>
      <c r="AT3" s="9">
        <v>12.31</v>
      </c>
      <c r="AU3" s="9">
        <v>12.31</v>
      </c>
      <c r="AV3" s="9">
        <v>12.31</v>
      </c>
      <c r="AW3" s="9">
        <v>12.31</v>
      </c>
      <c r="AX3" s="9">
        <v>12.31</v>
      </c>
      <c r="AY3" s="9">
        <v>13.26</v>
      </c>
      <c r="AZ3" s="9">
        <v>13.26</v>
      </c>
      <c r="BA3" s="9">
        <v>13.26</v>
      </c>
      <c r="BB3" s="9">
        <v>13.26</v>
      </c>
      <c r="BC3" s="9">
        <v>13.26</v>
      </c>
      <c r="BD3" s="9">
        <v>14.94</v>
      </c>
      <c r="BE3" s="9">
        <v>14.94</v>
      </c>
      <c r="BF3" s="9">
        <v>14.94</v>
      </c>
      <c r="BG3" s="9">
        <v>14.94</v>
      </c>
      <c r="BH3" s="9">
        <v>14.94</v>
      </c>
      <c r="BI3" s="9">
        <v>16.41</v>
      </c>
      <c r="BJ3" s="9">
        <v>16.41</v>
      </c>
      <c r="BK3" s="9">
        <v>16.41</v>
      </c>
      <c r="BL3" s="9">
        <v>16.41</v>
      </c>
      <c r="BM3" s="9">
        <v>16.41</v>
      </c>
      <c r="BN3" s="9">
        <v>18.14</v>
      </c>
      <c r="BO3" s="9">
        <v>18.14</v>
      </c>
      <c r="BP3" s="9">
        <v>18.14</v>
      </c>
      <c r="BQ3" s="9">
        <v>18.14</v>
      </c>
      <c r="BR3" s="9">
        <v>18.14</v>
      </c>
      <c r="BS3" s="9">
        <v>19.64</v>
      </c>
      <c r="BT3" s="9">
        <v>19.64</v>
      </c>
      <c r="BU3" s="9">
        <v>19.64</v>
      </c>
      <c r="BV3" s="9">
        <v>19.64</v>
      </c>
      <c r="BW3" s="9">
        <v>19.64</v>
      </c>
      <c r="BX3" s="9">
        <v>21.44</v>
      </c>
      <c r="BY3" s="9">
        <v>21.44</v>
      </c>
      <c r="BZ3" s="9">
        <v>21.44</v>
      </c>
      <c r="CA3" s="9">
        <v>21.44</v>
      </c>
      <c r="CB3" s="9">
        <v>21.44</v>
      </c>
      <c r="CC3" s="9">
        <v>22.41</v>
      </c>
      <c r="CD3" s="9">
        <v>22.41</v>
      </c>
      <c r="CE3" s="9">
        <v>22.41</v>
      </c>
      <c r="CF3" s="9">
        <v>22.41</v>
      </c>
      <c r="CG3" s="9">
        <v>22.41</v>
      </c>
      <c r="CH3" s="9">
        <v>23.66</v>
      </c>
      <c r="CI3" s="9">
        <v>23.66</v>
      </c>
      <c r="CJ3" s="9">
        <v>23.66</v>
      </c>
      <c r="CK3" s="9">
        <v>23.66</v>
      </c>
      <c r="CL3" s="9">
        <v>23.66</v>
      </c>
      <c r="CM3" s="9">
        <v>25.25</v>
      </c>
      <c r="CN3" s="9">
        <v>25.25</v>
      </c>
      <c r="CO3" s="9">
        <v>25.25</v>
      </c>
      <c r="CP3" s="9">
        <v>25.25</v>
      </c>
      <c r="CQ3" s="9">
        <v>25.25</v>
      </c>
      <c r="CR3" s="9">
        <v>26.59</v>
      </c>
      <c r="CS3" s="9">
        <v>26.59</v>
      </c>
      <c r="CT3" s="9">
        <v>26.59</v>
      </c>
      <c r="CU3" s="9">
        <v>26.59</v>
      </c>
      <c r="CV3" s="9">
        <v>26.59</v>
      </c>
      <c r="CW3" s="9">
        <v>27.25</v>
      </c>
      <c r="CX3" s="9">
        <v>27.25</v>
      </c>
      <c r="CY3" s="9">
        <v>27.25</v>
      </c>
      <c r="CZ3" s="9">
        <v>27.25</v>
      </c>
      <c r="DA3" s="9">
        <v>27.25</v>
      </c>
      <c r="DB3" s="9">
        <v>28.38</v>
      </c>
      <c r="DC3" s="9">
        <v>28.38</v>
      </c>
      <c r="DD3" s="9">
        <v>28.38</v>
      </c>
      <c r="DE3" s="9">
        <v>28.38</v>
      </c>
      <c r="DF3" s="9">
        <v>28.38</v>
      </c>
      <c r="DG3" s="9">
        <v>29.93</v>
      </c>
      <c r="DH3" s="9">
        <v>29.93</v>
      </c>
      <c r="DI3" s="9">
        <v>29.93</v>
      </c>
      <c r="DJ3" s="9">
        <v>29.93</v>
      </c>
      <c r="DK3" s="9">
        <v>29.93</v>
      </c>
      <c r="DL3" s="9">
        <v>31.25</v>
      </c>
      <c r="DM3" s="9">
        <v>31.25</v>
      </c>
      <c r="DN3" s="9">
        <v>31.25</v>
      </c>
      <c r="DO3" s="9">
        <v>31.25</v>
      </c>
      <c r="DP3" s="9">
        <v>31.25</v>
      </c>
      <c r="DQ3" s="9">
        <v>32.340000000000003</v>
      </c>
      <c r="DR3" s="9">
        <v>32.340000000000003</v>
      </c>
      <c r="DS3" s="9">
        <v>32.340000000000003</v>
      </c>
      <c r="DT3" s="9">
        <v>32.340000000000003</v>
      </c>
      <c r="DU3" s="9">
        <v>32.340000000000003</v>
      </c>
      <c r="DV3" s="9">
        <v>33.64</v>
      </c>
      <c r="DW3" s="9">
        <v>33.64</v>
      </c>
      <c r="DX3" s="9">
        <v>33.64</v>
      </c>
      <c r="DY3" s="9">
        <v>33.64</v>
      </c>
      <c r="DZ3" s="9">
        <v>33.64</v>
      </c>
      <c r="EA3" s="9">
        <v>34.840000000000003</v>
      </c>
      <c r="EB3" s="9">
        <v>34.840000000000003</v>
      </c>
      <c r="EC3" s="9">
        <v>34.840000000000003</v>
      </c>
      <c r="ED3" s="9">
        <v>34.840000000000003</v>
      </c>
      <c r="EE3" s="9">
        <v>34.840000000000003</v>
      </c>
      <c r="EF3" s="9">
        <v>36.14</v>
      </c>
      <c r="EG3" s="9">
        <v>36.14</v>
      </c>
      <c r="EH3" s="9">
        <v>36.14</v>
      </c>
      <c r="EI3" s="9">
        <v>36.14</v>
      </c>
      <c r="EJ3" s="9">
        <v>36.14</v>
      </c>
      <c r="EK3" s="9">
        <v>36.56</v>
      </c>
      <c r="EL3" s="9">
        <v>36.56</v>
      </c>
      <c r="EM3" s="9">
        <v>36.56</v>
      </c>
      <c r="EN3" s="9">
        <v>36.56</v>
      </c>
      <c r="EO3" s="9">
        <v>36.56</v>
      </c>
      <c r="EP3" s="9">
        <v>38.54</v>
      </c>
      <c r="EQ3" s="9">
        <v>38.54</v>
      </c>
      <c r="ER3" s="9">
        <v>38.54</v>
      </c>
      <c r="ES3" s="9">
        <v>38.54</v>
      </c>
      <c r="ET3" s="9">
        <v>38.54</v>
      </c>
      <c r="EU3" s="9">
        <v>39.47</v>
      </c>
      <c r="EV3" s="9">
        <v>39.47</v>
      </c>
      <c r="EW3" s="9">
        <v>39.47</v>
      </c>
      <c r="EX3" s="9">
        <v>39.47</v>
      </c>
      <c r="EY3" s="9">
        <v>39.47</v>
      </c>
      <c r="EZ3" s="9">
        <v>40.69</v>
      </c>
      <c r="FA3" s="9">
        <v>40.69</v>
      </c>
      <c r="FB3" s="9">
        <v>40.69</v>
      </c>
      <c r="FC3" s="9">
        <v>40.69</v>
      </c>
      <c r="FD3" s="9">
        <v>40.69</v>
      </c>
      <c r="FE3" s="9">
        <v>41.88</v>
      </c>
      <c r="FF3" s="9">
        <v>41.88</v>
      </c>
      <c r="FG3" s="9">
        <v>41.88</v>
      </c>
      <c r="FH3" s="9">
        <v>41.88</v>
      </c>
      <c r="FI3" s="9">
        <v>41.88</v>
      </c>
      <c r="FJ3" s="9">
        <v>43.37</v>
      </c>
      <c r="FK3" s="9">
        <v>43.37</v>
      </c>
      <c r="FL3" s="9">
        <v>43.37</v>
      </c>
      <c r="FM3" s="9">
        <v>43.37</v>
      </c>
      <c r="FN3" s="9">
        <v>43.37</v>
      </c>
      <c r="FO3" s="9">
        <v>44.39</v>
      </c>
      <c r="FP3" s="9">
        <v>44.39</v>
      </c>
      <c r="FQ3" s="9">
        <v>44.39</v>
      </c>
      <c r="FR3" s="9">
        <v>44.39</v>
      </c>
      <c r="FS3" s="9">
        <v>44.39</v>
      </c>
      <c r="FT3" s="9">
        <v>45.49</v>
      </c>
      <c r="FU3" s="9">
        <v>45.49</v>
      </c>
      <c r="FV3" s="9">
        <v>45.49</v>
      </c>
      <c r="FW3" s="9">
        <v>45.49</v>
      </c>
      <c r="FX3" s="9">
        <v>45.49</v>
      </c>
      <c r="FY3" s="9">
        <v>46.79</v>
      </c>
      <c r="FZ3" s="9">
        <v>46.79</v>
      </c>
      <c r="GA3" s="9">
        <v>46.79</v>
      </c>
      <c r="GB3" s="9">
        <v>46.79</v>
      </c>
      <c r="GC3" s="9">
        <v>46.79</v>
      </c>
      <c r="GD3" s="9">
        <v>48.52</v>
      </c>
      <c r="GE3" s="9">
        <v>48.52</v>
      </c>
      <c r="GF3" s="9">
        <v>48.52</v>
      </c>
      <c r="GG3" s="9">
        <v>48.52</v>
      </c>
      <c r="GH3" s="9">
        <v>48.52</v>
      </c>
      <c r="GI3" s="9">
        <v>49.72</v>
      </c>
      <c r="GJ3" s="9">
        <v>49.72</v>
      </c>
      <c r="GK3" s="9">
        <v>49.72</v>
      </c>
      <c r="GL3" s="9">
        <v>49.72</v>
      </c>
      <c r="GM3" s="9">
        <v>49.72</v>
      </c>
      <c r="GN3" s="9">
        <v>50.9</v>
      </c>
      <c r="GO3" s="9">
        <v>50.9</v>
      </c>
      <c r="GP3" s="9">
        <v>50.9</v>
      </c>
      <c r="GQ3" s="9">
        <v>50.9</v>
      </c>
      <c r="GR3" s="9">
        <v>50.9</v>
      </c>
      <c r="GS3" s="9">
        <v>52.22</v>
      </c>
      <c r="GT3" s="9">
        <v>52.22</v>
      </c>
      <c r="GU3" s="9">
        <v>52.22</v>
      </c>
      <c r="GV3" s="9">
        <v>52.22</v>
      </c>
      <c r="GW3" s="9">
        <v>52.22</v>
      </c>
      <c r="GX3" s="9">
        <v>53.42</v>
      </c>
      <c r="GY3" s="9">
        <v>53.42</v>
      </c>
      <c r="GZ3" s="9">
        <v>53.42</v>
      </c>
      <c r="HA3" s="9">
        <v>53.42</v>
      </c>
      <c r="HB3" s="9">
        <v>53.42</v>
      </c>
      <c r="HC3" s="9">
        <v>54.07</v>
      </c>
      <c r="HD3" s="9">
        <v>54.07</v>
      </c>
      <c r="HE3" s="9">
        <v>54.07</v>
      </c>
      <c r="HF3" s="9">
        <v>54.07</v>
      </c>
      <c r="HG3" s="9">
        <v>54.07</v>
      </c>
      <c r="HH3" s="9">
        <v>54.71</v>
      </c>
      <c r="HI3" s="9">
        <v>54.71</v>
      </c>
      <c r="HJ3" s="9">
        <v>54.71</v>
      </c>
      <c r="HK3" s="9">
        <v>54.71</v>
      </c>
      <c r="HL3" s="9">
        <v>54.71</v>
      </c>
    </row>
    <row r="4" spans="1:220" ht="15" customHeight="1">
      <c r="A4" s="164"/>
      <c r="B4" s="164"/>
      <c r="C4" s="11"/>
      <c r="D4" s="11"/>
      <c r="E4" s="11"/>
      <c r="F4" s="11"/>
      <c r="G4" s="11"/>
      <c r="H4" s="11"/>
      <c r="I4" s="11"/>
      <c r="J4" s="11"/>
      <c r="K4" s="164"/>
      <c r="L4" s="164"/>
    </row>
    <row r="5" spans="1:220" ht="15" customHeight="1">
      <c r="A5" s="164" t="s">
        <v>28</v>
      </c>
      <c r="B5" s="164"/>
      <c r="C5" s="11"/>
      <c r="D5" s="11"/>
      <c r="E5" s="11"/>
      <c r="F5" s="11"/>
      <c r="G5" s="11"/>
      <c r="H5" s="11"/>
      <c r="I5" s="11"/>
      <c r="J5" s="11"/>
      <c r="K5" s="164"/>
      <c r="L5" s="164"/>
    </row>
    <row r="6" spans="1:220" ht="15" customHeight="1">
      <c r="A6" s="164"/>
      <c r="B6" s="164"/>
      <c r="C6" s="11"/>
      <c r="D6" s="11"/>
      <c r="E6" s="11"/>
      <c r="F6" s="11"/>
      <c r="G6" s="11"/>
      <c r="H6" s="11"/>
      <c r="I6" s="11"/>
      <c r="J6" s="11"/>
      <c r="K6" s="164"/>
      <c r="L6" s="164"/>
    </row>
    <row r="7" spans="1:220" ht="15" customHeight="1">
      <c r="A7" s="164">
        <f>კრებსითი!A2</f>
        <v>0</v>
      </c>
      <c r="B7" s="164"/>
      <c r="C7" s="11"/>
      <c r="D7" s="11"/>
      <c r="E7" s="11"/>
      <c r="F7" s="11"/>
      <c r="G7" s="11"/>
      <c r="H7" s="11"/>
      <c r="I7" s="11"/>
      <c r="J7" s="11"/>
      <c r="K7" s="164"/>
      <c r="L7" s="164"/>
      <c r="S7" s="184"/>
      <c r="T7" s="184"/>
    </row>
    <row r="8" spans="1:220" ht="15" customHeight="1">
      <c r="A8" s="164"/>
      <c r="B8" s="164"/>
      <c r="C8" s="11"/>
      <c r="D8" s="11"/>
      <c r="E8" s="11"/>
      <c r="F8" s="11"/>
      <c r="G8" s="11"/>
      <c r="H8" s="11"/>
      <c r="I8" s="11"/>
      <c r="J8" s="11"/>
      <c r="K8" s="164"/>
      <c r="L8" s="164"/>
      <c r="S8" s="184"/>
      <c r="T8" s="184"/>
    </row>
    <row r="9" spans="1:220" ht="15" customHeight="1">
      <c r="A9" s="164" t="s">
        <v>29</v>
      </c>
      <c r="B9" s="164"/>
      <c r="C9" s="11"/>
      <c r="D9" s="11"/>
      <c r="E9" s="11"/>
      <c r="F9" s="11"/>
      <c r="G9" s="11"/>
      <c r="H9" s="11"/>
      <c r="I9" s="11"/>
      <c r="J9" s="11"/>
      <c r="K9" s="164"/>
      <c r="L9" s="164"/>
      <c r="S9" s="184"/>
      <c r="T9" s="184"/>
    </row>
    <row r="10" spans="1:220" ht="15" customHeight="1">
      <c r="A10" s="164"/>
      <c r="B10" s="164"/>
      <c r="C10" s="12"/>
      <c r="D10" s="12"/>
      <c r="E10" s="12"/>
      <c r="F10" s="12"/>
      <c r="G10" s="11"/>
      <c r="H10" s="11"/>
      <c r="I10" s="11"/>
      <c r="J10" s="11"/>
      <c r="K10" s="164"/>
      <c r="L10" s="164"/>
      <c r="S10" s="184"/>
      <c r="T10" s="184"/>
    </row>
    <row r="11" spans="1:220" ht="15" customHeight="1">
      <c r="A11" s="164"/>
      <c r="B11" s="164"/>
      <c r="C11" s="11"/>
      <c r="D11" s="11"/>
      <c r="E11" s="11"/>
      <c r="F11" s="11"/>
      <c r="G11" s="11"/>
      <c r="H11" s="171"/>
      <c r="I11" s="37"/>
      <c r="J11" s="164"/>
      <c r="K11" s="164"/>
      <c r="L11" s="38"/>
      <c r="S11" s="184"/>
      <c r="T11" s="184"/>
    </row>
    <row r="12" spans="1:220" ht="15" customHeight="1">
      <c r="A12" s="164"/>
      <c r="B12" s="164"/>
      <c r="C12" s="11"/>
      <c r="D12" s="11"/>
      <c r="E12" s="11"/>
      <c r="F12" s="11"/>
      <c r="G12" s="11"/>
      <c r="H12" s="171"/>
      <c r="I12" s="37"/>
      <c r="J12" s="164"/>
      <c r="K12" s="164"/>
      <c r="L12" s="38"/>
      <c r="S12" s="184"/>
      <c r="T12" s="184"/>
    </row>
    <row r="13" spans="1:220" ht="15" customHeight="1">
      <c r="A13" s="185" t="s">
        <v>41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S13" s="184"/>
      <c r="T13" s="184"/>
    </row>
    <row r="14" spans="1:220" ht="15" customHeigh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84"/>
      <c r="T14" s="184"/>
    </row>
    <row r="15" spans="1:220" ht="15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S15" s="184"/>
      <c r="T15" s="184"/>
    </row>
    <row r="16" spans="1:220" s="7" customFormat="1" ht="39.950000000000003" customHeight="1">
      <c r="A16" s="169" t="s">
        <v>2</v>
      </c>
      <c r="B16" s="169" t="s">
        <v>42</v>
      </c>
      <c r="C16" s="170" t="s">
        <v>7</v>
      </c>
      <c r="D16" s="170" t="s">
        <v>132</v>
      </c>
      <c r="E16" s="170" t="s">
        <v>133</v>
      </c>
      <c r="F16" s="170" t="s">
        <v>44</v>
      </c>
      <c r="G16" s="170" t="s">
        <v>145</v>
      </c>
      <c r="H16" s="170" t="s">
        <v>134</v>
      </c>
      <c r="I16" s="170"/>
      <c r="J16" s="170" t="s">
        <v>147</v>
      </c>
      <c r="K16" s="170" t="s">
        <v>154</v>
      </c>
      <c r="L16" s="180" t="s">
        <v>149</v>
      </c>
      <c r="S16" s="8"/>
      <c r="T16" s="8"/>
    </row>
    <row r="17" spans="1:20" s="7" customFormat="1" ht="39.950000000000003" customHeight="1">
      <c r="A17" s="169"/>
      <c r="B17" s="169"/>
      <c r="C17" s="170"/>
      <c r="D17" s="170"/>
      <c r="E17" s="170"/>
      <c r="F17" s="170"/>
      <c r="G17" s="170"/>
      <c r="H17" s="170" t="s">
        <v>135</v>
      </c>
      <c r="I17" s="170" t="s">
        <v>136</v>
      </c>
      <c r="J17" s="170"/>
      <c r="K17" s="170"/>
      <c r="L17" s="181"/>
      <c r="S17" s="8"/>
      <c r="T17" s="8"/>
    </row>
    <row r="18" spans="1:20" s="7" customFormat="1" ht="39.950000000000003" customHeight="1">
      <c r="A18" s="169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82"/>
      <c r="S18" s="8"/>
      <c r="T18" s="8"/>
    </row>
    <row r="19" spans="1:20" s="7" customFormat="1" ht="39.950000000000003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S19" s="8"/>
      <c r="T19" s="8"/>
    </row>
    <row r="20" spans="1:20" s="7" customFormat="1" ht="80.099999999999994" customHeight="1">
      <c r="A20" s="13" t="s">
        <v>9</v>
      </c>
      <c r="B20" s="15" t="s">
        <v>43</v>
      </c>
      <c r="C20" s="1"/>
      <c r="D20" s="1"/>
      <c r="E20" s="1"/>
      <c r="F20" s="1"/>
      <c r="G20" s="39"/>
      <c r="H20" s="1"/>
      <c r="I20" s="1"/>
      <c r="J20" s="1"/>
      <c r="K20" s="1"/>
      <c r="L20" s="1"/>
      <c r="S20" s="8"/>
      <c r="T20" s="8"/>
    </row>
    <row r="21" spans="1:20" ht="39.950000000000003" customHeight="1">
      <c r="A21" s="4">
        <v>1.1000000000000001</v>
      </c>
      <c r="B21" s="26" t="s">
        <v>131</v>
      </c>
      <c r="C21" s="1" t="s">
        <v>112</v>
      </c>
      <c r="D21" s="3">
        <v>1.2</v>
      </c>
      <c r="E21" s="1" t="s">
        <v>176</v>
      </c>
      <c r="F21" s="1">
        <v>15</v>
      </c>
      <c r="G21" s="39">
        <f>IF(F21&lt;=200,HLOOKUP(F21,$U$2:$HL$3,2,TRUE),(((F21-200)*0.24)+54.71))</f>
        <v>7.82</v>
      </c>
      <c r="H21" s="4" t="s">
        <v>9</v>
      </c>
      <c r="I21" s="3">
        <v>1</v>
      </c>
      <c r="J21" s="1">
        <v>162</v>
      </c>
      <c r="K21" s="35">
        <f t="shared" ref="K21:K26" si="0">ROUND(D21*G21*I21,2)</f>
        <v>9.3800000000000008</v>
      </c>
      <c r="L21" s="27" t="s">
        <v>171</v>
      </c>
    </row>
    <row r="22" spans="1:20" ht="39.950000000000003" customHeight="1">
      <c r="A22" s="4">
        <f>A21+0.1</f>
        <v>1.2000000000000002</v>
      </c>
      <c r="B22" s="26" t="s">
        <v>114</v>
      </c>
      <c r="C22" s="1" t="s">
        <v>142</v>
      </c>
      <c r="D22" s="1">
        <v>2.2000000000000002</v>
      </c>
      <c r="E22" s="1" t="s">
        <v>176</v>
      </c>
      <c r="F22" s="1">
        <v>15</v>
      </c>
      <c r="G22" s="39">
        <f t="shared" ref="G22:G69" si="1">IF(F22&lt;=200,HLOOKUP(F22,$U$2:$HL$3,2,TRUE),(((F22-200)*0.24)+54.71))</f>
        <v>7.82</v>
      </c>
      <c r="H22" s="4" t="s">
        <v>9</v>
      </c>
      <c r="I22" s="4">
        <v>1</v>
      </c>
      <c r="J22" s="1">
        <v>95</v>
      </c>
      <c r="K22" s="35">
        <f t="shared" si="0"/>
        <v>17.2</v>
      </c>
      <c r="L22" s="1" t="s">
        <v>158</v>
      </c>
    </row>
    <row r="23" spans="1:20" ht="39.950000000000003" customHeight="1">
      <c r="A23" s="4">
        <v>1.3</v>
      </c>
      <c r="B23" s="26" t="s">
        <v>184</v>
      </c>
      <c r="C23" s="1" t="s">
        <v>142</v>
      </c>
      <c r="D23" s="1">
        <v>2.2000000000000002</v>
      </c>
      <c r="E23" s="1" t="s">
        <v>176</v>
      </c>
      <c r="F23" s="1">
        <v>15</v>
      </c>
      <c r="G23" s="39">
        <f t="shared" si="1"/>
        <v>7.82</v>
      </c>
      <c r="H23" s="4" t="s">
        <v>9</v>
      </c>
      <c r="I23" s="3">
        <v>1</v>
      </c>
      <c r="J23" s="1">
        <v>103</v>
      </c>
      <c r="K23" s="35">
        <f t="shared" si="0"/>
        <v>17.2</v>
      </c>
      <c r="L23" s="27" t="s">
        <v>187</v>
      </c>
    </row>
    <row r="24" spans="1:20" ht="39.950000000000003" customHeight="1">
      <c r="A24" s="1">
        <v>1.4</v>
      </c>
      <c r="B24" s="26" t="s">
        <v>115</v>
      </c>
      <c r="C24" s="1" t="s">
        <v>142</v>
      </c>
      <c r="D24" s="1">
        <v>2.2000000000000002</v>
      </c>
      <c r="E24" s="1" t="s">
        <v>176</v>
      </c>
      <c r="F24" s="1">
        <v>15</v>
      </c>
      <c r="G24" s="39">
        <f t="shared" si="1"/>
        <v>7.82</v>
      </c>
      <c r="H24" s="4" t="s">
        <v>9</v>
      </c>
      <c r="I24" s="3">
        <v>1</v>
      </c>
      <c r="J24" s="1">
        <v>92</v>
      </c>
      <c r="K24" s="35">
        <f t="shared" si="0"/>
        <v>17.2</v>
      </c>
      <c r="L24" s="27" t="s">
        <v>180</v>
      </c>
    </row>
    <row r="25" spans="1:20" ht="39.950000000000003" customHeight="1">
      <c r="A25" s="4">
        <v>1.5</v>
      </c>
      <c r="B25" s="26" t="s">
        <v>156</v>
      </c>
      <c r="C25" s="1" t="s">
        <v>142</v>
      </c>
      <c r="D25" s="1">
        <v>2.4</v>
      </c>
      <c r="E25" s="1" t="s">
        <v>176</v>
      </c>
      <c r="F25" s="1">
        <v>15</v>
      </c>
      <c r="G25" s="39">
        <f t="shared" si="1"/>
        <v>7.82</v>
      </c>
      <c r="H25" s="4" t="s">
        <v>9</v>
      </c>
      <c r="I25" s="4">
        <v>1</v>
      </c>
      <c r="J25" s="30">
        <v>89</v>
      </c>
      <c r="K25" s="35">
        <f t="shared" si="0"/>
        <v>18.77</v>
      </c>
      <c r="L25" s="35" t="s">
        <v>157</v>
      </c>
    </row>
    <row r="26" spans="1:20" ht="39.950000000000003" customHeight="1">
      <c r="A26" s="1">
        <v>1.6</v>
      </c>
      <c r="B26" s="26" t="s">
        <v>181</v>
      </c>
      <c r="C26" s="1" t="s">
        <v>142</v>
      </c>
      <c r="D26" s="1">
        <v>2.4</v>
      </c>
      <c r="E26" s="1" t="s">
        <v>176</v>
      </c>
      <c r="F26" s="1">
        <v>15</v>
      </c>
      <c r="G26" s="39">
        <f t="shared" si="1"/>
        <v>7.82</v>
      </c>
      <c r="H26" s="4" t="s">
        <v>9</v>
      </c>
      <c r="I26" s="3">
        <v>1</v>
      </c>
      <c r="J26" s="1">
        <v>97</v>
      </c>
      <c r="K26" s="35">
        <f t="shared" si="0"/>
        <v>18.77</v>
      </c>
      <c r="L26" s="27" t="s">
        <v>182</v>
      </c>
    </row>
    <row r="27" spans="1:20" ht="39.950000000000003" customHeight="1">
      <c r="A27" s="1">
        <v>1.8</v>
      </c>
      <c r="B27" s="26" t="s">
        <v>125</v>
      </c>
      <c r="C27" s="1" t="s">
        <v>142</v>
      </c>
      <c r="D27" s="1">
        <v>2.4</v>
      </c>
      <c r="E27" s="1" t="s">
        <v>176</v>
      </c>
      <c r="F27" s="1">
        <v>15</v>
      </c>
      <c r="G27" s="39">
        <f t="shared" si="1"/>
        <v>7.82</v>
      </c>
      <c r="H27" s="4" t="s">
        <v>9</v>
      </c>
      <c r="I27" s="4">
        <v>1</v>
      </c>
      <c r="J27" s="30">
        <f>106+13</f>
        <v>119</v>
      </c>
      <c r="K27" s="35">
        <f>ROUND(D27*G27*I27,2)</f>
        <v>18.77</v>
      </c>
      <c r="L27" s="35" t="s">
        <v>150</v>
      </c>
    </row>
    <row r="28" spans="1:20" ht="39.950000000000003" customHeight="1">
      <c r="A28" s="4">
        <v>1.7</v>
      </c>
      <c r="B28" s="26" t="s">
        <v>183</v>
      </c>
      <c r="C28" s="1" t="s">
        <v>142</v>
      </c>
      <c r="D28" s="1">
        <v>2.4</v>
      </c>
      <c r="E28" s="1" t="s">
        <v>176</v>
      </c>
      <c r="F28" s="1">
        <v>15</v>
      </c>
      <c r="G28" s="39">
        <f t="shared" si="1"/>
        <v>7.82</v>
      </c>
      <c r="H28" s="4" t="s">
        <v>9</v>
      </c>
      <c r="I28" s="4">
        <v>1</v>
      </c>
      <c r="J28" s="30">
        <f>108</f>
        <v>108</v>
      </c>
      <c r="K28" s="35">
        <f>ROUND(D28*G28*I28,2)</f>
        <v>18.77</v>
      </c>
      <c r="L28" s="35" t="s">
        <v>150</v>
      </c>
    </row>
    <row r="29" spans="1:20" ht="39.950000000000003" customHeight="1">
      <c r="A29" s="1">
        <v>1.8</v>
      </c>
      <c r="B29" s="26" t="s">
        <v>96</v>
      </c>
      <c r="C29" s="1" t="s">
        <v>142</v>
      </c>
      <c r="D29" s="1">
        <v>2.4</v>
      </c>
      <c r="E29" s="1" t="s">
        <v>176</v>
      </c>
      <c r="F29" s="1">
        <v>15</v>
      </c>
      <c r="G29" s="39">
        <f t="shared" si="1"/>
        <v>7.82</v>
      </c>
      <c r="H29" s="4" t="s">
        <v>9</v>
      </c>
      <c r="I29" s="4">
        <v>1</v>
      </c>
      <c r="J29" s="30">
        <f>108+13</f>
        <v>121</v>
      </c>
      <c r="K29" s="35">
        <f>ROUND(D29*G29*I29,2)</f>
        <v>18.77</v>
      </c>
      <c r="L29" s="35" t="s">
        <v>150</v>
      </c>
    </row>
    <row r="30" spans="1:20" ht="39.950000000000003" customHeight="1">
      <c r="A30" s="4">
        <v>1.9</v>
      </c>
      <c r="B30" s="26" t="s">
        <v>193</v>
      </c>
      <c r="C30" s="1" t="s">
        <v>142</v>
      </c>
      <c r="D30" s="1">
        <v>2.4</v>
      </c>
      <c r="E30" s="1" t="s">
        <v>176</v>
      </c>
      <c r="F30" s="1">
        <v>15</v>
      </c>
      <c r="G30" s="39">
        <f t="shared" si="1"/>
        <v>7.82</v>
      </c>
      <c r="H30" s="4" t="s">
        <v>9</v>
      </c>
      <c r="I30" s="4">
        <v>1</v>
      </c>
      <c r="J30" s="30">
        <v>113</v>
      </c>
      <c r="K30" s="35">
        <f>ROUND(D30*G30*I30,2)</f>
        <v>18.77</v>
      </c>
      <c r="L30" s="35" t="s">
        <v>150</v>
      </c>
    </row>
    <row r="31" spans="1:20" ht="39.950000000000003" customHeight="1">
      <c r="A31" s="3">
        <v>1.1000000000000001</v>
      </c>
      <c r="B31" s="26" t="s">
        <v>192</v>
      </c>
      <c r="C31" s="1" t="s">
        <v>142</v>
      </c>
      <c r="D31" s="1">
        <v>2.4</v>
      </c>
      <c r="E31" s="1" t="s">
        <v>176</v>
      </c>
      <c r="F31" s="1">
        <v>15</v>
      </c>
      <c r="G31" s="39">
        <f t="shared" si="1"/>
        <v>7.82</v>
      </c>
      <c r="H31" s="4" t="s">
        <v>9</v>
      </c>
      <c r="I31" s="4">
        <v>1</v>
      </c>
      <c r="J31" s="30">
        <f>113+13</f>
        <v>126</v>
      </c>
      <c r="K31" s="35">
        <f t="shared" ref="K31:K40" si="2">ROUND(D31*G31*I31,2)</f>
        <v>18.77</v>
      </c>
      <c r="L31" s="35" t="s">
        <v>150</v>
      </c>
    </row>
    <row r="32" spans="1:20" ht="39.950000000000003" customHeight="1">
      <c r="A32" s="3">
        <v>1.1100000000000001</v>
      </c>
      <c r="B32" s="26" t="s">
        <v>118</v>
      </c>
      <c r="C32" s="1" t="s">
        <v>161</v>
      </c>
      <c r="D32" s="1">
        <v>1</v>
      </c>
      <c r="E32" s="1" t="s">
        <v>287</v>
      </c>
      <c r="F32" s="1">
        <v>240</v>
      </c>
      <c r="G32" s="39">
        <f t="shared" si="1"/>
        <v>64.31</v>
      </c>
      <c r="H32" s="4" t="s">
        <v>9</v>
      </c>
      <c r="I32" s="4">
        <v>1</v>
      </c>
      <c r="J32" s="1">
        <v>1600</v>
      </c>
      <c r="K32" s="35">
        <f t="shared" si="2"/>
        <v>64.31</v>
      </c>
      <c r="L32" s="27" t="s">
        <v>177</v>
      </c>
    </row>
    <row r="33" spans="1:12" ht="39.950000000000003" customHeight="1">
      <c r="A33" s="3">
        <v>1.1200000000000001</v>
      </c>
      <c r="B33" s="26" t="s">
        <v>141</v>
      </c>
      <c r="C33" s="1" t="s">
        <v>161</v>
      </c>
      <c r="D33" s="1">
        <v>1</v>
      </c>
      <c r="E33" s="1" t="s">
        <v>287</v>
      </c>
      <c r="F33" s="1">
        <v>240</v>
      </c>
      <c r="G33" s="39">
        <f t="shared" si="1"/>
        <v>64.31</v>
      </c>
      <c r="H33" s="4" t="s">
        <v>9</v>
      </c>
      <c r="I33" s="4">
        <v>1</v>
      </c>
      <c r="J33" s="1">
        <v>1520</v>
      </c>
      <c r="K33" s="35">
        <f t="shared" si="2"/>
        <v>64.31</v>
      </c>
      <c r="L33" s="27" t="s">
        <v>162</v>
      </c>
    </row>
    <row r="34" spans="1:12" ht="39.950000000000003" customHeight="1">
      <c r="A34" s="3">
        <v>1.1299999999999999</v>
      </c>
      <c r="B34" s="26" t="s">
        <v>128</v>
      </c>
      <c r="C34" s="1" t="s">
        <v>112</v>
      </c>
      <c r="D34" s="1">
        <v>1</v>
      </c>
      <c r="E34" s="1" t="s">
        <v>286</v>
      </c>
      <c r="F34" s="1">
        <v>110</v>
      </c>
      <c r="G34" s="39">
        <f t="shared" si="1"/>
        <v>33.64</v>
      </c>
      <c r="H34" s="4" t="s">
        <v>9</v>
      </c>
      <c r="I34" s="3">
        <v>1</v>
      </c>
      <c r="J34" s="1">
        <v>101.7</v>
      </c>
      <c r="K34" s="35">
        <f t="shared" si="2"/>
        <v>33.64</v>
      </c>
      <c r="L34" s="27" t="s">
        <v>173</v>
      </c>
    </row>
    <row r="35" spans="1:12" ht="39.950000000000003" customHeight="1">
      <c r="A35" s="3">
        <v>1.1399999999999999</v>
      </c>
      <c r="B35" s="26" t="s">
        <v>129</v>
      </c>
      <c r="C35" s="1" t="s">
        <v>112</v>
      </c>
      <c r="D35" s="1">
        <v>1</v>
      </c>
      <c r="E35" s="1" t="s">
        <v>286</v>
      </c>
      <c r="F35" s="1">
        <v>110</v>
      </c>
      <c r="G35" s="39">
        <f t="shared" si="1"/>
        <v>33.64</v>
      </c>
      <c r="H35" s="4" t="s">
        <v>9</v>
      </c>
      <c r="I35" s="3">
        <v>1</v>
      </c>
      <c r="J35" s="1">
        <v>110.2</v>
      </c>
      <c r="K35" s="35">
        <f t="shared" si="2"/>
        <v>33.64</v>
      </c>
      <c r="L35" s="27" t="s">
        <v>174</v>
      </c>
    </row>
    <row r="36" spans="1:12" ht="39.950000000000003" customHeight="1">
      <c r="A36" s="3">
        <v>1.1499999999999999</v>
      </c>
      <c r="B36" s="26" t="s">
        <v>137</v>
      </c>
      <c r="C36" s="1" t="s">
        <v>142</v>
      </c>
      <c r="D36" s="1">
        <v>1.6</v>
      </c>
      <c r="E36" s="1" t="s">
        <v>167</v>
      </c>
      <c r="F36" s="1">
        <v>20</v>
      </c>
      <c r="G36" s="39">
        <f t="shared" si="1"/>
        <v>9.75</v>
      </c>
      <c r="H36" s="4" t="s">
        <v>9</v>
      </c>
      <c r="I36" s="4">
        <v>1</v>
      </c>
      <c r="J36" s="30">
        <v>17</v>
      </c>
      <c r="K36" s="35">
        <f t="shared" si="2"/>
        <v>15.6</v>
      </c>
      <c r="L36" s="35" t="s">
        <v>151</v>
      </c>
    </row>
    <row r="37" spans="1:12" ht="39.950000000000003" customHeight="1">
      <c r="A37" s="3">
        <v>1.1599999999999999</v>
      </c>
      <c r="B37" s="26" t="s">
        <v>105</v>
      </c>
      <c r="C37" s="1" t="s">
        <v>142</v>
      </c>
      <c r="D37" s="1">
        <v>1.55</v>
      </c>
      <c r="E37" s="1" t="s">
        <v>167</v>
      </c>
      <c r="F37" s="1">
        <v>20</v>
      </c>
      <c r="G37" s="39">
        <f t="shared" si="1"/>
        <v>9.75</v>
      </c>
      <c r="H37" s="4" t="s">
        <v>9</v>
      </c>
      <c r="I37" s="4">
        <v>1</v>
      </c>
      <c r="J37" s="1">
        <v>12.7</v>
      </c>
      <c r="K37" s="35">
        <f t="shared" si="2"/>
        <v>15.11</v>
      </c>
      <c r="L37" s="27" t="s">
        <v>164</v>
      </c>
    </row>
    <row r="38" spans="1:12" ht="39.950000000000003" customHeight="1">
      <c r="A38" s="3">
        <v>1.17</v>
      </c>
      <c r="B38" s="26" t="s">
        <v>138</v>
      </c>
      <c r="C38" s="1" t="s">
        <v>142</v>
      </c>
      <c r="D38" s="1">
        <v>1.5</v>
      </c>
      <c r="E38" s="1" t="s">
        <v>176</v>
      </c>
      <c r="F38" s="1">
        <v>15</v>
      </c>
      <c r="G38" s="39">
        <f t="shared" si="1"/>
        <v>7.82</v>
      </c>
      <c r="H38" s="4" t="s">
        <v>9</v>
      </c>
      <c r="I38" s="4">
        <v>1</v>
      </c>
      <c r="J38" s="1">
        <v>28</v>
      </c>
      <c r="K38" s="35">
        <f t="shared" si="2"/>
        <v>11.73</v>
      </c>
      <c r="L38" s="1" t="s">
        <v>155</v>
      </c>
    </row>
    <row r="39" spans="1:12" ht="39.950000000000003" customHeight="1">
      <c r="A39" s="3">
        <v>1.18</v>
      </c>
      <c r="B39" s="26" t="s">
        <v>185</v>
      </c>
      <c r="C39" s="1" t="s">
        <v>142</v>
      </c>
      <c r="D39" s="1">
        <v>1.5</v>
      </c>
      <c r="E39" s="1" t="s">
        <v>176</v>
      </c>
      <c r="F39" s="1">
        <v>15</v>
      </c>
      <c r="G39" s="39">
        <f t="shared" si="1"/>
        <v>7.82</v>
      </c>
      <c r="H39" s="4" t="s">
        <v>9</v>
      </c>
      <c r="I39" s="3">
        <v>1</v>
      </c>
      <c r="J39" s="1">
        <v>38</v>
      </c>
      <c r="K39" s="35">
        <f t="shared" si="2"/>
        <v>11.73</v>
      </c>
      <c r="L39" s="27" t="s">
        <v>186</v>
      </c>
    </row>
    <row r="40" spans="1:12" ht="39.950000000000003" customHeight="1">
      <c r="A40" s="3">
        <v>1.19</v>
      </c>
      <c r="B40" s="1" t="s">
        <v>165</v>
      </c>
      <c r="C40" s="1" t="s">
        <v>142</v>
      </c>
      <c r="D40" s="1">
        <v>2</v>
      </c>
      <c r="E40" s="1" t="s">
        <v>167</v>
      </c>
      <c r="F40" s="1">
        <v>20</v>
      </c>
      <c r="G40" s="39">
        <f t="shared" si="1"/>
        <v>9.75</v>
      </c>
      <c r="H40" s="4" t="s">
        <v>9</v>
      </c>
      <c r="I40" s="4">
        <v>1</v>
      </c>
      <c r="J40" s="1">
        <v>15</v>
      </c>
      <c r="K40" s="35">
        <f t="shared" si="2"/>
        <v>19.5</v>
      </c>
      <c r="L40" s="27" t="s">
        <v>166</v>
      </c>
    </row>
    <row r="41" spans="1:12" ht="39.950000000000003" customHeight="1">
      <c r="A41" s="3">
        <v>1.2</v>
      </c>
      <c r="B41" s="1" t="s">
        <v>258</v>
      </c>
      <c r="C41" s="1" t="s">
        <v>142</v>
      </c>
      <c r="D41" s="1">
        <v>2</v>
      </c>
      <c r="E41" s="1" t="s">
        <v>167</v>
      </c>
      <c r="F41" s="1">
        <v>20</v>
      </c>
      <c r="G41" s="39">
        <f t="shared" si="1"/>
        <v>9.75</v>
      </c>
      <c r="H41" s="4" t="s">
        <v>9</v>
      </c>
      <c r="I41" s="4">
        <v>1</v>
      </c>
      <c r="J41" s="1">
        <v>18</v>
      </c>
      <c r="K41" s="35">
        <f>ROUND(D41*G41*I41,2)</f>
        <v>19.5</v>
      </c>
      <c r="L41" s="27" t="s">
        <v>166</v>
      </c>
    </row>
    <row r="42" spans="1:12" ht="39.950000000000003" customHeight="1">
      <c r="A42" s="3">
        <v>1.21</v>
      </c>
      <c r="B42" s="26" t="s">
        <v>97</v>
      </c>
      <c r="C42" s="1" t="s">
        <v>148</v>
      </c>
      <c r="D42" s="1">
        <f>0.4*1*0.6</f>
        <v>0.24</v>
      </c>
      <c r="E42" s="1" t="s">
        <v>257</v>
      </c>
      <c r="F42" s="1">
        <v>130</v>
      </c>
      <c r="G42" s="39">
        <f t="shared" si="1"/>
        <v>38.54</v>
      </c>
      <c r="H42" s="4" t="s">
        <v>9</v>
      </c>
      <c r="I42" s="4">
        <v>1</v>
      </c>
      <c r="J42" s="30">
        <v>16</v>
      </c>
      <c r="K42" s="35">
        <f t="shared" ref="K42:K68" si="3">ROUND(D42*G42*I42,2)</f>
        <v>9.25</v>
      </c>
      <c r="L42" s="35" t="s">
        <v>152</v>
      </c>
    </row>
    <row r="43" spans="1:12" ht="39.950000000000003" customHeight="1">
      <c r="A43" s="3">
        <v>1.22</v>
      </c>
      <c r="B43" s="26" t="s">
        <v>140</v>
      </c>
      <c r="C43" s="1" t="s">
        <v>142</v>
      </c>
      <c r="D43" s="1">
        <v>0.6</v>
      </c>
      <c r="E43" s="1" t="s">
        <v>257</v>
      </c>
      <c r="F43" s="1">
        <v>130</v>
      </c>
      <c r="G43" s="39">
        <f t="shared" si="1"/>
        <v>38.54</v>
      </c>
      <c r="H43" s="4" t="s">
        <v>9</v>
      </c>
      <c r="I43" s="4">
        <v>1</v>
      </c>
      <c r="J43" s="30">
        <v>443</v>
      </c>
      <c r="K43" s="35">
        <f t="shared" si="3"/>
        <v>23.12</v>
      </c>
      <c r="L43" s="36" t="s">
        <v>160</v>
      </c>
    </row>
    <row r="44" spans="1:12" ht="39.950000000000003" customHeight="1">
      <c r="A44" s="3">
        <v>1.23</v>
      </c>
      <c r="B44" s="26" t="s">
        <v>98</v>
      </c>
      <c r="C44" s="1" t="s">
        <v>142</v>
      </c>
      <c r="D44" s="1">
        <v>0.6</v>
      </c>
      <c r="E44" s="1" t="s">
        <v>257</v>
      </c>
      <c r="F44" s="1">
        <v>130</v>
      </c>
      <c r="G44" s="39">
        <f t="shared" si="1"/>
        <v>38.54</v>
      </c>
      <c r="H44" s="4" t="s">
        <v>9</v>
      </c>
      <c r="I44" s="4">
        <v>1</v>
      </c>
      <c r="J44" s="30">
        <v>475</v>
      </c>
      <c r="K44" s="35">
        <f t="shared" si="3"/>
        <v>23.12</v>
      </c>
      <c r="L44" s="36" t="s">
        <v>153</v>
      </c>
    </row>
    <row r="45" spans="1:12" ht="39.950000000000003" customHeight="1">
      <c r="A45" s="3">
        <v>1.24</v>
      </c>
      <c r="B45" s="26" t="s">
        <v>191</v>
      </c>
      <c r="C45" s="1" t="s">
        <v>142</v>
      </c>
      <c r="D45" s="1">
        <v>0.6</v>
      </c>
      <c r="E45" s="1" t="s">
        <v>257</v>
      </c>
      <c r="F45" s="1">
        <v>130</v>
      </c>
      <c r="G45" s="39">
        <f t="shared" si="1"/>
        <v>38.54</v>
      </c>
      <c r="H45" s="4" t="s">
        <v>9</v>
      </c>
      <c r="I45" s="4">
        <v>1</v>
      </c>
      <c r="J45" s="4">
        <v>521</v>
      </c>
      <c r="K45" s="35">
        <f>ROUND(D45*G45*I45,2)</f>
        <v>23.12</v>
      </c>
      <c r="L45" s="36" t="s">
        <v>153</v>
      </c>
    </row>
    <row r="46" spans="1:12" ht="39.950000000000003" customHeight="1">
      <c r="A46" s="3">
        <v>1.25</v>
      </c>
      <c r="B46" s="1" t="s">
        <v>139</v>
      </c>
      <c r="C46" s="1" t="s">
        <v>142</v>
      </c>
      <c r="D46" s="1">
        <v>0.7</v>
      </c>
      <c r="E46" s="1" t="s">
        <v>257</v>
      </c>
      <c r="F46" s="1">
        <v>130</v>
      </c>
      <c r="G46" s="39">
        <f t="shared" si="1"/>
        <v>38.54</v>
      </c>
      <c r="H46" s="4" t="s">
        <v>9</v>
      </c>
      <c r="I46" s="4">
        <v>1</v>
      </c>
      <c r="J46" s="1">
        <v>280</v>
      </c>
      <c r="K46" s="35">
        <f t="shared" si="3"/>
        <v>26.98</v>
      </c>
      <c r="L46" s="27" t="s">
        <v>159</v>
      </c>
    </row>
    <row r="47" spans="1:12" ht="39.950000000000003" customHeight="1">
      <c r="A47" s="3">
        <v>1.26</v>
      </c>
      <c r="B47" s="26" t="s">
        <v>110</v>
      </c>
      <c r="C47" s="1" t="s">
        <v>161</v>
      </c>
      <c r="D47" s="1">
        <v>1</v>
      </c>
      <c r="E47" s="1" t="s">
        <v>176</v>
      </c>
      <c r="F47" s="1">
        <v>15</v>
      </c>
      <c r="G47" s="39">
        <f t="shared" si="1"/>
        <v>7.82</v>
      </c>
      <c r="H47" s="4" t="s">
        <v>9</v>
      </c>
      <c r="I47" s="4">
        <v>1</v>
      </c>
      <c r="J47" s="1">
        <v>995</v>
      </c>
      <c r="K47" s="35">
        <f>ROUND(D47*G47*I47,2)</f>
        <v>7.82</v>
      </c>
      <c r="L47" s="27" t="s">
        <v>163</v>
      </c>
    </row>
    <row r="48" spans="1:12" ht="39.950000000000003" customHeight="1">
      <c r="A48" s="3">
        <v>1.27</v>
      </c>
      <c r="B48" s="26" t="s">
        <v>94</v>
      </c>
      <c r="C48" s="1" t="s">
        <v>112</v>
      </c>
      <c r="D48" s="1">
        <v>1</v>
      </c>
      <c r="E48" s="1" t="s">
        <v>176</v>
      </c>
      <c r="F48" s="1">
        <v>15</v>
      </c>
      <c r="G48" s="39">
        <f t="shared" si="1"/>
        <v>7.82</v>
      </c>
      <c r="H48" s="4" t="s">
        <v>9</v>
      </c>
      <c r="I48" s="3">
        <v>1</v>
      </c>
      <c r="J48" s="1">
        <v>1250</v>
      </c>
      <c r="K48" s="35">
        <f>ROUND(D48*G48*I48,2)</f>
        <v>7.82</v>
      </c>
      <c r="L48" s="27" t="s">
        <v>172</v>
      </c>
    </row>
    <row r="49" spans="1:12" ht="39.950000000000003" customHeight="1">
      <c r="A49" s="3">
        <v>1.28</v>
      </c>
      <c r="B49" s="22" t="s">
        <v>130</v>
      </c>
      <c r="C49" s="1" t="s">
        <v>188</v>
      </c>
      <c r="D49" s="1">
        <v>3.5999999999999999E-3</v>
      </c>
      <c r="E49" s="1" t="s">
        <v>176</v>
      </c>
      <c r="F49" s="1">
        <v>15</v>
      </c>
      <c r="G49" s="39">
        <f t="shared" si="1"/>
        <v>7.82</v>
      </c>
      <c r="H49" s="4" t="s">
        <v>9</v>
      </c>
      <c r="I49" s="3">
        <v>1</v>
      </c>
      <c r="J49" s="1">
        <v>0.41</v>
      </c>
      <c r="K49" s="35">
        <f>ROUND(D49*G49*I49,2)</f>
        <v>0.03</v>
      </c>
      <c r="L49" s="27" t="s">
        <v>189</v>
      </c>
    </row>
    <row r="50" spans="1:12" ht="39.950000000000003" customHeight="1">
      <c r="A50" s="3">
        <v>1.29</v>
      </c>
      <c r="B50" s="26" t="s">
        <v>109</v>
      </c>
      <c r="C50" s="1" t="s">
        <v>112</v>
      </c>
      <c r="D50" s="1">
        <v>1</v>
      </c>
      <c r="E50" s="1" t="s">
        <v>287</v>
      </c>
      <c r="F50" s="1">
        <v>240</v>
      </c>
      <c r="G50" s="39">
        <f t="shared" si="1"/>
        <v>64.31</v>
      </c>
      <c r="H50" s="4" t="s">
        <v>9</v>
      </c>
      <c r="I50" s="3">
        <v>1</v>
      </c>
      <c r="J50" s="1">
        <v>1810</v>
      </c>
      <c r="K50" s="35">
        <f t="shared" si="3"/>
        <v>64.31</v>
      </c>
      <c r="L50" s="27" t="s">
        <v>175</v>
      </c>
    </row>
    <row r="51" spans="1:12" ht="39.950000000000003" customHeight="1">
      <c r="A51" s="3">
        <v>1.3</v>
      </c>
      <c r="B51" s="26" t="s">
        <v>113</v>
      </c>
      <c r="C51" s="1" t="s">
        <v>112</v>
      </c>
      <c r="D51" s="1">
        <v>1</v>
      </c>
      <c r="E51" s="1" t="s">
        <v>287</v>
      </c>
      <c r="F51" s="1">
        <v>240</v>
      </c>
      <c r="G51" s="39">
        <f t="shared" si="1"/>
        <v>64.31</v>
      </c>
      <c r="H51" s="4" t="s">
        <v>9</v>
      </c>
      <c r="I51" s="3">
        <v>1</v>
      </c>
      <c r="J51" s="1">
        <v>1830</v>
      </c>
      <c r="K51" s="35">
        <f t="shared" si="3"/>
        <v>64.31</v>
      </c>
      <c r="L51" s="27" t="s">
        <v>178</v>
      </c>
    </row>
    <row r="52" spans="1:12" ht="39.950000000000003" customHeight="1">
      <c r="A52" s="3">
        <v>1.31</v>
      </c>
      <c r="B52" s="26" t="s">
        <v>116</v>
      </c>
      <c r="C52" s="1" t="s">
        <v>112</v>
      </c>
      <c r="D52" s="1">
        <v>1</v>
      </c>
      <c r="E52" s="1" t="s">
        <v>287</v>
      </c>
      <c r="F52" s="1">
        <v>240</v>
      </c>
      <c r="G52" s="39">
        <f t="shared" si="1"/>
        <v>64.31</v>
      </c>
      <c r="H52" s="4" t="s">
        <v>9</v>
      </c>
      <c r="I52" s="3">
        <v>1</v>
      </c>
      <c r="J52" s="1">
        <v>2087</v>
      </c>
      <c r="K52" s="35">
        <f t="shared" si="3"/>
        <v>64.31</v>
      </c>
      <c r="L52" s="27" t="s">
        <v>175</v>
      </c>
    </row>
    <row r="53" spans="1:12" ht="39.950000000000003" customHeight="1">
      <c r="A53" s="3">
        <v>1.32</v>
      </c>
      <c r="B53" s="26" t="s">
        <v>117</v>
      </c>
      <c r="C53" s="1" t="s">
        <v>112</v>
      </c>
      <c r="D53" s="1">
        <v>1</v>
      </c>
      <c r="E53" s="1" t="s">
        <v>287</v>
      </c>
      <c r="F53" s="1">
        <v>240</v>
      </c>
      <c r="G53" s="39">
        <f t="shared" si="1"/>
        <v>64.31</v>
      </c>
      <c r="H53" s="4" t="s">
        <v>9</v>
      </c>
      <c r="I53" s="3">
        <v>1</v>
      </c>
      <c r="J53" s="1">
        <v>1920</v>
      </c>
      <c r="K53" s="35">
        <f t="shared" si="3"/>
        <v>64.31</v>
      </c>
      <c r="L53" s="27" t="s">
        <v>179</v>
      </c>
    </row>
    <row r="54" spans="1:12" ht="39.950000000000003" customHeight="1">
      <c r="A54" s="3">
        <v>1.33</v>
      </c>
      <c r="B54" s="26" t="s">
        <v>259</v>
      </c>
      <c r="C54" s="1" t="s">
        <v>188</v>
      </c>
      <c r="D54" s="1">
        <f>2.5*6.26/1000</f>
        <v>1.5649999999999997E-2</v>
      </c>
      <c r="E54" s="1" t="s">
        <v>287</v>
      </c>
      <c r="F54" s="1">
        <v>240</v>
      </c>
      <c r="G54" s="39">
        <f t="shared" si="1"/>
        <v>64.31</v>
      </c>
      <c r="H54" s="4" t="s">
        <v>9</v>
      </c>
      <c r="I54" s="3">
        <v>1</v>
      </c>
      <c r="J54" s="1">
        <f>11.6*2.5</f>
        <v>29</v>
      </c>
      <c r="K54" s="35">
        <f t="shared" si="3"/>
        <v>1.01</v>
      </c>
      <c r="L54" s="27" t="s">
        <v>190</v>
      </c>
    </row>
    <row r="55" spans="1:12" ht="39.950000000000003" customHeight="1">
      <c r="A55" s="3">
        <v>1.34</v>
      </c>
      <c r="B55" s="26" t="s">
        <v>260</v>
      </c>
      <c r="C55" s="1" t="s">
        <v>188</v>
      </c>
      <c r="D55" s="1">
        <f>3.5*9.77/1000</f>
        <v>3.4195000000000003E-2</v>
      </c>
      <c r="E55" s="1" t="s">
        <v>287</v>
      </c>
      <c r="F55" s="1">
        <v>240</v>
      </c>
      <c r="G55" s="39">
        <f t="shared" si="1"/>
        <v>64.31</v>
      </c>
      <c r="H55" s="4" t="s">
        <v>9</v>
      </c>
      <c r="I55" s="3">
        <v>1</v>
      </c>
      <c r="J55" s="1">
        <f>17.3*3.5</f>
        <v>60.550000000000004</v>
      </c>
      <c r="K55" s="35">
        <f t="shared" si="3"/>
        <v>2.2000000000000002</v>
      </c>
      <c r="L55" s="27" t="s">
        <v>190</v>
      </c>
    </row>
    <row r="56" spans="1:12" ht="39.950000000000003" customHeight="1">
      <c r="A56" s="3">
        <v>1.35</v>
      </c>
      <c r="B56" s="26" t="s">
        <v>261</v>
      </c>
      <c r="C56" s="1" t="s">
        <v>188</v>
      </c>
      <c r="D56" s="1">
        <f>4*10.85/1000</f>
        <v>4.3400000000000001E-2</v>
      </c>
      <c r="E56" s="1" t="s">
        <v>287</v>
      </c>
      <c r="F56" s="1">
        <v>240</v>
      </c>
      <c r="G56" s="39">
        <f t="shared" si="1"/>
        <v>64.31</v>
      </c>
      <c r="H56" s="4" t="s">
        <v>9</v>
      </c>
      <c r="I56" s="3">
        <v>1</v>
      </c>
      <c r="J56" s="1">
        <f>18.3*4</f>
        <v>73.2</v>
      </c>
      <c r="K56" s="35">
        <f t="shared" si="3"/>
        <v>2.79</v>
      </c>
      <c r="L56" s="27" t="s">
        <v>190</v>
      </c>
    </row>
    <row r="57" spans="1:12" ht="39.950000000000003" customHeight="1">
      <c r="A57" s="3">
        <v>1.36</v>
      </c>
      <c r="B57" s="26" t="s">
        <v>197</v>
      </c>
      <c r="C57" s="1" t="s">
        <v>112</v>
      </c>
      <c r="D57" s="1">
        <v>1</v>
      </c>
      <c r="E57" s="1" t="s">
        <v>287</v>
      </c>
      <c r="F57" s="1">
        <v>240</v>
      </c>
      <c r="G57" s="39">
        <f t="shared" si="1"/>
        <v>64.31</v>
      </c>
      <c r="H57" s="4" t="s">
        <v>9</v>
      </c>
      <c r="I57" s="3">
        <v>1</v>
      </c>
      <c r="J57" s="4">
        <v>1851</v>
      </c>
      <c r="K57" s="35">
        <f t="shared" si="3"/>
        <v>64.31</v>
      </c>
      <c r="L57" s="27" t="s">
        <v>190</v>
      </c>
    </row>
    <row r="58" spans="1:12" ht="39.950000000000003" customHeight="1">
      <c r="A58" s="3">
        <v>1.37</v>
      </c>
      <c r="B58" s="26" t="s">
        <v>262</v>
      </c>
      <c r="C58" s="1" t="s">
        <v>112</v>
      </c>
      <c r="D58" s="1">
        <v>1</v>
      </c>
      <c r="E58" s="1" t="s">
        <v>287</v>
      </c>
      <c r="F58" s="1">
        <v>240</v>
      </c>
      <c r="G58" s="39">
        <f t="shared" si="1"/>
        <v>64.31</v>
      </c>
      <c r="H58" s="4" t="s">
        <v>9</v>
      </c>
      <c r="I58" s="3">
        <v>1</v>
      </c>
      <c r="J58" s="4">
        <v>1870</v>
      </c>
      <c r="K58" s="35">
        <f t="shared" si="3"/>
        <v>64.31</v>
      </c>
      <c r="L58" s="27" t="s">
        <v>190</v>
      </c>
    </row>
    <row r="59" spans="1:12" ht="39.950000000000003" customHeight="1">
      <c r="A59" s="3">
        <v>1.38</v>
      </c>
      <c r="B59" s="26" t="s">
        <v>263</v>
      </c>
      <c r="C59" s="1" t="s">
        <v>112</v>
      </c>
      <c r="D59" s="1">
        <v>1</v>
      </c>
      <c r="E59" s="1" t="s">
        <v>287</v>
      </c>
      <c r="F59" s="1">
        <v>240</v>
      </c>
      <c r="G59" s="39">
        <f t="shared" si="1"/>
        <v>64.31</v>
      </c>
      <c r="H59" s="4" t="s">
        <v>9</v>
      </c>
      <c r="I59" s="3">
        <v>1</v>
      </c>
      <c r="J59" s="4">
        <v>1920</v>
      </c>
      <c r="K59" s="35">
        <f t="shared" si="3"/>
        <v>64.31</v>
      </c>
      <c r="L59" s="27" t="s">
        <v>190</v>
      </c>
    </row>
    <row r="60" spans="1:12" ht="39.950000000000003" customHeight="1">
      <c r="A60" s="3">
        <v>1.39</v>
      </c>
      <c r="B60" s="26" t="s">
        <v>264</v>
      </c>
      <c r="C60" s="1" t="s">
        <v>168</v>
      </c>
      <c r="D60" s="1">
        <v>1.41E-3</v>
      </c>
      <c r="E60" s="1" t="s">
        <v>287</v>
      </c>
      <c r="F60" s="1">
        <v>240</v>
      </c>
      <c r="G60" s="39">
        <f t="shared" si="1"/>
        <v>64.31</v>
      </c>
      <c r="H60" s="4" t="s">
        <v>9</v>
      </c>
      <c r="I60" s="3">
        <v>1</v>
      </c>
      <c r="J60" s="4">
        <v>4</v>
      </c>
      <c r="K60" s="35">
        <f t="shared" si="3"/>
        <v>0.09</v>
      </c>
      <c r="L60" s="27" t="s">
        <v>190</v>
      </c>
    </row>
    <row r="61" spans="1:12" ht="39.950000000000003" customHeight="1">
      <c r="A61" s="3">
        <v>1.4</v>
      </c>
      <c r="B61" s="26" t="s">
        <v>265</v>
      </c>
      <c r="C61" s="1" t="s">
        <v>188</v>
      </c>
      <c r="D61" s="1">
        <v>1.7500000000000002E-2</v>
      </c>
      <c r="E61" s="1" t="s">
        <v>287</v>
      </c>
      <c r="F61" s="1">
        <v>240</v>
      </c>
      <c r="G61" s="39">
        <f t="shared" si="1"/>
        <v>64.31</v>
      </c>
      <c r="H61" s="4" t="s">
        <v>9</v>
      </c>
      <c r="I61" s="3">
        <v>1</v>
      </c>
      <c r="J61" s="4">
        <v>72.900000000000006</v>
      </c>
      <c r="K61" s="35">
        <f t="shared" si="3"/>
        <v>1.1299999999999999</v>
      </c>
      <c r="L61" s="27" t="s">
        <v>266</v>
      </c>
    </row>
    <row r="62" spans="1:12" ht="39.950000000000003" customHeight="1">
      <c r="A62" s="3">
        <v>1.41</v>
      </c>
      <c r="B62" s="26" t="s">
        <v>267</v>
      </c>
      <c r="C62" s="1" t="s">
        <v>188</v>
      </c>
      <c r="D62" s="1">
        <v>1.32E-2</v>
      </c>
      <c r="E62" s="1" t="s">
        <v>287</v>
      </c>
      <c r="F62" s="1">
        <v>240</v>
      </c>
      <c r="G62" s="39">
        <f t="shared" si="1"/>
        <v>64.31</v>
      </c>
      <c r="H62" s="4" t="s">
        <v>9</v>
      </c>
      <c r="I62" s="3">
        <v>1</v>
      </c>
      <c r="J62" s="4">
        <v>56.8</v>
      </c>
      <c r="K62" s="35">
        <f t="shared" si="3"/>
        <v>0.85</v>
      </c>
      <c r="L62" s="27" t="s">
        <v>268</v>
      </c>
    </row>
    <row r="63" spans="1:12" ht="39.950000000000003" customHeight="1">
      <c r="A63" s="3">
        <v>1.42</v>
      </c>
      <c r="B63" s="26" t="s">
        <v>194</v>
      </c>
      <c r="C63" s="1" t="s">
        <v>112</v>
      </c>
      <c r="D63" s="1">
        <v>1</v>
      </c>
      <c r="E63" s="1" t="s">
        <v>287</v>
      </c>
      <c r="F63" s="1">
        <v>240</v>
      </c>
      <c r="G63" s="39">
        <f t="shared" si="1"/>
        <v>64.31</v>
      </c>
      <c r="H63" s="4" t="s">
        <v>9</v>
      </c>
      <c r="I63" s="3">
        <v>1</v>
      </c>
      <c r="J63" s="1">
        <v>3200</v>
      </c>
      <c r="K63" s="35">
        <f t="shared" si="3"/>
        <v>64.31</v>
      </c>
      <c r="L63" s="27" t="s">
        <v>190</v>
      </c>
    </row>
    <row r="64" spans="1:12" ht="39.950000000000003" customHeight="1">
      <c r="A64" s="3">
        <v>1.43</v>
      </c>
      <c r="B64" s="26" t="s">
        <v>195</v>
      </c>
      <c r="C64" s="1" t="s">
        <v>168</v>
      </c>
      <c r="D64" s="1">
        <f>(0.3*0.3*2400)/1000</f>
        <v>0.216</v>
      </c>
      <c r="E64" s="1" t="s">
        <v>287</v>
      </c>
      <c r="F64" s="1">
        <v>240</v>
      </c>
      <c r="G64" s="39">
        <f t="shared" si="1"/>
        <v>64.31</v>
      </c>
      <c r="H64" s="4" t="s">
        <v>9</v>
      </c>
      <c r="I64" s="3">
        <v>1</v>
      </c>
      <c r="J64" s="4">
        <v>97</v>
      </c>
      <c r="K64" s="35">
        <f t="shared" si="3"/>
        <v>13.89</v>
      </c>
      <c r="L64" s="27" t="s">
        <v>190</v>
      </c>
    </row>
    <row r="65" spans="1:20" ht="39.950000000000003" customHeight="1">
      <c r="A65" s="3">
        <v>1.44</v>
      </c>
      <c r="B65" s="26" t="s">
        <v>196</v>
      </c>
      <c r="C65" s="1" t="s">
        <v>142</v>
      </c>
      <c r="D65" s="1">
        <v>2.4</v>
      </c>
      <c r="E65" s="1" t="s">
        <v>176</v>
      </c>
      <c r="F65" s="1">
        <v>15</v>
      </c>
      <c r="G65" s="39">
        <f t="shared" si="1"/>
        <v>7.82</v>
      </c>
      <c r="H65" s="4" t="s">
        <v>9</v>
      </c>
      <c r="I65" s="3">
        <v>1</v>
      </c>
      <c r="J65" s="4">
        <v>308.8</v>
      </c>
      <c r="K65" s="35">
        <f t="shared" si="3"/>
        <v>18.77</v>
      </c>
      <c r="L65" s="27" t="s">
        <v>190</v>
      </c>
    </row>
    <row r="66" spans="1:20" ht="39.950000000000003" customHeight="1">
      <c r="A66" s="3">
        <v>1.45</v>
      </c>
      <c r="B66" s="26" t="s">
        <v>106</v>
      </c>
      <c r="C66" s="1" t="s">
        <v>168</v>
      </c>
      <c r="D66" s="3">
        <f>0.1*2.5</f>
        <v>0.25</v>
      </c>
      <c r="E66" s="1" t="s">
        <v>257</v>
      </c>
      <c r="F66" s="1">
        <v>130</v>
      </c>
      <c r="G66" s="39">
        <f t="shared" si="1"/>
        <v>38.54</v>
      </c>
      <c r="H66" s="4" t="s">
        <v>16</v>
      </c>
      <c r="I66" s="3">
        <v>1.25</v>
      </c>
      <c r="J66" s="1">
        <v>78.900000000000006</v>
      </c>
      <c r="K66" s="35">
        <f t="shared" si="3"/>
        <v>12.04</v>
      </c>
      <c r="L66" s="27" t="s">
        <v>169</v>
      </c>
    </row>
    <row r="67" spans="1:20" ht="39.950000000000003" customHeight="1">
      <c r="A67" s="3">
        <v>1.46</v>
      </c>
      <c r="B67" s="26" t="s">
        <v>269</v>
      </c>
      <c r="C67" s="1" t="s">
        <v>188</v>
      </c>
      <c r="D67" s="3">
        <f>1.75*2</f>
        <v>3.5</v>
      </c>
      <c r="E67" s="1" t="s">
        <v>257</v>
      </c>
      <c r="F67" s="1">
        <v>130</v>
      </c>
      <c r="G67" s="39">
        <f t="shared" si="1"/>
        <v>38.54</v>
      </c>
      <c r="H67" s="4" t="s">
        <v>16</v>
      </c>
      <c r="I67" s="3">
        <v>1.25</v>
      </c>
      <c r="J67" s="1">
        <f>136*2</f>
        <v>272</v>
      </c>
      <c r="K67" s="35">
        <f t="shared" si="3"/>
        <v>168.61</v>
      </c>
      <c r="L67" s="27" t="s">
        <v>169</v>
      </c>
    </row>
    <row r="68" spans="1:20" ht="39.950000000000003" customHeight="1">
      <c r="A68" s="3">
        <v>1.47</v>
      </c>
      <c r="B68" s="26" t="s">
        <v>270</v>
      </c>
      <c r="C68" s="1" t="s">
        <v>188</v>
      </c>
      <c r="D68" s="3">
        <v>1.75</v>
      </c>
      <c r="E68" s="1" t="s">
        <v>257</v>
      </c>
      <c r="F68" s="1">
        <v>130</v>
      </c>
      <c r="G68" s="39">
        <f t="shared" si="1"/>
        <v>38.54</v>
      </c>
      <c r="H68" s="4" t="s">
        <v>16</v>
      </c>
      <c r="I68" s="3">
        <v>1.25</v>
      </c>
      <c r="J68" s="1">
        <f>136</f>
        <v>136</v>
      </c>
      <c r="K68" s="35">
        <f t="shared" si="3"/>
        <v>84.31</v>
      </c>
      <c r="L68" s="27" t="s">
        <v>169</v>
      </c>
    </row>
    <row r="69" spans="1:20" ht="39.950000000000003" customHeight="1">
      <c r="A69" s="3">
        <v>1.48</v>
      </c>
      <c r="B69" s="26" t="s">
        <v>275</v>
      </c>
      <c r="C69" s="1" t="s">
        <v>188</v>
      </c>
      <c r="D69" s="4">
        <v>2.5</v>
      </c>
      <c r="E69" s="1" t="s">
        <v>257</v>
      </c>
      <c r="F69" s="1">
        <v>130</v>
      </c>
      <c r="G69" s="39">
        <f t="shared" si="1"/>
        <v>38.54</v>
      </c>
      <c r="H69" s="4" t="s">
        <v>16</v>
      </c>
      <c r="I69" s="3">
        <v>1.25</v>
      </c>
      <c r="J69" s="1">
        <v>153</v>
      </c>
      <c r="K69" s="35">
        <f t="shared" ref="K69" si="4">ROUND(D69*G69*I69,2)</f>
        <v>120.44</v>
      </c>
      <c r="L69" s="27" t="s">
        <v>169</v>
      </c>
    </row>
    <row r="70" spans="1:20" ht="39.950000000000003" customHeight="1">
      <c r="A70" s="3">
        <v>1.49</v>
      </c>
      <c r="B70" s="26" t="s">
        <v>313</v>
      </c>
      <c r="C70" s="1" t="s">
        <v>188</v>
      </c>
      <c r="D70" s="4">
        <v>5.0000000000000001E-3</v>
      </c>
      <c r="E70" s="1" t="s">
        <v>257</v>
      </c>
      <c r="F70" s="1">
        <v>130</v>
      </c>
      <c r="G70" s="39">
        <f t="shared" ref="G70" si="5">IF(F70&lt;=200,HLOOKUP(F70,$U$2:$HL$3,2,TRUE),(((F70-200)*0.24)+54.71))</f>
        <v>38.54</v>
      </c>
      <c r="H70" s="4" t="s">
        <v>9</v>
      </c>
      <c r="I70" s="3">
        <v>1</v>
      </c>
      <c r="J70" s="1">
        <v>17</v>
      </c>
      <c r="K70" s="35">
        <f t="shared" ref="K70" si="6">ROUND(D70*G70*I70,2)</f>
        <v>0.19</v>
      </c>
      <c r="L70" s="27" t="s">
        <v>169</v>
      </c>
      <c r="S70" s="10"/>
      <c r="T70" s="10"/>
    </row>
    <row r="71" spans="1:20" ht="39.950000000000003" customHeight="1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20" ht="39.950000000000003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20" ht="39.950000000000003" customHeight="1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20" ht="39.950000000000003" customHeight="1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20" ht="39.950000000000003" customHeight="1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20" ht="39.950000000000003" customHeight="1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20" ht="39.950000000000003" customHeight="1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20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20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20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2: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241" spans="3:211" ht="19.5" customHeight="1">
      <c r="C241" s="40"/>
      <c r="D241" s="40"/>
      <c r="E241" s="40"/>
      <c r="F241" s="40"/>
      <c r="G241" s="40"/>
      <c r="H241" s="40"/>
      <c r="I241" s="40"/>
      <c r="J241" s="40"/>
      <c r="K241" s="40"/>
      <c r="L241" s="22"/>
      <c r="M241" s="9"/>
      <c r="N241" s="9"/>
      <c r="O241" s="9"/>
      <c r="P241" s="9"/>
      <c r="Q241" s="9"/>
      <c r="R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</row>
    <row r="242" spans="3:211" ht="19.5" customHeight="1">
      <c r="C242" s="40"/>
      <c r="D242" s="40"/>
      <c r="E242" s="40"/>
      <c r="F242" s="40"/>
      <c r="G242" s="40"/>
      <c r="H242" s="40"/>
      <c r="I242" s="40"/>
      <c r="J242" s="40"/>
      <c r="K242" s="40"/>
      <c r="L242" s="22"/>
      <c r="M242" s="9"/>
      <c r="N242" s="9"/>
      <c r="O242" s="9"/>
      <c r="P242" s="9"/>
      <c r="Q242" s="9"/>
      <c r="R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view="pageBreakPreview" topLeftCell="A4" zoomScaleNormal="60" zoomScaleSheetLayoutView="100" workbookViewId="0">
      <selection activeCell="G12" sqref="G12:M24"/>
    </sheetView>
  </sheetViews>
  <sheetFormatPr defaultRowHeight="12.75"/>
  <cols>
    <col min="1" max="1" width="8.140625" style="55" customWidth="1"/>
    <col min="2" max="2" width="12.28515625" style="55" customWidth="1"/>
    <col min="3" max="3" width="46.42578125" style="55" customWidth="1"/>
    <col min="4" max="12" width="11.42578125" style="55" customWidth="1"/>
    <col min="13" max="13" width="11.42578125" style="60" customWidth="1"/>
    <col min="14" max="16" width="20.7109375" style="52" customWidth="1"/>
    <col min="17" max="16384" width="9.140625" style="52"/>
  </cols>
  <sheetData>
    <row r="1" spans="1:13">
      <c r="A1" s="141"/>
      <c r="B1" s="141"/>
      <c r="C1" s="141" t="s">
        <v>512</v>
      </c>
      <c r="D1" s="139"/>
      <c r="E1" s="139"/>
      <c r="F1" s="139"/>
      <c r="G1" s="139"/>
      <c r="H1" s="139"/>
      <c r="I1" s="141" t="s">
        <v>17</v>
      </c>
      <c r="J1" s="141"/>
      <c r="K1" s="141"/>
      <c r="L1" s="141"/>
      <c r="M1" s="141"/>
    </row>
    <row r="2" spans="1:13">
      <c r="A2" s="141"/>
      <c r="B2" s="141"/>
      <c r="C2" s="141" t="s">
        <v>513</v>
      </c>
      <c r="D2" s="139"/>
      <c r="E2" s="139"/>
      <c r="F2" s="139"/>
      <c r="G2" s="139"/>
      <c r="H2" s="139"/>
      <c r="I2" s="141" t="s">
        <v>18</v>
      </c>
      <c r="J2" s="141"/>
      <c r="K2" s="141"/>
      <c r="L2" s="141"/>
      <c r="M2" s="141"/>
    </row>
    <row r="3" spans="1:13">
      <c r="A3" s="141"/>
      <c r="B3" s="141"/>
      <c r="C3" s="141" t="s">
        <v>515</v>
      </c>
      <c r="D3" s="139"/>
      <c r="E3" s="139"/>
      <c r="F3" s="139"/>
      <c r="G3" s="139"/>
      <c r="H3" s="139"/>
      <c r="I3" s="141" t="s">
        <v>59</v>
      </c>
      <c r="J3" s="141"/>
      <c r="K3" s="141"/>
      <c r="L3" s="141" t="s">
        <v>20</v>
      </c>
      <c r="M3" s="141"/>
    </row>
    <row r="4" spans="1:13">
      <c r="A4" s="141"/>
      <c r="B4" s="141"/>
      <c r="C4" s="141" t="s">
        <v>514</v>
      </c>
      <c r="D4" s="139"/>
      <c r="E4" s="139"/>
      <c r="F4" s="139"/>
      <c r="G4" s="139"/>
      <c r="H4" s="139"/>
      <c r="I4" s="141" t="s">
        <v>19</v>
      </c>
      <c r="J4" s="141"/>
      <c r="K4" s="141"/>
      <c r="L4" s="141"/>
      <c r="M4" s="141"/>
    </row>
    <row r="5" spans="1:13">
      <c r="A5" s="141"/>
      <c r="B5" s="141"/>
      <c r="C5" s="141"/>
      <c r="D5" s="139"/>
      <c r="E5" s="139"/>
      <c r="F5" s="139"/>
      <c r="G5" s="139"/>
      <c r="H5" s="139"/>
      <c r="I5" s="141"/>
      <c r="J5" s="141"/>
      <c r="K5" s="141"/>
      <c r="L5" s="141"/>
      <c r="M5" s="141"/>
    </row>
    <row r="6" spans="1:13" s="41" customFormat="1">
      <c r="A6" s="155" t="s">
        <v>329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s="41" customForma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s="43" customFormat="1" ht="12.75" customHeight="1">
      <c r="A8" s="158" t="s">
        <v>353</v>
      </c>
      <c r="B8" s="162" t="s">
        <v>354</v>
      </c>
      <c r="C8" s="162" t="s">
        <v>355</v>
      </c>
      <c r="D8" s="162" t="s">
        <v>356</v>
      </c>
      <c r="E8" s="158" t="s">
        <v>357</v>
      </c>
      <c r="F8" s="158"/>
      <c r="G8" s="162" t="s">
        <v>358</v>
      </c>
      <c r="H8" s="162"/>
      <c r="I8" s="162" t="s">
        <v>6</v>
      </c>
      <c r="J8" s="162"/>
      <c r="K8" s="158" t="s">
        <v>359</v>
      </c>
      <c r="L8" s="158"/>
      <c r="M8" s="158" t="s">
        <v>4</v>
      </c>
    </row>
    <row r="9" spans="1:13" s="43" customFormat="1" ht="12.75" customHeight="1">
      <c r="A9" s="158"/>
      <c r="B9" s="162"/>
      <c r="C9" s="162"/>
      <c r="D9" s="162"/>
      <c r="E9" s="63" t="s">
        <v>360</v>
      </c>
      <c r="F9" s="63" t="s">
        <v>285</v>
      </c>
      <c r="G9" s="63" t="s">
        <v>360</v>
      </c>
      <c r="H9" s="63" t="s">
        <v>285</v>
      </c>
      <c r="I9" s="63" t="s">
        <v>360</v>
      </c>
      <c r="J9" s="63" t="s">
        <v>285</v>
      </c>
      <c r="K9" s="63" t="s">
        <v>360</v>
      </c>
      <c r="L9" s="63" t="s">
        <v>285</v>
      </c>
      <c r="M9" s="158"/>
    </row>
    <row r="10" spans="1:13" s="43" customFormat="1">
      <c r="A10" s="63">
        <v>1</v>
      </c>
      <c r="B10" s="63">
        <v>2</v>
      </c>
      <c r="C10" s="64">
        <v>3</v>
      </c>
      <c r="D10" s="63">
        <v>4</v>
      </c>
      <c r="E10" s="63">
        <v>5</v>
      </c>
      <c r="F10" s="63">
        <v>6</v>
      </c>
      <c r="G10" s="63">
        <v>7</v>
      </c>
      <c r="H10" s="65">
        <v>8</v>
      </c>
      <c r="I10" s="63">
        <v>9</v>
      </c>
      <c r="J10" s="65">
        <v>10</v>
      </c>
      <c r="K10" s="63">
        <v>11</v>
      </c>
      <c r="L10" s="65">
        <v>12</v>
      </c>
      <c r="M10" s="65">
        <v>13</v>
      </c>
    </row>
    <row r="11" spans="1:13" s="43" customFormat="1">
      <c r="A11" s="66"/>
      <c r="B11" s="66"/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43" customFormat="1">
      <c r="A12" s="66"/>
      <c r="B12" s="68"/>
      <c r="C12" s="88" t="s">
        <v>32</v>
      </c>
      <c r="D12" s="68"/>
      <c r="E12" s="68"/>
      <c r="F12" s="68"/>
      <c r="G12" s="68"/>
      <c r="H12" s="68"/>
      <c r="I12" s="68"/>
      <c r="J12" s="68"/>
      <c r="K12" s="68"/>
      <c r="L12" s="68"/>
      <c r="M12" s="89"/>
    </row>
    <row r="13" spans="1:13" ht="12.75" customHeight="1">
      <c r="A13" s="66"/>
      <c r="B13" s="68"/>
      <c r="C13" s="88"/>
      <c r="D13" s="68"/>
      <c r="E13" s="71"/>
      <c r="F13" s="71"/>
      <c r="G13" s="71"/>
      <c r="H13" s="71"/>
      <c r="I13" s="71"/>
      <c r="J13" s="71"/>
      <c r="K13" s="71"/>
      <c r="L13" s="71"/>
      <c r="M13" s="71"/>
    </row>
    <row r="14" spans="1:13">
      <c r="A14" s="68">
        <v>1.1000000000000001</v>
      </c>
      <c r="B14" s="159" t="s">
        <v>511</v>
      </c>
      <c r="C14" s="100" t="s">
        <v>33</v>
      </c>
      <c r="D14" s="68" t="s">
        <v>34</v>
      </c>
      <c r="E14" s="71"/>
      <c r="F14" s="71">
        <v>1.0900000000000001</v>
      </c>
      <c r="G14" s="71"/>
      <c r="H14" s="71"/>
      <c r="I14" s="71"/>
      <c r="J14" s="71"/>
      <c r="K14" s="71"/>
      <c r="L14" s="71"/>
      <c r="M14" s="71"/>
    </row>
    <row r="15" spans="1:13" s="54" customFormat="1">
      <c r="A15" s="68"/>
      <c r="B15" s="160"/>
      <c r="C15" s="100"/>
      <c r="D15" s="68"/>
      <c r="E15" s="71"/>
      <c r="F15" s="71"/>
      <c r="G15" s="71"/>
      <c r="H15" s="71"/>
      <c r="I15" s="71"/>
      <c r="J15" s="71"/>
      <c r="K15" s="71"/>
      <c r="L15" s="71"/>
      <c r="M15" s="71"/>
    </row>
    <row r="16" spans="1:13" s="54" customFormat="1">
      <c r="A16" s="68" t="s">
        <v>0</v>
      </c>
      <c r="B16" s="160"/>
      <c r="C16" s="138" t="s">
        <v>15</v>
      </c>
      <c r="D16" s="68" t="s">
        <v>1</v>
      </c>
      <c r="E16" s="76">
        <f>1.1*1.13*(127+67)</f>
        <v>241.14199999999997</v>
      </c>
      <c r="F16" s="71">
        <f>E16*F14</f>
        <v>262.84477999999996</v>
      </c>
      <c r="G16" s="71"/>
      <c r="H16" s="71"/>
      <c r="I16" s="76"/>
      <c r="J16" s="71"/>
      <c r="K16" s="71"/>
      <c r="L16" s="71"/>
      <c r="M16" s="71"/>
    </row>
    <row r="17" spans="1:13" s="54" customFormat="1">
      <c r="A17" s="68"/>
      <c r="B17" s="161"/>
      <c r="C17" s="100"/>
      <c r="D17" s="68"/>
      <c r="E17" s="71"/>
      <c r="F17" s="71"/>
      <c r="G17" s="71"/>
      <c r="H17" s="71"/>
      <c r="I17" s="71"/>
      <c r="J17" s="71"/>
      <c r="K17" s="71"/>
      <c r="L17" s="71"/>
      <c r="M17" s="71"/>
    </row>
    <row r="18" spans="1:13" s="54" customFormat="1">
      <c r="A18" s="66"/>
      <c r="B18" s="96"/>
      <c r="C18" s="66" t="s">
        <v>4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</row>
    <row r="19" spans="1:13" s="54" customFormat="1">
      <c r="A19" s="68"/>
      <c r="B19" s="69"/>
      <c r="C19" s="68"/>
      <c r="D19" s="68"/>
      <c r="E19" s="71"/>
      <c r="F19" s="71"/>
      <c r="G19" s="71"/>
      <c r="H19" s="71"/>
      <c r="I19" s="71"/>
      <c r="J19" s="71"/>
      <c r="K19" s="71"/>
      <c r="L19" s="71"/>
      <c r="M19" s="71"/>
    </row>
    <row r="20" spans="1:13">
      <c r="A20" s="68"/>
      <c r="B20" s="69"/>
      <c r="C20" s="68" t="s">
        <v>10</v>
      </c>
      <c r="D20" s="84">
        <v>0.1</v>
      </c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68"/>
      <c r="B21" s="69"/>
      <c r="C21" s="68" t="s">
        <v>4</v>
      </c>
      <c r="D21" s="84"/>
      <c r="E21" s="71"/>
      <c r="F21" s="71"/>
      <c r="G21" s="71"/>
      <c r="H21" s="71"/>
      <c r="I21" s="71"/>
      <c r="J21" s="71"/>
      <c r="K21" s="71"/>
      <c r="L21" s="71"/>
      <c r="M21" s="71"/>
    </row>
    <row r="22" spans="1:13">
      <c r="A22" s="68"/>
      <c r="B22" s="69"/>
      <c r="C22" s="68" t="s">
        <v>11</v>
      </c>
      <c r="D22" s="84">
        <v>0.08</v>
      </c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68"/>
      <c r="B23" s="69"/>
      <c r="C23" s="68"/>
      <c r="D23" s="84"/>
      <c r="E23" s="71"/>
      <c r="F23" s="71"/>
      <c r="G23" s="71"/>
      <c r="H23" s="71"/>
      <c r="I23" s="71"/>
      <c r="J23" s="71"/>
      <c r="K23" s="71"/>
      <c r="L23" s="71"/>
      <c r="M23" s="71"/>
    </row>
    <row r="24" spans="1:13">
      <c r="A24" s="66"/>
      <c r="B24" s="96"/>
      <c r="C24" s="66" t="s">
        <v>4</v>
      </c>
      <c r="D24" s="66"/>
      <c r="E24" s="67"/>
      <c r="F24" s="67"/>
      <c r="G24" s="67"/>
      <c r="H24" s="67"/>
      <c r="I24" s="67"/>
      <c r="J24" s="67"/>
      <c r="K24" s="67"/>
      <c r="L24" s="67"/>
      <c r="M24" s="67"/>
    </row>
    <row r="25" spans="1:13">
      <c r="B25" s="57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>
      <c r="B26" s="57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13">
      <c r="B27" s="57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>
      <c r="B28" s="57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>
      <c r="B29" s="57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>
      <c r="B30" s="57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>
      <c r="B31" s="57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>
      <c r="B32" s="57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2:13">
      <c r="B33" s="57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2:13">
      <c r="B34" s="57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2:13">
      <c r="B35" s="57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2:13">
      <c r="B36" s="57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2:13">
      <c r="B37" s="57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2:13">
      <c r="B38" s="57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2:13">
      <c r="B39" s="57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2:13">
      <c r="B40" s="57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2:13">
      <c r="B41" s="57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2:13">
      <c r="B42" s="57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2:13">
      <c r="B43" s="57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2:13">
      <c r="B44" s="57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8"/>
    </row>
    <row r="45" spans="2:13">
      <c r="B45" s="57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2:13">
      <c r="B46" s="57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2:13">
      <c r="B47" s="57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2:13">
      <c r="B48" s="57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2:13">
      <c r="B49" s="57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2:13">
      <c r="B50" s="57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2:13">
      <c r="B51" s="57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2:13">
      <c r="B52" s="57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2:13">
      <c r="B53" s="57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2:13">
      <c r="B54" s="57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2:13">
      <c r="B55" s="57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2:13">
      <c r="B56" s="57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2:13">
      <c r="B57" s="57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2:13">
      <c r="B58" s="57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2:13"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2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2:13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9"/>
    </row>
    <row r="62" spans="2:13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9"/>
    </row>
    <row r="63" spans="2:13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9"/>
    </row>
    <row r="64" spans="2:13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9"/>
    </row>
    <row r="65" spans="2:13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9"/>
    </row>
    <row r="66" spans="2:13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9"/>
    </row>
    <row r="67" spans="2:13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9"/>
    </row>
    <row r="68" spans="2:13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9"/>
    </row>
    <row r="69" spans="2:13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9"/>
    </row>
    <row r="70" spans="2:13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9"/>
    </row>
    <row r="71" spans="2:1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9"/>
    </row>
    <row r="72" spans="2:13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9"/>
    </row>
    <row r="73" spans="2:13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9"/>
    </row>
  </sheetData>
  <mergeCells count="11">
    <mergeCell ref="M8:M9"/>
    <mergeCell ref="B14:B17"/>
    <mergeCell ref="A6:M6"/>
    <mergeCell ref="K8:L8"/>
    <mergeCell ref="A8:A9"/>
    <mergeCell ref="B8:B9"/>
    <mergeCell ref="C8:C9"/>
    <mergeCell ref="D8:D9"/>
    <mergeCell ref="E8:F8"/>
    <mergeCell ref="G8:H8"/>
    <mergeCell ref="I8:J8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8"/>
  <sheetViews>
    <sheetView view="pageBreakPreview" topLeftCell="A16" zoomScaleNormal="60" zoomScaleSheetLayoutView="100" workbookViewId="0">
      <selection activeCell="G9" sqref="G9:M57"/>
    </sheetView>
  </sheetViews>
  <sheetFormatPr defaultColWidth="14.140625" defaultRowHeight="12.75"/>
  <cols>
    <col min="1" max="1" width="8.140625" style="104" customWidth="1"/>
    <col min="2" max="2" width="14.140625" style="55"/>
    <col min="3" max="3" width="54.28515625" style="55" customWidth="1"/>
    <col min="4" max="4" width="9.85546875" style="55" customWidth="1"/>
    <col min="5" max="12" width="9.140625" style="55" customWidth="1"/>
    <col min="13" max="13" width="11.7109375" style="60" customWidth="1"/>
    <col min="14" max="16384" width="14.140625" style="52"/>
  </cols>
  <sheetData>
    <row r="1" spans="1:13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3" customFormat="1" ht="26.2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3" s="43" customFormat="1" ht="12.7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3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3" s="43" customFormat="1">
      <c r="A7" s="66"/>
      <c r="B7" s="68"/>
      <c r="C7" s="88" t="s">
        <v>58</v>
      </c>
      <c r="D7" s="68"/>
      <c r="E7" s="68"/>
      <c r="F7" s="68"/>
      <c r="G7" s="68"/>
      <c r="H7" s="68"/>
      <c r="I7" s="68"/>
      <c r="J7" s="68"/>
      <c r="K7" s="68"/>
      <c r="L7" s="68"/>
      <c r="M7" s="89"/>
    </row>
    <row r="8" spans="1:13" ht="12.75" customHeight="1">
      <c r="A8" s="68"/>
      <c r="B8" s="68"/>
      <c r="C8" s="100"/>
      <c r="D8" s="68"/>
      <c r="E8" s="68"/>
      <c r="F8" s="68"/>
      <c r="G8" s="68"/>
      <c r="H8" s="68"/>
      <c r="I8" s="68"/>
      <c r="J8" s="68"/>
      <c r="K8" s="68"/>
      <c r="L8" s="68"/>
      <c r="M8" s="89"/>
    </row>
    <row r="9" spans="1:13" ht="25.5">
      <c r="A9" s="68">
        <v>1.1000000000000001</v>
      </c>
      <c r="B9" s="69" t="s">
        <v>83</v>
      </c>
      <c r="C9" s="137" t="s">
        <v>82</v>
      </c>
      <c r="D9" s="68" t="s">
        <v>365</v>
      </c>
      <c r="E9" s="71"/>
      <c r="F9" s="71">
        <v>305</v>
      </c>
      <c r="G9" s="71"/>
      <c r="H9" s="71"/>
      <c r="I9" s="71"/>
      <c r="J9" s="71"/>
      <c r="K9" s="71"/>
      <c r="L9" s="71"/>
      <c r="M9" s="71"/>
    </row>
    <row r="10" spans="1:13">
      <c r="A10" s="68"/>
      <c r="B10" s="69"/>
      <c r="C10" s="70"/>
      <c r="D10" s="68" t="s">
        <v>410</v>
      </c>
      <c r="E10" s="71"/>
      <c r="F10" s="73">
        <f>F9/1000</f>
        <v>0.30499999999999999</v>
      </c>
      <c r="G10" s="71"/>
      <c r="H10" s="71"/>
      <c r="I10" s="71"/>
      <c r="J10" s="71"/>
      <c r="K10" s="71"/>
      <c r="L10" s="71"/>
      <c r="M10" s="109"/>
    </row>
    <row r="11" spans="1:13">
      <c r="A11" s="68" t="s">
        <v>0</v>
      </c>
      <c r="B11" s="69"/>
      <c r="C11" s="127" t="s">
        <v>15</v>
      </c>
      <c r="D11" s="68" t="s">
        <v>1</v>
      </c>
      <c r="E11" s="71">
        <v>20</v>
      </c>
      <c r="F11" s="71">
        <f>E11*F10</f>
        <v>6.1</v>
      </c>
      <c r="G11" s="71"/>
      <c r="H11" s="71"/>
      <c r="I11" s="81"/>
      <c r="J11" s="71"/>
      <c r="K11" s="71"/>
      <c r="L11" s="71"/>
      <c r="M11" s="109"/>
    </row>
    <row r="12" spans="1:13">
      <c r="A12" s="68" t="s">
        <v>209</v>
      </c>
      <c r="B12" s="74" t="s">
        <v>411</v>
      </c>
      <c r="C12" s="75" t="s">
        <v>412</v>
      </c>
      <c r="D12" s="68" t="s">
        <v>24</v>
      </c>
      <c r="E12" s="71">
        <v>44.8</v>
      </c>
      <c r="F12" s="71">
        <f>E12*F10</f>
        <v>13.664</v>
      </c>
      <c r="G12" s="71"/>
      <c r="H12" s="71"/>
      <c r="I12" s="71"/>
      <c r="J12" s="71"/>
      <c r="K12" s="71"/>
      <c r="L12" s="71"/>
      <c r="M12" s="109"/>
    </row>
    <row r="13" spans="1:13">
      <c r="A13" s="68" t="s">
        <v>210</v>
      </c>
      <c r="B13" s="69"/>
      <c r="C13" s="75" t="s">
        <v>13</v>
      </c>
      <c r="D13" s="68" t="s">
        <v>25</v>
      </c>
      <c r="E13" s="71">
        <v>2.1</v>
      </c>
      <c r="F13" s="71">
        <f>E13*F10</f>
        <v>0.64049999999999996</v>
      </c>
      <c r="G13" s="71"/>
      <c r="H13" s="71"/>
      <c r="I13" s="71"/>
      <c r="J13" s="71"/>
      <c r="K13" s="81"/>
      <c r="L13" s="71"/>
      <c r="M13" s="109"/>
    </row>
    <row r="14" spans="1:13">
      <c r="A14" s="68" t="s">
        <v>211</v>
      </c>
      <c r="B14" s="74" t="s">
        <v>413</v>
      </c>
      <c r="C14" s="93" t="s">
        <v>414</v>
      </c>
      <c r="D14" s="68" t="s">
        <v>365</v>
      </c>
      <c r="E14" s="71">
        <v>0.05</v>
      </c>
      <c r="F14" s="71">
        <f>E14*F10</f>
        <v>1.525E-2</v>
      </c>
      <c r="G14" s="76"/>
      <c r="H14" s="71"/>
      <c r="I14" s="71"/>
      <c r="J14" s="71"/>
      <c r="K14" s="71"/>
      <c r="L14" s="71"/>
      <c r="M14" s="109"/>
    </row>
    <row r="15" spans="1:13">
      <c r="A15" s="68"/>
      <c r="B15" s="69"/>
      <c r="C15" s="138"/>
      <c r="D15" s="68"/>
      <c r="E15" s="71"/>
      <c r="F15" s="71"/>
      <c r="G15" s="71"/>
      <c r="H15" s="71"/>
      <c r="I15" s="71"/>
      <c r="J15" s="71"/>
      <c r="K15" s="71"/>
      <c r="L15" s="71"/>
      <c r="M15" s="71"/>
    </row>
    <row r="16" spans="1:13">
      <c r="A16" s="68">
        <v>1.2</v>
      </c>
      <c r="B16" s="69" t="s">
        <v>419</v>
      </c>
      <c r="C16" s="138" t="s">
        <v>31</v>
      </c>
      <c r="D16" s="68" t="s">
        <v>23</v>
      </c>
      <c r="E16" s="71">
        <v>1.95</v>
      </c>
      <c r="F16" s="71">
        <f>F9*E16</f>
        <v>594.75</v>
      </c>
      <c r="G16" s="71"/>
      <c r="H16" s="71"/>
      <c r="I16" s="71"/>
      <c r="J16" s="71"/>
      <c r="K16" s="76"/>
      <c r="L16" s="71"/>
      <c r="M16" s="71"/>
    </row>
    <row r="17" spans="1:13">
      <c r="A17" s="68"/>
      <c r="B17" s="69"/>
      <c r="C17" s="138"/>
      <c r="D17" s="68"/>
      <c r="E17" s="71"/>
      <c r="F17" s="71"/>
      <c r="G17" s="71"/>
      <c r="H17" s="71"/>
      <c r="I17" s="71"/>
      <c r="J17" s="71"/>
      <c r="K17" s="71"/>
      <c r="L17" s="71"/>
      <c r="M17" s="71"/>
    </row>
    <row r="18" spans="1:13">
      <c r="A18" s="68">
        <v>1.3</v>
      </c>
      <c r="B18" s="69" t="s">
        <v>85</v>
      </c>
      <c r="C18" s="138" t="s">
        <v>84</v>
      </c>
      <c r="D18" s="68" t="s">
        <v>365</v>
      </c>
      <c r="E18" s="71"/>
      <c r="F18" s="71">
        <f>F9</f>
        <v>305</v>
      </c>
      <c r="G18" s="71"/>
      <c r="H18" s="71"/>
      <c r="I18" s="71"/>
      <c r="J18" s="71"/>
      <c r="K18" s="71"/>
      <c r="L18" s="71"/>
      <c r="M18" s="71"/>
    </row>
    <row r="19" spans="1:13">
      <c r="A19" s="68"/>
      <c r="B19" s="69"/>
      <c r="C19" s="90"/>
      <c r="D19" s="68" t="s">
        <v>410</v>
      </c>
      <c r="E19" s="71"/>
      <c r="F19" s="73">
        <f>F18/1000</f>
        <v>0.30499999999999999</v>
      </c>
      <c r="G19" s="71"/>
      <c r="H19" s="71"/>
      <c r="I19" s="71"/>
      <c r="J19" s="71"/>
      <c r="K19" s="71"/>
      <c r="L19" s="71"/>
      <c r="M19" s="71"/>
    </row>
    <row r="20" spans="1:13">
      <c r="A20" s="68" t="s">
        <v>30</v>
      </c>
      <c r="B20" s="69"/>
      <c r="C20" s="90" t="s">
        <v>15</v>
      </c>
      <c r="D20" s="68" t="s">
        <v>1</v>
      </c>
      <c r="E20" s="71">
        <v>3.23</v>
      </c>
      <c r="F20" s="71">
        <f>E20*F19</f>
        <v>0.98514999999999997</v>
      </c>
      <c r="G20" s="71"/>
      <c r="H20" s="71"/>
      <c r="I20" s="71"/>
      <c r="J20" s="71"/>
      <c r="K20" s="71"/>
      <c r="L20" s="71"/>
      <c r="M20" s="71"/>
    </row>
    <row r="21" spans="1:13">
      <c r="A21" s="68" t="s">
        <v>45</v>
      </c>
      <c r="B21" s="74" t="s">
        <v>372</v>
      </c>
      <c r="C21" s="90" t="s">
        <v>86</v>
      </c>
      <c r="D21" s="68" t="s">
        <v>24</v>
      </c>
      <c r="E21" s="71">
        <v>3.62</v>
      </c>
      <c r="F21" s="71">
        <f>E21*F19</f>
        <v>1.1041000000000001</v>
      </c>
      <c r="G21" s="71"/>
      <c r="H21" s="71"/>
      <c r="I21" s="71"/>
      <c r="J21" s="71"/>
      <c r="K21" s="76"/>
      <c r="L21" s="71"/>
      <c r="M21" s="71"/>
    </row>
    <row r="22" spans="1:13">
      <c r="A22" s="68" t="s">
        <v>46</v>
      </c>
      <c r="B22" s="69"/>
      <c r="C22" s="90" t="s">
        <v>13</v>
      </c>
      <c r="D22" s="68" t="s">
        <v>25</v>
      </c>
      <c r="E22" s="71">
        <v>0.18</v>
      </c>
      <c r="F22" s="71">
        <f>E22*F19</f>
        <v>5.4899999999999997E-2</v>
      </c>
      <c r="G22" s="71"/>
      <c r="H22" s="71"/>
      <c r="I22" s="71"/>
      <c r="J22" s="71"/>
      <c r="K22" s="71"/>
      <c r="L22" s="71"/>
      <c r="M22" s="71"/>
    </row>
    <row r="23" spans="1:13">
      <c r="A23" s="68" t="s">
        <v>47</v>
      </c>
      <c r="B23" s="74" t="s">
        <v>413</v>
      </c>
      <c r="C23" s="93" t="s">
        <v>414</v>
      </c>
      <c r="D23" s="68" t="s">
        <v>365</v>
      </c>
      <c r="E23" s="71">
        <v>0.04</v>
      </c>
      <c r="F23" s="71">
        <f>E23*F19</f>
        <v>1.2200000000000001E-2</v>
      </c>
      <c r="G23" s="76"/>
      <c r="H23" s="71"/>
      <c r="I23" s="71"/>
      <c r="J23" s="71"/>
      <c r="K23" s="71"/>
      <c r="L23" s="71"/>
      <c r="M23" s="71"/>
    </row>
    <row r="24" spans="1:13">
      <c r="A24" s="68"/>
      <c r="B24" s="69"/>
      <c r="C24" s="138"/>
      <c r="D24" s="68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25.5">
      <c r="A25" s="95">
        <v>1.4</v>
      </c>
      <c r="B25" s="69" t="s">
        <v>83</v>
      </c>
      <c r="C25" s="137" t="s">
        <v>200</v>
      </c>
      <c r="D25" s="68" t="s">
        <v>365</v>
      </c>
      <c r="E25" s="71"/>
      <c r="F25" s="71">
        <v>8</v>
      </c>
      <c r="G25" s="71"/>
      <c r="H25" s="71"/>
      <c r="I25" s="71"/>
      <c r="J25" s="71"/>
      <c r="K25" s="71"/>
      <c r="L25" s="71"/>
      <c r="M25" s="71"/>
    </row>
    <row r="26" spans="1:13">
      <c r="A26" s="95"/>
      <c r="B26" s="69"/>
      <c r="C26" s="70"/>
      <c r="D26" s="68" t="s">
        <v>410</v>
      </c>
      <c r="E26" s="71"/>
      <c r="F26" s="73">
        <f>F25/1000</f>
        <v>8.0000000000000002E-3</v>
      </c>
      <c r="G26" s="71"/>
      <c r="H26" s="71"/>
      <c r="I26" s="71"/>
      <c r="J26" s="71"/>
      <c r="K26" s="71"/>
      <c r="L26" s="71"/>
      <c r="M26" s="109"/>
    </row>
    <row r="27" spans="1:13">
      <c r="A27" s="68" t="s">
        <v>22</v>
      </c>
      <c r="B27" s="69"/>
      <c r="C27" s="127" t="s">
        <v>15</v>
      </c>
      <c r="D27" s="68" t="s">
        <v>1</v>
      </c>
      <c r="E27" s="71">
        <v>20</v>
      </c>
      <c r="F27" s="71">
        <f>E27*F26</f>
        <v>0.16</v>
      </c>
      <c r="G27" s="71"/>
      <c r="H27" s="71"/>
      <c r="I27" s="81"/>
      <c r="J27" s="71"/>
      <c r="K27" s="71"/>
      <c r="L27" s="71"/>
      <c r="M27" s="109"/>
    </row>
    <row r="28" spans="1:13">
      <c r="A28" s="68" t="s">
        <v>245</v>
      </c>
      <c r="B28" s="74" t="s">
        <v>411</v>
      </c>
      <c r="C28" s="75" t="s">
        <v>412</v>
      </c>
      <c r="D28" s="68" t="s">
        <v>24</v>
      </c>
      <c r="E28" s="71">
        <v>44.8</v>
      </c>
      <c r="F28" s="71">
        <f>E28*F26</f>
        <v>0.3584</v>
      </c>
      <c r="G28" s="71"/>
      <c r="H28" s="71"/>
      <c r="I28" s="71"/>
      <c r="J28" s="71"/>
      <c r="K28" s="71"/>
      <c r="L28" s="71"/>
      <c r="M28" s="109"/>
    </row>
    <row r="29" spans="1:13">
      <c r="A29" s="68" t="s">
        <v>246</v>
      </c>
      <c r="B29" s="69"/>
      <c r="C29" s="75" t="s">
        <v>13</v>
      </c>
      <c r="D29" s="68" t="s">
        <v>25</v>
      </c>
      <c r="E29" s="71">
        <v>2.1</v>
      </c>
      <c r="F29" s="71">
        <f>E29*F26</f>
        <v>1.6800000000000002E-2</v>
      </c>
      <c r="G29" s="71"/>
      <c r="H29" s="71"/>
      <c r="I29" s="71"/>
      <c r="J29" s="71"/>
      <c r="K29" s="81"/>
      <c r="L29" s="71"/>
      <c r="M29" s="109"/>
    </row>
    <row r="30" spans="1:13" s="54" customFormat="1">
      <c r="A30" s="68" t="s">
        <v>247</v>
      </c>
      <c r="B30" s="74" t="s">
        <v>413</v>
      </c>
      <c r="C30" s="93" t="s">
        <v>414</v>
      </c>
      <c r="D30" s="68" t="s">
        <v>365</v>
      </c>
      <c r="E30" s="71">
        <v>0.05</v>
      </c>
      <c r="F30" s="71">
        <f>E30*F26</f>
        <v>4.0000000000000002E-4</v>
      </c>
      <c r="G30" s="76"/>
      <c r="H30" s="71"/>
      <c r="I30" s="71"/>
      <c r="J30" s="71"/>
      <c r="K30" s="71"/>
      <c r="L30" s="71"/>
      <c r="M30" s="109"/>
    </row>
    <row r="31" spans="1:13" s="54" customFormat="1">
      <c r="A31" s="68"/>
      <c r="B31" s="69"/>
      <c r="C31" s="138"/>
      <c r="D31" s="68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54" customFormat="1">
      <c r="A32" s="95">
        <v>1.5</v>
      </c>
      <c r="B32" s="69" t="s">
        <v>509</v>
      </c>
      <c r="C32" s="138" t="s">
        <v>198</v>
      </c>
      <c r="D32" s="68" t="s">
        <v>23</v>
      </c>
      <c r="E32" s="71">
        <v>1.95</v>
      </c>
      <c r="F32" s="71">
        <f>F25*E32</f>
        <v>15.6</v>
      </c>
      <c r="G32" s="71"/>
      <c r="H32" s="71"/>
      <c r="I32" s="71"/>
      <c r="J32" s="71"/>
      <c r="K32" s="71"/>
      <c r="L32" s="71"/>
      <c r="M32" s="71"/>
    </row>
    <row r="33" spans="1:13" s="54" customFormat="1">
      <c r="A33" s="95"/>
      <c r="B33" s="69"/>
      <c r="C33" s="138"/>
      <c r="D33" s="68"/>
      <c r="E33" s="71"/>
      <c r="F33" s="71"/>
      <c r="G33" s="71"/>
      <c r="H33" s="71"/>
      <c r="I33" s="71"/>
      <c r="J33" s="71"/>
      <c r="K33" s="71"/>
      <c r="L33" s="71"/>
      <c r="M33" s="71"/>
    </row>
    <row r="34" spans="1:13" s="54" customFormat="1">
      <c r="A34" s="68">
        <v>1.6</v>
      </c>
      <c r="B34" s="69" t="s">
        <v>510</v>
      </c>
      <c r="C34" s="70" t="s">
        <v>201</v>
      </c>
      <c r="D34" s="68" t="s">
        <v>365</v>
      </c>
      <c r="E34" s="71"/>
      <c r="F34" s="71">
        <f>F25</f>
        <v>8</v>
      </c>
      <c r="G34" s="71"/>
      <c r="H34" s="71"/>
      <c r="I34" s="71"/>
      <c r="J34" s="71"/>
      <c r="K34" s="71"/>
      <c r="L34" s="71"/>
      <c r="M34" s="71"/>
    </row>
    <row r="35" spans="1:13">
      <c r="A35" s="68"/>
      <c r="B35" s="69"/>
      <c r="C35" s="70"/>
      <c r="D35" s="68" t="s">
        <v>410</v>
      </c>
      <c r="E35" s="71"/>
      <c r="F35" s="73">
        <f>F34/1000</f>
        <v>8.0000000000000002E-3</v>
      </c>
      <c r="G35" s="71"/>
      <c r="H35" s="71"/>
      <c r="I35" s="71"/>
      <c r="J35" s="71"/>
      <c r="K35" s="71"/>
      <c r="L35" s="71"/>
      <c r="M35" s="109"/>
    </row>
    <row r="36" spans="1:13">
      <c r="A36" s="68" t="s">
        <v>61</v>
      </c>
      <c r="B36" s="74" t="s">
        <v>481</v>
      </c>
      <c r="C36" s="70" t="s">
        <v>482</v>
      </c>
      <c r="D36" s="68" t="s">
        <v>24</v>
      </c>
      <c r="E36" s="71">
        <v>8.9</v>
      </c>
      <c r="F36" s="71">
        <f>E36*F35</f>
        <v>7.1199999999999999E-2</v>
      </c>
      <c r="G36" s="71"/>
      <c r="H36" s="71"/>
      <c r="I36" s="71"/>
      <c r="J36" s="71"/>
      <c r="K36" s="76"/>
      <c r="L36" s="71"/>
      <c r="M36" s="109"/>
    </row>
    <row r="37" spans="1:13">
      <c r="A37" s="68"/>
      <c r="B37" s="69"/>
      <c r="C37" s="138"/>
      <c r="D37" s="68"/>
      <c r="E37" s="71"/>
      <c r="F37" s="71"/>
      <c r="G37" s="71"/>
      <c r="H37" s="71"/>
      <c r="I37" s="71"/>
      <c r="J37" s="71"/>
      <c r="K37" s="71"/>
      <c r="L37" s="71"/>
      <c r="M37" s="71"/>
    </row>
    <row r="38" spans="1:13">
      <c r="A38" s="95">
        <v>1.7</v>
      </c>
      <c r="B38" s="69" t="s">
        <v>126</v>
      </c>
      <c r="C38" s="138" t="s">
        <v>127</v>
      </c>
      <c r="D38" s="68" t="s">
        <v>361</v>
      </c>
      <c r="E38" s="71"/>
      <c r="F38" s="71">
        <v>1980</v>
      </c>
      <c r="G38" s="71"/>
      <c r="H38" s="71"/>
      <c r="I38" s="71"/>
      <c r="J38" s="71"/>
      <c r="K38" s="71"/>
      <c r="L38" s="71"/>
      <c r="M38" s="71"/>
    </row>
    <row r="39" spans="1:13">
      <c r="A39" s="95"/>
      <c r="B39" s="69"/>
      <c r="C39" s="70"/>
      <c r="D39" s="68" t="s">
        <v>362</v>
      </c>
      <c r="E39" s="71"/>
      <c r="F39" s="73">
        <f>F38/10000</f>
        <v>0.19800000000000001</v>
      </c>
      <c r="G39" s="71"/>
      <c r="H39" s="71"/>
      <c r="I39" s="71"/>
      <c r="J39" s="71"/>
      <c r="K39" s="71"/>
      <c r="L39" s="71"/>
      <c r="M39" s="71"/>
    </row>
    <row r="40" spans="1:13">
      <c r="A40" s="68" t="s">
        <v>63</v>
      </c>
      <c r="B40" s="69"/>
      <c r="C40" s="70" t="s">
        <v>15</v>
      </c>
      <c r="D40" s="68" t="s">
        <v>1</v>
      </c>
      <c r="E40" s="71">
        <v>0.31</v>
      </c>
      <c r="F40" s="71">
        <f>E40*F39</f>
        <v>6.1380000000000004E-2</v>
      </c>
      <c r="G40" s="71"/>
      <c r="H40" s="71"/>
      <c r="I40" s="71"/>
      <c r="J40" s="71"/>
      <c r="K40" s="71"/>
      <c r="L40" s="71"/>
      <c r="M40" s="71"/>
    </row>
    <row r="41" spans="1:13">
      <c r="A41" s="68" t="s">
        <v>64</v>
      </c>
      <c r="B41" s="74" t="s">
        <v>363</v>
      </c>
      <c r="C41" s="75" t="s">
        <v>74</v>
      </c>
      <c r="D41" s="68" t="s">
        <v>24</v>
      </c>
      <c r="E41" s="71">
        <v>1.1200000000000001</v>
      </c>
      <c r="F41" s="71">
        <f>E41*F39</f>
        <v>0.22176000000000004</v>
      </c>
      <c r="G41" s="71"/>
      <c r="H41" s="71"/>
      <c r="I41" s="71"/>
      <c r="J41" s="71"/>
      <c r="K41" s="76"/>
      <c r="L41" s="71"/>
      <c r="M41" s="71"/>
    </row>
    <row r="42" spans="1:13">
      <c r="A42" s="68"/>
      <c r="B42" s="69"/>
      <c r="C42" s="138"/>
      <c r="D42" s="68"/>
      <c r="E42" s="71"/>
      <c r="F42" s="71"/>
      <c r="G42" s="71"/>
      <c r="H42" s="71"/>
      <c r="I42" s="71"/>
      <c r="J42" s="71"/>
      <c r="K42" s="71"/>
      <c r="L42" s="71"/>
      <c r="M42" s="71"/>
    </row>
    <row r="43" spans="1:13">
      <c r="A43" s="66"/>
      <c r="B43" s="96"/>
      <c r="C43" s="66" t="s">
        <v>4</v>
      </c>
      <c r="D43" s="66"/>
      <c r="E43" s="67"/>
      <c r="F43" s="67"/>
      <c r="G43" s="67"/>
      <c r="H43" s="67"/>
      <c r="I43" s="67"/>
      <c r="J43" s="67"/>
      <c r="K43" s="67"/>
      <c r="L43" s="67"/>
      <c r="M43" s="67"/>
    </row>
    <row r="44" spans="1:13">
      <c r="A44" s="68"/>
      <c r="B44" s="69"/>
      <c r="C44" s="68"/>
      <c r="D44" s="68"/>
      <c r="E44" s="71"/>
      <c r="F44" s="71"/>
      <c r="G44" s="71"/>
      <c r="H44" s="71"/>
      <c r="I44" s="71"/>
      <c r="J44" s="71"/>
      <c r="K44" s="71"/>
      <c r="L44" s="71"/>
      <c r="M44" s="71"/>
    </row>
    <row r="45" spans="1:13">
      <c r="A45" s="68"/>
      <c r="B45" s="69"/>
      <c r="C45" s="68" t="s">
        <v>10</v>
      </c>
      <c r="D45" s="84">
        <v>0.1</v>
      </c>
      <c r="E45" s="71"/>
      <c r="F45" s="71"/>
      <c r="G45" s="71"/>
      <c r="H45" s="71"/>
      <c r="I45" s="71"/>
      <c r="J45" s="71"/>
      <c r="K45" s="71"/>
      <c r="L45" s="71"/>
      <c r="M45" s="71"/>
    </row>
    <row r="46" spans="1:13">
      <c r="A46" s="68"/>
      <c r="B46" s="69"/>
      <c r="C46" s="68" t="s">
        <v>4</v>
      </c>
      <c r="D46" s="84"/>
      <c r="E46" s="71"/>
      <c r="F46" s="71"/>
      <c r="G46" s="71"/>
      <c r="H46" s="71"/>
      <c r="I46" s="71"/>
      <c r="J46" s="71"/>
      <c r="K46" s="71"/>
      <c r="L46" s="71"/>
      <c r="M46" s="71"/>
    </row>
    <row r="47" spans="1:13">
      <c r="A47" s="68"/>
      <c r="B47" s="69"/>
      <c r="C47" s="68" t="s">
        <v>11</v>
      </c>
      <c r="D47" s="84">
        <v>0.08</v>
      </c>
      <c r="E47" s="71"/>
      <c r="F47" s="71"/>
      <c r="G47" s="71"/>
      <c r="H47" s="71"/>
      <c r="I47" s="71"/>
      <c r="J47" s="71"/>
      <c r="K47" s="71"/>
      <c r="L47" s="71"/>
      <c r="M47" s="71"/>
    </row>
    <row r="48" spans="1:13">
      <c r="A48" s="68"/>
      <c r="B48" s="69"/>
      <c r="C48" s="68"/>
      <c r="D48" s="84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66"/>
      <c r="B49" s="96"/>
      <c r="C49" s="66" t="s">
        <v>4</v>
      </c>
      <c r="D49" s="66"/>
      <c r="E49" s="67"/>
      <c r="F49" s="67"/>
      <c r="G49" s="67"/>
      <c r="H49" s="67"/>
      <c r="I49" s="67"/>
      <c r="J49" s="67"/>
      <c r="K49" s="67"/>
      <c r="L49" s="67"/>
      <c r="M49" s="67"/>
    </row>
    <row r="50" spans="1:13">
      <c r="A50" s="97"/>
      <c r="B50" s="51"/>
      <c r="C50" s="98"/>
      <c r="D50" s="51"/>
      <c r="E50" s="51"/>
      <c r="F50" s="51"/>
      <c r="G50" s="51"/>
      <c r="H50" s="51"/>
      <c r="I50" s="51"/>
      <c r="J50" s="51"/>
      <c r="K50" s="51"/>
      <c r="L50" s="51"/>
      <c r="M50" s="99"/>
    </row>
    <row r="51" spans="1:13">
      <c r="A51" s="97"/>
      <c r="B51" s="51"/>
      <c r="C51" s="98"/>
      <c r="D51" s="51"/>
      <c r="E51" s="51"/>
      <c r="F51" s="51"/>
      <c r="G51" s="51"/>
      <c r="H51" s="51"/>
      <c r="I51" s="51"/>
      <c r="J51" s="51"/>
      <c r="K51" s="51"/>
      <c r="L51" s="51"/>
      <c r="M51" s="99"/>
    </row>
    <row r="52" spans="1:13">
      <c r="B52" s="57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>
      <c r="B53" s="57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1:13">
      <c r="B54" s="57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1:13">
      <c r="B55" s="57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1:13">
      <c r="B56" s="57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1:13">
      <c r="B57" s="57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>
      <c r="B58" s="57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3"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1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>
      <c r="B61" s="57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>
      <c r="B62" s="57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8"/>
    </row>
    <row r="63" spans="1:13">
      <c r="B63" s="57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8"/>
    </row>
    <row r="64" spans="1:13">
      <c r="B64" s="57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2:13">
      <c r="B65" s="57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8"/>
    </row>
    <row r="66" spans="2:13">
      <c r="B66" s="5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8"/>
    </row>
    <row r="67" spans="2:13">
      <c r="B67" s="57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8"/>
    </row>
    <row r="68" spans="2:13">
      <c r="B68" s="57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2:13">
      <c r="B69" s="57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2:13">
      <c r="B70" s="57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2:13">
      <c r="B71" s="57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2:13">
      <c r="B72" s="57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8"/>
    </row>
    <row r="73" spans="2:13">
      <c r="B73" s="57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2:13">
      <c r="B74" s="57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2:13">
      <c r="B75" s="57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2:13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9"/>
    </row>
    <row r="77" spans="2:13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9"/>
    </row>
    <row r="78" spans="2:13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9"/>
    </row>
    <row r="79" spans="2:13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9"/>
    </row>
    <row r="80" spans="2:13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9"/>
    </row>
    <row r="81" spans="2:13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9"/>
    </row>
    <row r="82" spans="2:13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9"/>
    </row>
    <row r="83" spans="2:13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9"/>
    </row>
    <row r="84" spans="2:13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9"/>
    </row>
    <row r="85" spans="2:13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</row>
    <row r="86" spans="2:13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9"/>
    </row>
    <row r="87" spans="2:13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9"/>
    </row>
    <row r="88" spans="2:13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136"/>
  <sheetViews>
    <sheetView view="pageBreakPreview" topLeftCell="A115" zoomScale="90" zoomScaleNormal="60" zoomScaleSheetLayoutView="90" workbookViewId="0">
      <selection activeCell="A88" sqref="A88:XFD88"/>
    </sheetView>
  </sheetViews>
  <sheetFormatPr defaultRowHeight="12.75"/>
  <cols>
    <col min="1" max="1" width="8.7109375" style="104" customWidth="1"/>
    <col min="2" max="2" width="16.85546875" style="55" customWidth="1"/>
    <col min="3" max="3" width="64.85546875" style="55" customWidth="1"/>
    <col min="4" max="12" width="10.42578125" style="55" customWidth="1"/>
    <col min="13" max="13" width="11.5703125" style="60" customWidth="1"/>
    <col min="14" max="16384" width="9.140625" style="52"/>
  </cols>
  <sheetData>
    <row r="1" spans="1:13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41" customFormat="1">
      <c r="A2" s="87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3" customFormat="1" ht="27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3" s="43" customFormat="1" ht="12.7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3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43" customForma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105"/>
    </row>
    <row r="7" spans="1:13" s="43" customFormat="1">
      <c r="A7" s="66"/>
      <c r="B7" s="68"/>
      <c r="C7" s="88" t="s">
        <v>409</v>
      </c>
      <c r="D7" s="68"/>
      <c r="E7" s="71"/>
      <c r="F7" s="71"/>
      <c r="G7" s="71"/>
      <c r="H7" s="71"/>
      <c r="I7" s="71"/>
      <c r="J7" s="71"/>
      <c r="K7" s="71"/>
      <c r="L7" s="71"/>
      <c r="M7" s="71"/>
    </row>
    <row r="8" spans="1:13" s="43" customFormat="1">
      <c r="A8" s="66"/>
      <c r="B8" s="68"/>
      <c r="C8" s="88"/>
      <c r="D8" s="68"/>
      <c r="E8" s="71"/>
      <c r="F8" s="71"/>
      <c r="G8" s="71"/>
      <c r="H8" s="71"/>
      <c r="I8" s="71"/>
      <c r="J8" s="71"/>
      <c r="K8" s="71"/>
      <c r="L8" s="71"/>
      <c r="M8" s="71"/>
    </row>
    <row r="9" spans="1:13" ht="25.5">
      <c r="A9" s="68">
        <v>1.1000000000000001</v>
      </c>
      <c r="B9" s="69" t="s">
        <v>276</v>
      </c>
      <c r="C9" s="70" t="s">
        <v>288</v>
      </c>
      <c r="D9" s="68" t="s">
        <v>365</v>
      </c>
      <c r="E9" s="71"/>
      <c r="F9" s="71">
        <v>1023</v>
      </c>
      <c r="G9" s="71"/>
      <c r="H9" s="71"/>
      <c r="I9" s="71"/>
      <c r="J9" s="71"/>
      <c r="K9" s="71"/>
      <c r="L9" s="71"/>
      <c r="M9" s="71"/>
    </row>
    <row r="10" spans="1:13">
      <c r="A10" s="68"/>
      <c r="B10" s="69"/>
      <c r="C10" s="70"/>
      <c r="D10" s="68" t="s">
        <v>410</v>
      </c>
      <c r="E10" s="71"/>
      <c r="F10" s="73">
        <f>F9/1000</f>
        <v>1.0229999999999999</v>
      </c>
      <c r="G10" s="71"/>
      <c r="H10" s="71"/>
      <c r="I10" s="71"/>
      <c r="J10" s="71"/>
      <c r="K10" s="71"/>
      <c r="L10" s="71"/>
      <c r="M10" s="71"/>
    </row>
    <row r="11" spans="1:13">
      <c r="A11" s="68" t="s">
        <v>0</v>
      </c>
      <c r="B11" s="69"/>
      <c r="C11" s="70" t="s">
        <v>15</v>
      </c>
      <c r="D11" s="68" t="s">
        <v>1</v>
      </c>
      <c r="E11" s="71">
        <v>27</v>
      </c>
      <c r="F11" s="71">
        <f>E11*F10</f>
        <v>27.620999999999999</v>
      </c>
      <c r="G11" s="71"/>
      <c r="H11" s="71"/>
      <c r="I11" s="71"/>
      <c r="J11" s="71"/>
      <c r="K11" s="71"/>
      <c r="L11" s="71"/>
      <c r="M11" s="71"/>
    </row>
    <row r="12" spans="1:13">
      <c r="A12" s="68" t="s">
        <v>209</v>
      </c>
      <c r="B12" s="74" t="s">
        <v>411</v>
      </c>
      <c r="C12" s="75" t="s">
        <v>412</v>
      </c>
      <c r="D12" s="68" t="s">
        <v>24</v>
      </c>
      <c r="E12" s="71">
        <v>60.5</v>
      </c>
      <c r="F12" s="71">
        <f>E12*F10</f>
        <v>61.891499999999994</v>
      </c>
      <c r="G12" s="71"/>
      <c r="H12" s="71"/>
      <c r="I12" s="71"/>
      <c r="J12" s="71"/>
      <c r="K12" s="71"/>
      <c r="L12" s="71"/>
      <c r="M12" s="71"/>
    </row>
    <row r="13" spans="1:13">
      <c r="A13" s="68" t="s">
        <v>210</v>
      </c>
      <c r="B13" s="69"/>
      <c r="C13" s="70" t="s">
        <v>13</v>
      </c>
      <c r="D13" s="68" t="s">
        <v>25</v>
      </c>
      <c r="E13" s="71">
        <v>2.21</v>
      </c>
      <c r="F13" s="71">
        <f>E13*F10</f>
        <v>2.2608299999999999</v>
      </c>
      <c r="G13" s="71"/>
      <c r="H13" s="71"/>
      <c r="I13" s="71"/>
      <c r="J13" s="71"/>
      <c r="K13" s="71"/>
      <c r="L13" s="71"/>
      <c r="M13" s="71"/>
    </row>
    <row r="14" spans="1:13" ht="12.75" customHeight="1">
      <c r="A14" s="68" t="s">
        <v>211</v>
      </c>
      <c r="B14" s="74" t="s">
        <v>413</v>
      </c>
      <c r="C14" s="93" t="s">
        <v>414</v>
      </c>
      <c r="D14" s="68" t="s">
        <v>365</v>
      </c>
      <c r="E14" s="71">
        <v>0.06</v>
      </c>
      <c r="F14" s="71">
        <f>E14*F10</f>
        <v>6.137999999999999E-2</v>
      </c>
      <c r="G14" s="76"/>
      <c r="H14" s="71"/>
      <c r="I14" s="71"/>
      <c r="J14" s="71"/>
      <c r="K14" s="71"/>
      <c r="L14" s="71"/>
      <c r="M14" s="71"/>
    </row>
    <row r="15" spans="1:13">
      <c r="A15" s="68"/>
      <c r="B15" s="69"/>
      <c r="C15" s="70"/>
      <c r="D15" s="68"/>
      <c r="E15" s="71"/>
      <c r="F15" s="71"/>
      <c r="G15" s="71"/>
      <c r="H15" s="71"/>
      <c r="I15" s="71"/>
      <c r="J15" s="71"/>
      <c r="K15" s="71"/>
      <c r="L15" s="71"/>
      <c r="M15" s="71"/>
    </row>
    <row r="16" spans="1:13">
      <c r="A16" s="68">
        <v>1.2</v>
      </c>
      <c r="B16" s="78" t="s">
        <v>415</v>
      </c>
      <c r="C16" s="75" t="s">
        <v>289</v>
      </c>
      <c r="D16" s="68" t="s">
        <v>365</v>
      </c>
      <c r="E16" s="71"/>
      <c r="F16" s="71">
        <v>10</v>
      </c>
      <c r="G16" s="71"/>
      <c r="H16" s="71"/>
      <c r="I16" s="71"/>
      <c r="J16" s="71"/>
      <c r="K16" s="71"/>
      <c r="L16" s="71"/>
      <c r="M16" s="71"/>
    </row>
    <row r="17" spans="1:13">
      <c r="A17" s="68"/>
      <c r="B17" s="69" t="s">
        <v>416</v>
      </c>
      <c r="C17" s="75"/>
      <c r="D17" s="68" t="s">
        <v>366</v>
      </c>
      <c r="E17" s="71"/>
      <c r="F17" s="71">
        <v>0.16</v>
      </c>
      <c r="G17" s="71"/>
      <c r="H17" s="71"/>
      <c r="I17" s="71"/>
      <c r="J17" s="71"/>
      <c r="K17" s="71"/>
      <c r="L17" s="71"/>
      <c r="M17" s="71"/>
    </row>
    <row r="18" spans="1:13">
      <c r="A18" s="68" t="s">
        <v>21</v>
      </c>
      <c r="B18" s="78"/>
      <c r="C18" s="70" t="s">
        <v>15</v>
      </c>
      <c r="D18" s="68" t="s">
        <v>1</v>
      </c>
      <c r="E18" s="76">
        <f>1.2*299</f>
        <v>358.8</v>
      </c>
      <c r="F18" s="71">
        <f>E18*F17</f>
        <v>57.408000000000001</v>
      </c>
      <c r="G18" s="71"/>
      <c r="H18" s="71"/>
      <c r="I18" s="71"/>
      <c r="J18" s="71"/>
      <c r="K18" s="71"/>
      <c r="L18" s="71"/>
      <c r="M18" s="71"/>
    </row>
    <row r="19" spans="1:13">
      <c r="A19" s="68"/>
      <c r="B19" s="78"/>
      <c r="C19" s="70"/>
      <c r="D19" s="68"/>
      <c r="E19" s="71"/>
      <c r="F19" s="71"/>
      <c r="G19" s="71"/>
      <c r="H19" s="71"/>
      <c r="I19" s="71"/>
      <c r="J19" s="71"/>
      <c r="K19" s="71"/>
      <c r="L19" s="71"/>
      <c r="M19" s="71"/>
    </row>
    <row r="20" spans="1:13">
      <c r="A20" s="68">
        <v>1.3</v>
      </c>
      <c r="B20" s="106" t="s">
        <v>417</v>
      </c>
      <c r="C20" s="70" t="s">
        <v>104</v>
      </c>
      <c r="D20" s="68" t="s">
        <v>23</v>
      </c>
      <c r="E20" s="71">
        <v>1.95</v>
      </c>
      <c r="F20" s="71">
        <f>E20*F16</f>
        <v>19.5</v>
      </c>
      <c r="G20" s="71"/>
      <c r="H20" s="71"/>
      <c r="I20" s="71"/>
      <c r="J20" s="71"/>
      <c r="K20" s="71"/>
      <c r="L20" s="71"/>
      <c r="M20" s="71"/>
    </row>
    <row r="21" spans="1:13">
      <c r="A21" s="68" t="s">
        <v>30</v>
      </c>
      <c r="B21" s="107" t="s">
        <v>418</v>
      </c>
      <c r="C21" s="70" t="s">
        <v>15</v>
      </c>
      <c r="D21" s="68" t="s">
        <v>1</v>
      </c>
      <c r="E21" s="71">
        <v>0.53</v>
      </c>
      <c r="F21" s="71">
        <f>E21*F20</f>
        <v>10.335000000000001</v>
      </c>
      <c r="G21" s="71"/>
      <c r="H21" s="71"/>
      <c r="I21" s="71"/>
      <c r="J21" s="71"/>
      <c r="K21" s="71"/>
      <c r="L21" s="71"/>
      <c r="M21" s="71"/>
    </row>
    <row r="22" spans="1:13">
      <c r="A22" s="68"/>
      <c r="B22" s="69"/>
      <c r="C22" s="75"/>
      <c r="D22" s="68"/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68">
        <v>1.4</v>
      </c>
      <c r="B23" s="74" t="s">
        <v>419</v>
      </c>
      <c r="C23" s="70" t="s">
        <v>31</v>
      </c>
      <c r="D23" s="68" t="s">
        <v>23</v>
      </c>
      <c r="E23" s="71">
        <v>1.95</v>
      </c>
      <c r="F23" s="76">
        <f>E23*(F9+F16)</f>
        <v>2014.35</v>
      </c>
      <c r="G23" s="71"/>
      <c r="H23" s="71"/>
      <c r="I23" s="71"/>
      <c r="J23" s="71"/>
      <c r="K23" s="76"/>
      <c r="L23" s="71"/>
      <c r="M23" s="71"/>
    </row>
    <row r="24" spans="1:13">
      <c r="A24" s="68"/>
      <c r="B24" s="69"/>
      <c r="C24" s="70"/>
      <c r="D24" s="68"/>
      <c r="E24" s="71"/>
      <c r="F24" s="71"/>
      <c r="G24" s="71"/>
      <c r="H24" s="71"/>
      <c r="I24" s="71"/>
      <c r="J24" s="71"/>
      <c r="K24" s="71"/>
      <c r="L24" s="71"/>
      <c r="M24" s="71"/>
    </row>
    <row r="25" spans="1:13">
      <c r="A25" s="68">
        <v>1.5</v>
      </c>
      <c r="B25" s="74" t="s">
        <v>85</v>
      </c>
      <c r="C25" s="70" t="s">
        <v>420</v>
      </c>
      <c r="D25" s="68" t="s">
        <v>365</v>
      </c>
      <c r="E25" s="71"/>
      <c r="F25" s="71">
        <f>F9+F16</f>
        <v>1033</v>
      </c>
      <c r="G25" s="71"/>
      <c r="H25" s="71"/>
      <c r="I25" s="71"/>
      <c r="J25" s="71"/>
      <c r="K25" s="71"/>
      <c r="L25" s="71"/>
      <c r="M25" s="71"/>
    </row>
    <row r="26" spans="1:13">
      <c r="A26" s="68"/>
      <c r="B26" s="69"/>
      <c r="C26" s="90"/>
      <c r="D26" s="68" t="s">
        <v>410</v>
      </c>
      <c r="E26" s="71"/>
      <c r="F26" s="73">
        <f>F25/1000</f>
        <v>1.0329999999999999</v>
      </c>
      <c r="G26" s="71"/>
      <c r="H26" s="71"/>
      <c r="I26" s="71"/>
      <c r="J26" s="71"/>
      <c r="K26" s="71"/>
      <c r="L26" s="71"/>
      <c r="M26" s="71"/>
    </row>
    <row r="27" spans="1:13">
      <c r="A27" s="68" t="s">
        <v>212</v>
      </c>
      <c r="B27" s="69"/>
      <c r="C27" s="90" t="s">
        <v>15</v>
      </c>
      <c r="D27" s="68" t="s">
        <v>1</v>
      </c>
      <c r="E27" s="71">
        <v>3.23</v>
      </c>
      <c r="F27" s="71">
        <f>E27*F26</f>
        <v>3.3365899999999997</v>
      </c>
      <c r="G27" s="71"/>
      <c r="H27" s="71"/>
      <c r="I27" s="71"/>
      <c r="J27" s="71"/>
      <c r="K27" s="71"/>
      <c r="L27" s="71"/>
      <c r="M27" s="71"/>
    </row>
    <row r="28" spans="1:13">
      <c r="A28" s="68" t="s">
        <v>213</v>
      </c>
      <c r="B28" s="74" t="s">
        <v>372</v>
      </c>
      <c r="C28" s="90" t="s">
        <v>86</v>
      </c>
      <c r="D28" s="68" t="s">
        <v>24</v>
      </c>
      <c r="E28" s="71">
        <v>3.62</v>
      </c>
      <c r="F28" s="71">
        <f>E28*F26</f>
        <v>3.7394599999999998</v>
      </c>
      <c r="G28" s="71"/>
      <c r="H28" s="71"/>
      <c r="I28" s="71"/>
      <c r="J28" s="71"/>
      <c r="K28" s="76"/>
      <c r="L28" s="71"/>
      <c r="M28" s="71"/>
    </row>
    <row r="29" spans="1:13">
      <c r="A29" s="68" t="s">
        <v>214</v>
      </c>
      <c r="B29" s="69"/>
      <c r="C29" s="90" t="s">
        <v>13</v>
      </c>
      <c r="D29" s="68" t="s">
        <v>25</v>
      </c>
      <c r="E29" s="71">
        <v>0.18</v>
      </c>
      <c r="F29" s="71">
        <f>E29*F26</f>
        <v>0.18593999999999997</v>
      </c>
      <c r="G29" s="71"/>
      <c r="H29" s="71"/>
      <c r="I29" s="71"/>
      <c r="J29" s="71"/>
      <c r="K29" s="71"/>
      <c r="L29" s="71"/>
      <c r="M29" s="71"/>
    </row>
    <row r="30" spans="1:13">
      <c r="A30" s="68" t="s">
        <v>215</v>
      </c>
      <c r="B30" s="74" t="s">
        <v>413</v>
      </c>
      <c r="C30" s="93" t="s">
        <v>414</v>
      </c>
      <c r="D30" s="68" t="s">
        <v>365</v>
      </c>
      <c r="E30" s="71">
        <v>0.04</v>
      </c>
      <c r="F30" s="71">
        <f>E30*F26</f>
        <v>4.1319999999999996E-2</v>
      </c>
      <c r="G30" s="76"/>
      <c r="H30" s="71"/>
      <c r="I30" s="71"/>
      <c r="J30" s="71"/>
      <c r="K30" s="71"/>
      <c r="L30" s="71"/>
      <c r="M30" s="71"/>
    </row>
    <row r="31" spans="1:13">
      <c r="A31" s="68"/>
      <c r="B31" s="69"/>
      <c r="C31" s="70"/>
      <c r="D31" s="68"/>
      <c r="E31" s="71"/>
      <c r="F31" s="71"/>
      <c r="G31" s="71"/>
      <c r="H31" s="71"/>
      <c r="I31" s="71"/>
      <c r="J31" s="71"/>
      <c r="K31" s="71"/>
      <c r="L31" s="71"/>
      <c r="M31" s="71"/>
    </row>
    <row r="32" spans="1:13">
      <c r="A32" s="68">
        <v>1.6</v>
      </c>
      <c r="B32" s="69" t="s">
        <v>290</v>
      </c>
      <c r="C32" s="70" t="s">
        <v>316</v>
      </c>
      <c r="D32" s="47" t="s">
        <v>361</v>
      </c>
      <c r="E32" s="71"/>
      <c r="F32" s="71">
        <v>145.19999999999999</v>
      </c>
      <c r="G32" s="71"/>
      <c r="H32" s="71"/>
      <c r="I32" s="71"/>
      <c r="J32" s="71"/>
      <c r="K32" s="71"/>
      <c r="L32" s="71"/>
      <c r="M32" s="71"/>
    </row>
    <row r="33" spans="1:13">
      <c r="A33" s="68"/>
      <c r="B33" s="69"/>
      <c r="C33" s="70"/>
      <c r="D33" s="47" t="s">
        <v>371</v>
      </c>
      <c r="E33" s="71"/>
      <c r="F33" s="73">
        <f>F32/1000</f>
        <v>0.1452</v>
      </c>
      <c r="G33" s="71"/>
      <c r="H33" s="71"/>
      <c r="I33" s="71"/>
      <c r="J33" s="71"/>
      <c r="K33" s="71"/>
      <c r="L33" s="71"/>
      <c r="M33" s="71"/>
    </row>
    <row r="34" spans="1:13">
      <c r="A34" s="68" t="s">
        <v>61</v>
      </c>
      <c r="B34" s="69"/>
      <c r="C34" s="70" t="s">
        <v>15</v>
      </c>
      <c r="D34" s="68" t="s">
        <v>1</v>
      </c>
      <c r="E34" s="71">
        <v>91</v>
      </c>
      <c r="F34" s="71">
        <f>E34*F33</f>
        <v>13.213200000000001</v>
      </c>
      <c r="G34" s="71"/>
      <c r="H34" s="71"/>
      <c r="I34" s="71"/>
      <c r="J34" s="71"/>
      <c r="K34" s="71"/>
      <c r="L34" s="71"/>
      <c r="M34" s="71"/>
    </row>
    <row r="35" spans="1:13">
      <c r="A35" s="68"/>
      <c r="B35" s="69"/>
      <c r="C35" s="70"/>
      <c r="D35" s="68"/>
      <c r="E35" s="71"/>
      <c r="F35" s="71"/>
      <c r="G35" s="71"/>
      <c r="H35" s="71"/>
      <c r="I35" s="71"/>
      <c r="J35" s="71"/>
      <c r="K35" s="71"/>
      <c r="L35" s="71"/>
      <c r="M35" s="71"/>
    </row>
    <row r="36" spans="1:13">
      <c r="A36" s="68">
        <v>1.7</v>
      </c>
      <c r="B36" s="74" t="s">
        <v>421</v>
      </c>
      <c r="C36" s="70" t="s">
        <v>271</v>
      </c>
      <c r="D36" s="68" t="s">
        <v>365</v>
      </c>
      <c r="E36" s="71"/>
      <c r="F36" s="71">
        <v>66</v>
      </c>
      <c r="G36" s="71"/>
      <c r="H36" s="71"/>
      <c r="I36" s="71"/>
      <c r="J36" s="71"/>
      <c r="K36" s="71"/>
      <c r="L36" s="71"/>
      <c r="M36" s="71"/>
    </row>
    <row r="37" spans="1:13">
      <c r="A37" s="47"/>
      <c r="B37" s="53"/>
      <c r="C37" s="50"/>
      <c r="D37" s="68" t="s">
        <v>422</v>
      </c>
      <c r="E37" s="71"/>
      <c r="F37" s="71">
        <f>F36</f>
        <v>66</v>
      </c>
      <c r="G37" s="71"/>
      <c r="H37" s="71"/>
      <c r="I37" s="71"/>
      <c r="J37" s="71"/>
      <c r="K37" s="71"/>
      <c r="L37" s="71"/>
      <c r="M37" s="71"/>
    </row>
    <row r="38" spans="1:13">
      <c r="A38" s="68" t="s">
        <v>63</v>
      </c>
      <c r="B38" s="69"/>
      <c r="C38" s="70" t="s">
        <v>15</v>
      </c>
      <c r="D38" s="68" t="s">
        <v>1</v>
      </c>
      <c r="E38" s="76">
        <v>0.89</v>
      </c>
      <c r="F38" s="71">
        <f>E38*F37</f>
        <v>58.74</v>
      </c>
      <c r="G38" s="71"/>
      <c r="H38" s="71"/>
      <c r="I38" s="76"/>
      <c r="J38" s="71"/>
      <c r="K38" s="71"/>
      <c r="L38" s="71"/>
      <c r="M38" s="71"/>
    </row>
    <row r="39" spans="1:13">
      <c r="A39" s="68" t="s">
        <v>64</v>
      </c>
      <c r="B39" s="74" t="s">
        <v>369</v>
      </c>
      <c r="C39" s="70" t="s">
        <v>105</v>
      </c>
      <c r="D39" s="68" t="s">
        <v>365</v>
      </c>
      <c r="E39" s="76">
        <v>1.1499999999999999</v>
      </c>
      <c r="F39" s="71">
        <f>E39*F37</f>
        <v>75.899999999999991</v>
      </c>
      <c r="G39" s="71"/>
      <c r="H39" s="71"/>
      <c r="I39" s="71"/>
      <c r="J39" s="71"/>
      <c r="K39" s="71"/>
      <c r="L39" s="71"/>
      <c r="M39" s="71"/>
    </row>
    <row r="40" spans="1:13">
      <c r="A40" s="91" t="s">
        <v>218</v>
      </c>
      <c r="B40" s="74"/>
      <c r="C40" s="108" t="s">
        <v>13</v>
      </c>
      <c r="D40" s="91" t="s">
        <v>25</v>
      </c>
      <c r="E40" s="76">
        <v>0.37</v>
      </c>
      <c r="F40" s="76">
        <f>E40*F37</f>
        <v>24.419999999999998</v>
      </c>
      <c r="G40" s="76"/>
      <c r="H40" s="76"/>
      <c r="I40" s="76"/>
      <c r="J40" s="76"/>
      <c r="K40" s="76"/>
      <c r="L40" s="76"/>
      <c r="M40" s="76"/>
    </row>
    <row r="41" spans="1:13">
      <c r="A41" s="91" t="s">
        <v>219</v>
      </c>
      <c r="B41" s="80"/>
      <c r="C41" s="77" t="s">
        <v>14</v>
      </c>
      <c r="D41" s="91" t="s">
        <v>25</v>
      </c>
      <c r="E41" s="76">
        <v>0.02</v>
      </c>
      <c r="F41" s="76">
        <f>E41*F37</f>
        <v>1.32</v>
      </c>
      <c r="G41" s="76"/>
      <c r="H41" s="76"/>
      <c r="I41" s="76"/>
      <c r="J41" s="76"/>
      <c r="K41" s="76"/>
      <c r="L41" s="76"/>
      <c r="M41" s="76"/>
    </row>
    <row r="42" spans="1:13">
      <c r="A42" s="68"/>
      <c r="B42" s="69"/>
      <c r="C42" s="70"/>
      <c r="D42" s="68"/>
      <c r="E42" s="71"/>
      <c r="F42" s="71"/>
      <c r="G42" s="71"/>
      <c r="H42" s="71"/>
      <c r="I42" s="71"/>
      <c r="J42" s="71"/>
      <c r="K42" s="71"/>
      <c r="L42" s="71"/>
      <c r="M42" s="71"/>
    </row>
    <row r="43" spans="1:13">
      <c r="A43" s="68">
        <v>1.8</v>
      </c>
      <c r="B43" s="78" t="s">
        <v>423</v>
      </c>
      <c r="C43" s="70" t="s">
        <v>272</v>
      </c>
      <c r="D43" s="68" t="s">
        <v>365</v>
      </c>
      <c r="E43" s="71"/>
      <c r="F43" s="71">
        <v>13.2</v>
      </c>
      <c r="G43" s="71"/>
      <c r="H43" s="71"/>
      <c r="I43" s="71"/>
      <c r="J43" s="71"/>
      <c r="K43" s="71"/>
      <c r="L43" s="71"/>
      <c r="M43" s="71"/>
    </row>
    <row r="44" spans="1:13">
      <c r="A44" s="68"/>
      <c r="B44" s="78"/>
      <c r="C44" s="70"/>
      <c r="D44" s="68" t="s">
        <v>366</v>
      </c>
      <c r="E44" s="71"/>
      <c r="F44" s="73">
        <f>F43/100</f>
        <v>0.13200000000000001</v>
      </c>
      <c r="G44" s="71"/>
      <c r="H44" s="71"/>
      <c r="I44" s="71"/>
      <c r="J44" s="71"/>
      <c r="K44" s="71"/>
      <c r="L44" s="71"/>
      <c r="M44" s="71"/>
    </row>
    <row r="45" spans="1:13">
      <c r="A45" s="68" t="s">
        <v>65</v>
      </c>
      <c r="B45" s="78"/>
      <c r="C45" s="70" t="s">
        <v>15</v>
      </c>
      <c r="D45" s="68" t="s">
        <v>1</v>
      </c>
      <c r="E45" s="71">
        <v>137</v>
      </c>
      <c r="F45" s="71">
        <f>E45*F44</f>
        <v>18.084</v>
      </c>
      <c r="G45" s="71"/>
      <c r="H45" s="71"/>
      <c r="I45" s="71"/>
      <c r="J45" s="71"/>
      <c r="K45" s="71"/>
      <c r="L45" s="71"/>
      <c r="M45" s="71"/>
    </row>
    <row r="46" spans="1:13">
      <c r="A46" s="68" t="s">
        <v>66</v>
      </c>
      <c r="B46" s="78"/>
      <c r="C46" s="70" t="s">
        <v>13</v>
      </c>
      <c r="D46" s="68" t="s">
        <v>25</v>
      </c>
      <c r="E46" s="71">
        <v>28.3</v>
      </c>
      <c r="F46" s="71">
        <f>E46*F44</f>
        <v>3.7356000000000003</v>
      </c>
      <c r="G46" s="71"/>
      <c r="H46" s="71"/>
      <c r="I46" s="71"/>
      <c r="J46" s="71"/>
      <c r="K46" s="71"/>
      <c r="L46" s="71"/>
      <c r="M46" s="71"/>
    </row>
    <row r="47" spans="1:13">
      <c r="A47" s="68" t="s">
        <v>234</v>
      </c>
      <c r="B47" s="80" t="s">
        <v>424</v>
      </c>
      <c r="C47" s="70" t="s">
        <v>181</v>
      </c>
      <c r="D47" s="68" t="s">
        <v>365</v>
      </c>
      <c r="E47" s="76">
        <v>102</v>
      </c>
      <c r="F47" s="71">
        <f>E47*F44</f>
        <v>13.464</v>
      </c>
      <c r="G47" s="71"/>
      <c r="H47" s="71"/>
      <c r="I47" s="71"/>
      <c r="J47" s="71"/>
      <c r="K47" s="71"/>
      <c r="L47" s="71"/>
      <c r="M47" s="71"/>
    </row>
    <row r="48" spans="1:13">
      <c r="A48" s="68" t="s">
        <v>235</v>
      </c>
      <c r="B48" s="78"/>
      <c r="C48" s="70" t="s">
        <v>14</v>
      </c>
      <c r="D48" s="68" t="s">
        <v>25</v>
      </c>
      <c r="E48" s="71">
        <v>62</v>
      </c>
      <c r="F48" s="71">
        <f>E48*F44</f>
        <v>8.1840000000000011</v>
      </c>
      <c r="G48" s="71"/>
      <c r="H48" s="71"/>
      <c r="I48" s="71"/>
      <c r="J48" s="71"/>
      <c r="K48" s="71"/>
      <c r="L48" s="71"/>
      <c r="M48" s="71"/>
    </row>
    <row r="49" spans="1:13">
      <c r="A49" s="68"/>
      <c r="B49" s="78"/>
      <c r="C49" s="70"/>
      <c r="D49" s="68"/>
      <c r="E49" s="71"/>
      <c r="F49" s="71"/>
      <c r="G49" s="71"/>
      <c r="H49" s="71"/>
      <c r="I49" s="71"/>
      <c r="J49" s="71"/>
      <c r="K49" s="71"/>
      <c r="L49" s="71"/>
      <c r="M49" s="71"/>
    </row>
    <row r="50" spans="1:13">
      <c r="A50" s="68">
        <v>1.9</v>
      </c>
      <c r="B50" s="78" t="s">
        <v>425</v>
      </c>
      <c r="C50" s="70" t="s">
        <v>318</v>
      </c>
      <c r="D50" s="68" t="s">
        <v>365</v>
      </c>
      <c r="E50" s="71"/>
      <c r="F50" s="71">
        <v>49.17</v>
      </c>
      <c r="G50" s="71"/>
      <c r="H50" s="71"/>
      <c r="I50" s="71"/>
      <c r="J50" s="71"/>
      <c r="K50" s="71"/>
      <c r="L50" s="71"/>
      <c r="M50" s="71"/>
    </row>
    <row r="51" spans="1:13">
      <c r="A51" s="68"/>
      <c r="B51" s="78"/>
      <c r="C51" s="70"/>
      <c r="D51" s="68" t="s">
        <v>366</v>
      </c>
      <c r="E51" s="71"/>
      <c r="F51" s="73">
        <f>F50/100</f>
        <v>0.49170000000000003</v>
      </c>
      <c r="G51" s="71"/>
      <c r="H51" s="71"/>
      <c r="I51" s="71"/>
      <c r="J51" s="71"/>
      <c r="K51" s="71"/>
      <c r="L51" s="71"/>
      <c r="M51" s="71"/>
    </row>
    <row r="52" spans="1:13">
      <c r="A52" s="68" t="s">
        <v>67</v>
      </c>
      <c r="B52" s="78"/>
      <c r="C52" s="70" t="s">
        <v>15</v>
      </c>
      <c r="D52" s="68" t="s">
        <v>1</v>
      </c>
      <c r="E52" s="71">
        <v>187</v>
      </c>
      <c r="F52" s="71">
        <f>E52*F51</f>
        <v>91.947900000000004</v>
      </c>
      <c r="G52" s="71"/>
      <c r="H52" s="71"/>
      <c r="I52" s="71"/>
      <c r="J52" s="71"/>
      <c r="K52" s="71"/>
      <c r="L52" s="71"/>
      <c r="M52" s="71"/>
    </row>
    <row r="53" spans="1:13">
      <c r="A53" s="68" t="s">
        <v>68</v>
      </c>
      <c r="B53" s="78"/>
      <c r="C53" s="70" t="s">
        <v>13</v>
      </c>
      <c r="D53" s="68" t="s">
        <v>25</v>
      </c>
      <c r="E53" s="71">
        <v>77</v>
      </c>
      <c r="F53" s="71">
        <f>E53*F51</f>
        <v>37.860900000000001</v>
      </c>
      <c r="G53" s="71"/>
      <c r="H53" s="71"/>
      <c r="I53" s="71"/>
      <c r="J53" s="71"/>
      <c r="K53" s="71"/>
      <c r="L53" s="71"/>
      <c r="M53" s="71"/>
    </row>
    <row r="54" spans="1:13">
      <c r="A54" s="68" t="s">
        <v>237</v>
      </c>
      <c r="B54" s="80" t="s">
        <v>426</v>
      </c>
      <c r="C54" s="70" t="s">
        <v>192</v>
      </c>
      <c r="D54" s="68" t="s">
        <v>365</v>
      </c>
      <c r="E54" s="71">
        <v>101.5</v>
      </c>
      <c r="F54" s="71">
        <f>E54*F51</f>
        <v>49.907550000000001</v>
      </c>
      <c r="G54" s="76"/>
      <c r="H54" s="71"/>
      <c r="I54" s="71"/>
      <c r="J54" s="71"/>
      <c r="K54" s="71"/>
      <c r="L54" s="71"/>
      <c r="M54" s="71"/>
    </row>
    <row r="55" spans="1:13">
      <c r="A55" s="68" t="s">
        <v>238</v>
      </c>
      <c r="B55" s="80" t="s">
        <v>389</v>
      </c>
      <c r="C55" s="70" t="s">
        <v>141</v>
      </c>
      <c r="D55" s="68" t="s">
        <v>23</v>
      </c>
      <c r="E55" s="71" t="s">
        <v>100</v>
      </c>
      <c r="F55" s="73">
        <v>7.3760000000000003</v>
      </c>
      <c r="G55" s="76"/>
      <c r="H55" s="71"/>
      <c r="I55" s="71"/>
      <c r="J55" s="71"/>
      <c r="K55" s="109"/>
      <c r="L55" s="71"/>
      <c r="M55" s="71"/>
    </row>
    <row r="56" spans="1:13">
      <c r="A56" s="68" t="s">
        <v>239</v>
      </c>
      <c r="B56" s="80" t="s">
        <v>390</v>
      </c>
      <c r="C56" s="77" t="s">
        <v>391</v>
      </c>
      <c r="D56" s="68" t="s">
        <v>361</v>
      </c>
      <c r="E56" s="71">
        <v>7.54</v>
      </c>
      <c r="F56" s="71">
        <f>E56*F51</f>
        <v>3.7074180000000001</v>
      </c>
      <c r="G56" s="71"/>
      <c r="H56" s="71"/>
      <c r="I56" s="71"/>
      <c r="J56" s="71"/>
      <c r="K56" s="71"/>
      <c r="L56" s="71"/>
      <c r="M56" s="71"/>
    </row>
    <row r="57" spans="1:13">
      <c r="A57" s="68" t="s">
        <v>240</v>
      </c>
      <c r="B57" s="80" t="s">
        <v>392</v>
      </c>
      <c r="C57" s="70" t="s">
        <v>427</v>
      </c>
      <c r="D57" s="68" t="s">
        <v>365</v>
      </c>
      <c r="E57" s="71">
        <v>0.08</v>
      </c>
      <c r="F57" s="71">
        <f>E57*F51</f>
        <v>3.9336000000000003E-2</v>
      </c>
      <c r="G57" s="76"/>
      <c r="H57" s="71"/>
      <c r="I57" s="71"/>
      <c r="J57" s="71"/>
      <c r="K57" s="71"/>
      <c r="L57" s="71"/>
      <c r="M57" s="71"/>
    </row>
    <row r="58" spans="1:13">
      <c r="A58" s="68" t="s">
        <v>253</v>
      </c>
      <c r="B58" s="78"/>
      <c r="C58" s="70" t="s">
        <v>14</v>
      </c>
      <c r="D58" s="68" t="s">
        <v>25</v>
      </c>
      <c r="E58" s="71">
        <v>7</v>
      </c>
      <c r="F58" s="71">
        <f>E58*F51</f>
        <v>3.4419000000000004</v>
      </c>
      <c r="G58" s="71"/>
      <c r="H58" s="71"/>
      <c r="I58" s="71"/>
      <c r="J58" s="71"/>
      <c r="K58" s="71"/>
      <c r="L58" s="71"/>
      <c r="M58" s="71"/>
    </row>
    <row r="59" spans="1:13">
      <c r="A59" s="68"/>
      <c r="B59" s="78"/>
      <c r="C59" s="70"/>
      <c r="D59" s="68"/>
      <c r="E59" s="71"/>
      <c r="F59" s="71"/>
      <c r="G59" s="71"/>
      <c r="H59" s="71"/>
      <c r="I59" s="71"/>
      <c r="J59" s="71"/>
      <c r="K59" s="71"/>
      <c r="L59" s="71"/>
      <c r="M59" s="71"/>
    </row>
    <row r="60" spans="1:13">
      <c r="A60" s="89">
        <v>1.1000000000000001</v>
      </c>
      <c r="B60" s="80" t="s">
        <v>428</v>
      </c>
      <c r="C60" s="70" t="s">
        <v>429</v>
      </c>
      <c r="D60" s="68" t="s">
        <v>365</v>
      </c>
      <c r="E60" s="71"/>
      <c r="F60" s="71">
        <v>57.75</v>
      </c>
      <c r="G60" s="71"/>
      <c r="H60" s="71"/>
      <c r="I60" s="71"/>
      <c r="J60" s="71"/>
      <c r="K60" s="71"/>
      <c r="L60" s="71"/>
      <c r="M60" s="71"/>
    </row>
    <row r="61" spans="1:13">
      <c r="A61" s="89"/>
      <c r="B61" s="78"/>
      <c r="C61" s="70"/>
      <c r="D61" s="68" t="s">
        <v>366</v>
      </c>
      <c r="E61" s="71"/>
      <c r="F61" s="73">
        <f>F60/100</f>
        <v>0.57750000000000001</v>
      </c>
      <c r="G61" s="71"/>
      <c r="H61" s="71"/>
      <c r="I61" s="71"/>
      <c r="J61" s="71"/>
      <c r="K61" s="71"/>
      <c r="L61" s="71"/>
      <c r="M61" s="71"/>
    </row>
    <row r="62" spans="1:13">
      <c r="A62" s="68" t="s">
        <v>69</v>
      </c>
      <c r="B62" s="78"/>
      <c r="C62" s="70" t="s">
        <v>40</v>
      </c>
      <c r="D62" s="68" t="s">
        <v>1</v>
      </c>
      <c r="E62" s="76">
        <v>599</v>
      </c>
      <c r="F62" s="71">
        <f>E62*F61</f>
        <v>345.92250000000001</v>
      </c>
      <c r="G62" s="71"/>
      <c r="H62" s="71"/>
      <c r="I62" s="71"/>
      <c r="J62" s="71"/>
      <c r="K62" s="71"/>
      <c r="L62" s="71"/>
      <c r="M62" s="71"/>
    </row>
    <row r="63" spans="1:13">
      <c r="A63" s="68" t="s">
        <v>241</v>
      </c>
      <c r="B63" s="78"/>
      <c r="C63" s="77" t="s">
        <v>430</v>
      </c>
      <c r="D63" s="68" t="s">
        <v>25</v>
      </c>
      <c r="E63" s="76">
        <v>109</v>
      </c>
      <c r="F63" s="71">
        <f>E63*F61</f>
        <v>62.947499999999998</v>
      </c>
      <c r="G63" s="71"/>
      <c r="H63" s="71"/>
      <c r="I63" s="71"/>
      <c r="J63" s="71"/>
      <c r="K63" s="71"/>
      <c r="L63" s="71"/>
      <c r="M63" s="71"/>
    </row>
    <row r="64" spans="1:13">
      <c r="A64" s="68" t="s">
        <v>242</v>
      </c>
      <c r="B64" s="80" t="s">
        <v>426</v>
      </c>
      <c r="C64" s="70" t="s">
        <v>192</v>
      </c>
      <c r="D64" s="68" t="s">
        <v>365</v>
      </c>
      <c r="E64" s="76">
        <v>101.5</v>
      </c>
      <c r="F64" s="71">
        <f>E64*F61</f>
        <v>58.616250000000001</v>
      </c>
      <c r="G64" s="76"/>
      <c r="H64" s="71"/>
      <c r="I64" s="71"/>
      <c r="J64" s="71"/>
      <c r="K64" s="71"/>
      <c r="L64" s="71"/>
      <c r="M64" s="71"/>
    </row>
    <row r="65" spans="1:13">
      <c r="A65" s="68" t="s">
        <v>291</v>
      </c>
      <c r="B65" s="80" t="s">
        <v>389</v>
      </c>
      <c r="C65" s="70" t="s">
        <v>141</v>
      </c>
      <c r="D65" s="68" t="s">
        <v>23</v>
      </c>
      <c r="E65" s="109" t="s">
        <v>100</v>
      </c>
      <c r="F65" s="109">
        <v>8.6630000000000003</v>
      </c>
      <c r="G65" s="76"/>
      <c r="H65" s="71"/>
      <c r="I65" s="71"/>
      <c r="J65" s="71"/>
      <c r="K65" s="109"/>
      <c r="L65" s="71"/>
      <c r="M65" s="71"/>
    </row>
    <row r="66" spans="1:13">
      <c r="A66" s="68" t="s">
        <v>319</v>
      </c>
      <c r="B66" s="80" t="s">
        <v>390</v>
      </c>
      <c r="C66" s="77" t="s">
        <v>391</v>
      </c>
      <c r="D66" s="91" t="s">
        <v>361</v>
      </c>
      <c r="E66" s="76">
        <v>118</v>
      </c>
      <c r="F66" s="76">
        <f>E66*F61</f>
        <v>68.144999999999996</v>
      </c>
      <c r="G66" s="76"/>
      <c r="H66" s="76"/>
      <c r="I66" s="76"/>
      <c r="J66" s="76"/>
      <c r="K66" s="76"/>
      <c r="L66" s="76"/>
      <c r="M66" s="76"/>
    </row>
    <row r="67" spans="1:13">
      <c r="A67" s="68" t="s">
        <v>320</v>
      </c>
      <c r="B67" s="80" t="s">
        <v>392</v>
      </c>
      <c r="C67" s="70" t="s">
        <v>427</v>
      </c>
      <c r="D67" s="68" t="s">
        <v>365</v>
      </c>
      <c r="E67" s="76">
        <f>0.21+2.78</f>
        <v>2.9899999999999998</v>
      </c>
      <c r="F67" s="71">
        <f>E67*F61</f>
        <v>1.7267249999999998</v>
      </c>
      <c r="G67" s="76"/>
      <c r="H67" s="71"/>
      <c r="I67" s="71"/>
      <c r="J67" s="71"/>
      <c r="K67" s="71"/>
      <c r="L67" s="71"/>
      <c r="M67" s="71"/>
    </row>
    <row r="68" spans="1:13">
      <c r="A68" s="68" t="s">
        <v>431</v>
      </c>
      <c r="B68" s="80" t="s">
        <v>394</v>
      </c>
      <c r="C68" s="77" t="s">
        <v>395</v>
      </c>
      <c r="D68" s="91" t="s">
        <v>396</v>
      </c>
      <c r="E68" s="76">
        <v>110</v>
      </c>
      <c r="F68" s="76">
        <f>E68*F61</f>
        <v>63.524999999999999</v>
      </c>
      <c r="G68" s="76"/>
      <c r="H68" s="76"/>
      <c r="I68" s="76"/>
      <c r="J68" s="76"/>
      <c r="K68" s="76"/>
      <c r="L68" s="76"/>
      <c r="M68" s="76"/>
    </row>
    <row r="69" spans="1:13">
      <c r="A69" s="68" t="s">
        <v>432</v>
      </c>
      <c r="B69" s="80" t="s">
        <v>433</v>
      </c>
      <c r="C69" s="77" t="s">
        <v>434</v>
      </c>
      <c r="D69" s="91" t="s">
        <v>396</v>
      </c>
      <c r="E69" s="76">
        <v>140</v>
      </c>
      <c r="F69" s="76">
        <f>E69*F61</f>
        <v>80.850000000000009</v>
      </c>
      <c r="G69" s="76"/>
      <c r="H69" s="76"/>
      <c r="I69" s="76"/>
      <c r="J69" s="76"/>
      <c r="K69" s="76"/>
      <c r="L69" s="76"/>
      <c r="M69" s="76"/>
    </row>
    <row r="70" spans="1:13">
      <c r="A70" s="68" t="s">
        <v>435</v>
      </c>
      <c r="B70" s="78"/>
      <c r="C70" s="70" t="s">
        <v>111</v>
      </c>
      <c r="D70" s="68" t="s">
        <v>25</v>
      </c>
      <c r="E70" s="76">
        <v>32</v>
      </c>
      <c r="F70" s="71">
        <f>E70*F61</f>
        <v>18.48</v>
      </c>
      <c r="G70" s="71"/>
      <c r="H70" s="71"/>
      <c r="I70" s="71"/>
      <c r="J70" s="71"/>
      <c r="K70" s="71"/>
      <c r="L70" s="71"/>
      <c r="M70" s="71"/>
    </row>
    <row r="71" spans="1:13">
      <c r="A71" s="68"/>
      <c r="B71" s="78"/>
      <c r="C71" s="70"/>
      <c r="D71" s="68"/>
      <c r="E71" s="71"/>
      <c r="F71" s="71"/>
      <c r="G71" s="71"/>
      <c r="H71" s="71"/>
      <c r="I71" s="71"/>
      <c r="J71" s="71"/>
      <c r="K71" s="71"/>
      <c r="L71" s="71"/>
      <c r="M71" s="71"/>
    </row>
    <row r="72" spans="1:13">
      <c r="A72" s="89">
        <v>1.1100000000000001</v>
      </c>
      <c r="B72" s="74" t="s">
        <v>436</v>
      </c>
      <c r="C72" s="70" t="s">
        <v>292</v>
      </c>
      <c r="D72" s="68" t="s">
        <v>361</v>
      </c>
      <c r="E72" s="71"/>
      <c r="F72" s="71">
        <v>231</v>
      </c>
      <c r="G72" s="71"/>
      <c r="H72" s="71"/>
      <c r="I72" s="71"/>
      <c r="J72" s="71"/>
      <c r="K72" s="71"/>
      <c r="L72" s="71"/>
      <c r="M72" s="71"/>
    </row>
    <row r="73" spans="1:13">
      <c r="A73" s="89"/>
      <c r="B73" s="53"/>
      <c r="C73" s="70"/>
      <c r="D73" s="68" t="s">
        <v>437</v>
      </c>
      <c r="E73" s="71"/>
      <c r="F73" s="73">
        <f>F72/100</f>
        <v>2.31</v>
      </c>
      <c r="G73" s="71"/>
      <c r="H73" s="71"/>
      <c r="I73" s="71"/>
      <c r="J73" s="71"/>
      <c r="K73" s="71"/>
      <c r="L73" s="71"/>
      <c r="M73" s="71"/>
    </row>
    <row r="74" spans="1:13">
      <c r="A74" s="68" t="s">
        <v>71</v>
      </c>
      <c r="B74" s="69"/>
      <c r="C74" s="70" t="s">
        <v>15</v>
      </c>
      <c r="D74" s="68" t="s">
        <v>1</v>
      </c>
      <c r="E74" s="76">
        <v>33.6</v>
      </c>
      <c r="F74" s="71">
        <f>E74*F73</f>
        <v>77.616</v>
      </c>
      <c r="G74" s="71"/>
      <c r="H74" s="71"/>
      <c r="I74" s="76"/>
      <c r="J74" s="71"/>
      <c r="K74" s="71"/>
      <c r="L74" s="71"/>
      <c r="M74" s="71"/>
    </row>
    <row r="75" spans="1:13">
      <c r="A75" s="68" t="s">
        <v>223</v>
      </c>
      <c r="B75" s="69"/>
      <c r="C75" s="70" t="s">
        <v>13</v>
      </c>
      <c r="D75" s="68" t="s">
        <v>25</v>
      </c>
      <c r="E75" s="76">
        <v>1.5</v>
      </c>
      <c r="F75" s="71">
        <f>E75*F73</f>
        <v>3.4649999999999999</v>
      </c>
      <c r="G75" s="71"/>
      <c r="H75" s="71"/>
      <c r="I75" s="71"/>
      <c r="J75" s="71"/>
      <c r="K75" s="71"/>
      <c r="L75" s="71"/>
      <c r="M75" s="71"/>
    </row>
    <row r="76" spans="1:13">
      <c r="A76" s="68" t="s">
        <v>299</v>
      </c>
      <c r="B76" s="74" t="s">
        <v>438</v>
      </c>
      <c r="C76" s="77" t="s">
        <v>439</v>
      </c>
      <c r="D76" s="68" t="s">
        <v>23</v>
      </c>
      <c r="E76" s="76">
        <v>0.24</v>
      </c>
      <c r="F76" s="71">
        <f>E76*F73</f>
        <v>0.5544</v>
      </c>
      <c r="G76" s="76"/>
      <c r="H76" s="71"/>
      <c r="I76" s="71"/>
      <c r="J76" s="71"/>
      <c r="K76" s="71"/>
      <c r="L76" s="71"/>
      <c r="M76" s="71"/>
    </row>
    <row r="77" spans="1:13">
      <c r="A77" s="68" t="s">
        <v>321</v>
      </c>
      <c r="B77" s="69"/>
      <c r="C77" s="70" t="s">
        <v>111</v>
      </c>
      <c r="D77" s="68" t="s">
        <v>25</v>
      </c>
      <c r="E77" s="76">
        <v>2.2799999999999998</v>
      </c>
      <c r="F77" s="71">
        <f>E77*F73</f>
        <v>5.2667999999999999</v>
      </c>
      <c r="G77" s="71"/>
      <c r="H77" s="71"/>
      <c r="I77" s="71"/>
      <c r="J77" s="71"/>
      <c r="K77" s="71"/>
      <c r="L77" s="71"/>
      <c r="M77" s="71"/>
    </row>
    <row r="78" spans="1:13">
      <c r="A78" s="68"/>
      <c r="B78" s="69"/>
      <c r="C78" s="70"/>
      <c r="D78" s="68"/>
      <c r="E78" s="71"/>
      <c r="F78" s="71"/>
      <c r="G78" s="71"/>
      <c r="H78" s="71"/>
      <c r="I78" s="71"/>
      <c r="J78" s="71"/>
      <c r="K78" s="71"/>
      <c r="L78" s="71"/>
      <c r="M78" s="71"/>
    </row>
    <row r="79" spans="1:13">
      <c r="A79" s="89">
        <v>1.1200000000000001</v>
      </c>
      <c r="B79" s="74" t="s">
        <v>440</v>
      </c>
      <c r="C79" s="70" t="s">
        <v>294</v>
      </c>
      <c r="D79" s="68" t="s">
        <v>361</v>
      </c>
      <c r="E79" s="71"/>
      <c r="F79" s="71">
        <v>462</v>
      </c>
      <c r="G79" s="71"/>
      <c r="H79" s="71"/>
      <c r="I79" s="71"/>
      <c r="J79" s="71"/>
      <c r="K79" s="71"/>
      <c r="L79" s="71"/>
      <c r="M79" s="71"/>
    </row>
    <row r="80" spans="1:13">
      <c r="A80" s="89"/>
      <c r="B80" s="74" t="s">
        <v>441</v>
      </c>
      <c r="C80" s="70"/>
      <c r="D80" s="68" t="s">
        <v>437</v>
      </c>
      <c r="E80" s="71"/>
      <c r="F80" s="73">
        <f>F79/100</f>
        <v>4.62</v>
      </c>
      <c r="G80" s="71"/>
      <c r="H80" s="71"/>
      <c r="I80" s="71"/>
      <c r="J80" s="71"/>
      <c r="K80" s="71"/>
      <c r="L80" s="71"/>
      <c r="M80" s="71"/>
    </row>
    <row r="81" spans="1:13">
      <c r="A81" s="68" t="s">
        <v>243</v>
      </c>
      <c r="B81" s="69"/>
      <c r="C81" s="70" t="s">
        <v>15</v>
      </c>
      <c r="D81" s="68" t="s">
        <v>1</v>
      </c>
      <c r="E81" s="76">
        <f>95.94-14.36</f>
        <v>81.58</v>
      </c>
      <c r="F81" s="71">
        <f>E81*F80</f>
        <v>376.89960000000002</v>
      </c>
      <c r="G81" s="71"/>
      <c r="H81" s="71"/>
      <c r="I81" s="71"/>
      <c r="J81" s="71"/>
      <c r="K81" s="71"/>
      <c r="L81" s="71"/>
      <c r="M81" s="71"/>
    </row>
    <row r="82" spans="1:13">
      <c r="A82" s="68" t="s">
        <v>297</v>
      </c>
      <c r="B82" s="74" t="s">
        <v>442</v>
      </c>
      <c r="C82" s="70" t="s">
        <v>293</v>
      </c>
      <c r="D82" s="68" t="s">
        <v>361</v>
      </c>
      <c r="E82" s="76">
        <v>206</v>
      </c>
      <c r="F82" s="71">
        <f>E82*F80</f>
        <v>951.72</v>
      </c>
      <c r="G82" s="71"/>
      <c r="H82" s="71"/>
      <c r="I82" s="71"/>
      <c r="J82" s="71"/>
      <c r="K82" s="71"/>
      <c r="L82" s="71"/>
      <c r="M82" s="71"/>
    </row>
    <row r="83" spans="1:13">
      <c r="A83" s="68"/>
      <c r="B83" s="69"/>
      <c r="C83" s="70"/>
      <c r="D83" s="68"/>
      <c r="E83" s="71"/>
      <c r="F83" s="71"/>
      <c r="G83" s="71"/>
      <c r="H83" s="71"/>
      <c r="I83" s="71"/>
      <c r="J83" s="71"/>
      <c r="K83" s="71"/>
      <c r="L83" s="71"/>
      <c r="M83" s="71"/>
    </row>
    <row r="84" spans="1:13">
      <c r="A84" s="68">
        <v>1.1299999999999999</v>
      </c>
      <c r="B84" s="74" t="s">
        <v>443</v>
      </c>
      <c r="C84" s="70" t="s">
        <v>295</v>
      </c>
      <c r="D84" s="68" t="s">
        <v>361</v>
      </c>
      <c r="E84" s="71"/>
      <c r="F84" s="71">
        <v>165</v>
      </c>
      <c r="G84" s="71"/>
      <c r="H84" s="71"/>
      <c r="I84" s="71"/>
      <c r="J84" s="71"/>
      <c r="K84" s="71"/>
      <c r="L84" s="71"/>
      <c r="M84" s="71"/>
    </row>
    <row r="85" spans="1:13" s="54" customFormat="1">
      <c r="A85" s="68"/>
      <c r="B85" s="53"/>
      <c r="C85" s="70"/>
      <c r="D85" s="68" t="s">
        <v>437</v>
      </c>
      <c r="E85" s="71"/>
      <c r="F85" s="73">
        <f>F84/100</f>
        <v>1.65</v>
      </c>
      <c r="G85" s="71"/>
      <c r="H85" s="71"/>
      <c r="I85" s="71"/>
      <c r="J85" s="71"/>
      <c r="K85" s="71"/>
      <c r="L85" s="71"/>
      <c r="M85" s="71"/>
    </row>
    <row r="86" spans="1:13" s="54" customFormat="1">
      <c r="A86" s="68" t="s">
        <v>72</v>
      </c>
      <c r="B86" s="69"/>
      <c r="C86" s="70" t="s">
        <v>15</v>
      </c>
      <c r="D86" s="68" t="s">
        <v>1</v>
      </c>
      <c r="E86" s="76">
        <v>7</v>
      </c>
      <c r="F86" s="71">
        <f>E86*F85</f>
        <v>11.549999999999999</v>
      </c>
      <c r="G86" s="71"/>
      <c r="H86" s="71"/>
      <c r="I86" s="71"/>
      <c r="J86" s="71"/>
      <c r="K86" s="71"/>
      <c r="L86" s="71"/>
      <c r="M86" s="71"/>
    </row>
    <row r="87" spans="1:13" s="54" customFormat="1">
      <c r="A87" s="68" t="s">
        <v>322</v>
      </c>
      <c r="B87" s="74" t="s">
        <v>444</v>
      </c>
      <c r="C87" s="70" t="s">
        <v>296</v>
      </c>
      <c r="D87" s="68" t="s">
        <v>361</v>
      </c>
      <c r="E87" s="76">
        <v>115</v>
      </c>
      <c r="F87" s="71">
        <f>E87*F85</f>
        <v>189.75</v>
      </c>
      <c r="G87" s="76"/>
      <c r="H87" s="71"/>
      <c r="I87" s="71"/>
      <c r="J87" s="71"/>
      <c r="K87" s="71"/>
      <c r="L87" s="71"/>
      <c r="M87" s="71"/>
    </row>
    <row r="88" spans="1:13">
      <c r="A88" s="68" t="s">
        <v>445</v>
      </c>
      <c r="B88" s="74" t="s">
        <v>446</v>
      </c>
      <c r="C88" s="93" t="s">
        <v>447</v>
      </c>
      <c r="D88" s="91" t="s">
        <v>99</v>
      </c>
      <c r="E88" s="76">
        <v>400</v>
      </c>
      <c r="F88" s="76">
        <f>E88*F85</f>
        <v>660</v>
      </c>
      <c r="G88" s="76"/>
      <c r="H88" s="76"/>
      <c r="I88" s="76"/>
      <c r="J88" s="76"/>
      <c r="K88" s="76"/>
      <c r="L88" s="76"/>
      <c r="M88" s="76"/>
    </row>
    <row r="89" spans="1:13">
      <c r="A89" s="47"/>
      <c r="B89" s="53"/>
      <c r="C89" s="49"/>
      <c r="D89" s="47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>
      <c r="A90" s="89">
        <v>1.1399999999999999</v>
      </c>
      <c r="B90" s="69" t="s">
        <v>448</v>
      </c>
      <c r="C90" s="70" t="s">
        <v>300</v>
      </c>
      <c r="D90" s="68" t="s">
        <v>365</v>
      </c>
      <c r="E90" s="71"/>
      <c r="F90" s="71">
        <v>99</v>
      </c>
      <c r="G90" s="71"/>
      <c r="H90" s="71"/>
      <c r="I90" s="71"/>
      <c r="J90" s="71"/>
      <c r="K90" s="71"/>
      <c r="L90" s="71"/>
      <c r="M90" s="71"/>
    </row>
    <row r="91" spans="1:13">
      <c r="A91" s="89"/>
      <c r="B91" s="69"/>
      <c r="C91" s="70"/>
      <c r="D91" s="68" t="s">
        <v>449</v>
      </c>
      <c r="E91" s="71"/>
      <c r="F91" s="71">
        <f>F90/10</f>
        <v>9.9</v>
      </c>
      <c r="G91" s="71"/>
      <c r="H91" s="71"/>
      <c r="I91" s="71"/>
      <c r="J91" s="71"/>
      <c r="K91" s="71"/>
      <c r="L91" s="71"/>
      <c r="M91" s="71"/>
    </row>
    <row r="92" spans="1:13">
      <c r="A92" s="68" t="s">
        <v>224</v>
      </c>
      <c r="B92" s="69"/>
      <c r="C92" s="70" t="s">
        <v>15</v>
      </c>
      <c r="D92" s="68" t="s">
        <v>1</v>
      </c>
      <c r="E92" s="71">
        <v>17.8</v>
      </c>
      <c r="F92" s="71">
        <f>E92*F91</f>
        <v>176.22000000000003</v>
      </c>
      <c r="G92" s="71"/>
      <c r="H92" s="71"/>
      <c r="I92" s="71"/>
      <c r="J92" s="71"/>
      <c r="K92" s="71"/>
      <c r="L92" s="71"/>
      <c r="M92" s="71"/>
    </row>
    <row r="93" spans="1:13">
      <c r="A93" s="68" t="s">
        <v>248</v>
      </c>
      <c r="B93" s="74" t="s">
        <v>413</v>
      </c>
      <c r="C93" s="93" t="s">
        <v>414</v>
      </c>
      <c r="D93" s="68" t="s">
        <v>365</v>
      </c>
      <c r="E93" s="71">
        <v>11</v>
      </c>
      <c r="F93" s="71">
        <f>E93*F91</f>
        <v>108.9</v>
      </c>
      <c r="G93" s="76"/>
      <c r="H93" s="71"/>
      <c r="I93" s="71"/>
      <c r="J93" s="71"/>
      <c r="K93" s="71"/>
      <c r="L93" s="71"/>
      <c r="M93" s="71"/>
    </row>
    <row r="94" spans="1:13">
      <c r="A94" s="68"/>
      <c r="B94" s="69"/>
      <c r="C94" s="70"/>
      <c r="D94" s="68"/>
      <c r="E94" s="71"/>
      <c r="F94" s="71"/>
      <c r="G94" s="71"/>
      <c r="H94" s="71"/>
      <c r="I94" s="71"/>
      <c r="J94" s="71"/>
      <c r="K94" s="71"/>
      <c r="L94" s="71"/>
      <c r="M94" s="71"/>
    </row>
    <row r="95" spans="1:13">
      <c r="A95" s="68">
        <v>1.1499999999999999</v>
      </c>
      <c r="B95" s="80" t="s">
        <v>450</v>
      </c>
      <c r="C95" s="70" t="s">
        <v>451</v>
      </c>
      <c r="D95" s="68" t="s">
        <v>107</v>
      </c>
      <c r="E95" s="71"/>
      <c r="F95" s="71">
        <v>9</v>
      </c>
      <c r="G95" s="71"/>
      <c r="H95" s="71"/>
      <c r="I95" s="71"/>
      <c r="J95" s="71"/>
      <c r="K95" s="71"/>
      <c r="L95" s="71"/>
      <c r="M95" s="71"/>
    </row>
    <row r="96" spans="1:13">
      <c r="A96" s="68"/>
      <c r="B96" s="62"/>
      <c r="C96" s="70"/>
      <c r="D96" s="68" t="s">
        <v>103</v>
      </c>
      <c r="E96" s="71"/>
      <c r="F96" s="73">
        <f>F95/100</f>
        <v>0.09</v>
      </c>
      <c r="G96" s="71"/>
      <c r="H96" s="71"/>
      <c r="I96" s="71"/>
      <c r="J96" s="71"/>
      <c r="K96" s="71"/>
      <c r="L96" s="71"/>
      <c r="M96" s="71"/>
    </row>
    <row r="97" spans="1:13">
      <c r="A97" s="68" t="s">
        <v>77</v>
      </c>
      <c r="B97" s="78"/>
      <c r="C97" s="70" t="s">
        <v>40</v>
      </c>
      <c r="D97" s="68" t="s">
        <v>1</v>
      </c>
      <c r="E97" s="76">
        <v>33.1</v>
      </c>
      <c r="F97" s="71">
        <f>E97*F96</f>
        <v>2.9790000000000001</v>
      </c>
      <c r="G97" s="71"/>
      <c r="H97" s="71"/>
      <c r="I97" s="71"/>
      <c r="J97" s="71"/>
      <c r="K97" s="71"/>
      <c r="L97" s="71"/>
      <c r="M97" s="71"/>
    </row>
    <row r="98" spans="1:13">
      <c r="A98" s="68" t="s">
        <v>78</v>
      </c>
      <c r="B98" s="78"/>
      <c r="C98" s="70" t="s">
        <v>13</v>
      </c>
      <c r="D98" s="68" t="s">
        <v>25</v>
      </c>
      <c r="E98" s="76">
        <v>0.47</v>
      </c>
      <c r="F98" s="71">
        <f>E98*F96</f>
        <v>4.2299999999999997E-2</v>
      </c>
      <c r="G98" s="71"/>
      <c r="H98" s="71"/>
      <c r="I98" s="71"/>
      <c r="J98" s="71"/>
      <c r="K98" s="71"/>
      <c r="L98" s="71"/>
      <c r="M98" s="71"/>
    </row>
    <row r="99" spans="1:13">
      <c r="A99" s="68" t="s">
        <v>79</v>
      </c>
      <c r="B99" s="80" t="s">
        <v>452</v>
      </c>
      <c r="C99" s="111" t="s">
        <v>453</v>
      </c>
      <c r="D99" s="68" t="s">
        <v>107</v>
      </c>
      <c r="E99" s="76" t="s">
        <v>454</v>
      </c>
      <c r="F99" s="71">
        <f>F95</f>
        <v>9</v>
      </c>
      <c r="G99" s="76"/>
      <c r="H99" s="71"/>
      <c r="I99" s="71"/>
      <c r="J99" s="71"/>
      <c r="K99" s="71"/>
      <c r="L99" s="71"/>
      <c r="M99" s="71"/>
    </row>
    <row r="100" spans="1:13">
      <c r="A100" s="68" t="s">
        <v>80</v>
      </c>
      <c r="B100" s="78"/>
      <c r="C100" s="70" t="s">
        <v>111</v>
      </c>
      <c r="D100" s="68" t="s">
        <v>25</v>
      </c>
      <c r="E100" s="76">
        <v>10.9</v>
      </c>
      <c r="F100" s="71">
        <f>E100*F96</f>
        <v>0.98099999999999998</v>
      </c>
      <c r="G100" s="71"/>
      <c r="H100" s="71"/>
      <c r="I100" s="71"/>
      <c r="J100" s="71"/>
      <c r="K100" s="71"/>
      <c r="L100" s="71"/>
      <c r="M100" s="71"/>
    </row>
    <row r="101" spans="1:13">
      <c r="A101" s="68"/>
      <c r="B101" s="78"/>
      <c r="C101" s="70"/>
      <c r="D101" s="68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1:13">
      <c r="A102" s="89">
        <v>1.1599999999999999</v>
      </c>
      <c r="B102" s="69" t="s">
        <v>199</v>
      </c>
      <c r="C102" s="70" t="s">
        <v>273</v>
      </c>
      <c r="D102" s="68" t="s">
        <v>365</v>
      </c>
      <c r="E102" s="71"/>
      <c r="F102" s="71">
        <v>627</v>
      </c>
      <c r="G102" s="71"/>
      <c r="H102" s="71"/>
      <c r="I102" s="71"/>
      <c r="J102" s="71"/>
      <c r="K102" s="71"/>
      <c r="L102" s="71"/>
      <c r="M102" s="71"/>
    </row>
    <row r="103" spans="1:13">
      <c r="A103" s="89"/>
      <c r="B103" s="69"/>
      <c r="C103" s="70"/>
      <c r="D103" s="68" t="s">
        <v>410</v>
      </c>
      <c r="E103" s="71"/>
      <c r="F103" s="73">
        <f>F102/1000</f>
        <v>0.627</v>
      </c>
      <c r="G103" s="71"/>
      <c r="H103" s="71"/>
      <c r="I103" s="71"/>
      <c r="J103" s="71"/>
      <c r="K103" s="71"/>
      <c r="L103" s="71"/>
      <c r="M103" s="71"/>
    </row>
    <row r="104" spans="1:13">
      <c r="A104" s="68" t="s">
        <v>81</v>
      </c>
      <c r="B104" s="69"/>
      <c r="C104" s="70" t="s">
        <v>15</v>
      </c>
      <c r="D104" s="68" t="s">
        <v>1</v>
      </c>
      <c r="E104" s="71">
        <v>15.5</v>
      </c>
      <c r="F104" s="71">
        <f>E104*F103</f>
        <v>9.7185000000000006</v>
      </c>
      <c r="G104" s="71"/>
      <c r="H104" s="71"/>
      <c r="I104" s="71"/>
      <c r="J104" s="71"/>
      <c r="K104" s="71"/>
      <c r="L104" s="71"/>
      <c r="M104" s="71"/>
    </row>
    <row r="105" spans="1:13">
      <c r="A105" s="68" t="s">
        <v>202</v>
      </c>
      <c r="B105" s="74" t="s">
        <v>411</v>
      </c>
      <c r="C105" s="75" t="s">
        <v>412</v>
      </c>
      <c r="D105" s="68" t="s">
        <v>24</v>
      </c>
      <c r="E105" s="71">
        <v>34.700000000000003</v>
      </c>
      <c r="F105" s="71">
        <f>E105*F103</f>
        <v>21.756900000000002</v>
      </c>
      <c r="G105" s="71"/>
      <c r="H105" s="71"/>
      <c r="I105" s="71"/>
      <c r="J105" s="71"/>
      <c r="K105" s="71"/>
      <c r="L105" s="71"/>
      <c r="M105" s="71"/>
    </row>
    <row r="106" spans="1:13">
      <c r="A106" s="68" t="s">
        <v>203</v>
      </c>
      <c r="B106" s="69"/>
      <c r="C106" s="70" t="s">
        <v>13</v>
      </c>
      <c r="D106" s="68" t="s">
        <v>25</v>
      </c>
      <c r="E106" s="71">
        <v>2.1</v>
      </c>
      <c r="F106" s="71">
        <f>E106*F103</f>
        <v>1.3167</v>
      </c>
      <c r="G106" s="71"/>
      <c r="H106" s="71"/>
      <c r="I106" s="71"/>
      <c r="J106" s="71"/>
      <c r="K106" s="71"/>
      <c r="L106" s="71"/>
      <c r="M106" s="71"/>
    </row>
    <row r="107" spans="1:13">
      <c r="A107" s="68" t="s">
        <v>324</v>
      </c>
      <c r="B107" s="74" t="s">
        <v>413</v>
      </c>
      <c r="C107" s="93" t="s">
        <v>414</v>
      </c>
      <c r="D107" s="68" t="s">
        <v>365</v>
      </c>
      <c r="E107" s="71">
        <v>0.04</v>
      </c>
      <c r="F107" s="71">
        <f>E107*F103</f>
        <v>2.5080000000000002E-2</v>
      </c>
      <c r="G107" s="76"/>
      <c r="H107" s="71"/>
      <c r="I107" s="71"/>
      <c r="J107" s="71"/>
      <c r="K107" s="71"/>
      <c r="L107" s="71"/>
      <c r="M107" s="71"/>
    </row>
    <row r="108" spans="1:13">
      <c r="A108" s="68"/>
      <c r="B108" s="69"/>
      <c r="C108" s="70"/>
      <c r="D108" s="68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>
      <c r="A109" s="68">
        <v>1.17</v>
      </c>
      <c r="B109" s="69" t="s">
        <v>301</v>
      </c>
      <c r="C109" s="70" t="s">
        <v>303</v>
      </c>
      <c r="D109" s="68" t="s">
        <v>365</v>
      </c>
      <c r="E109" s="71"/>
      <c r="F109" s="71">
        <f>F102</f>
        <v>627</v>
      </c>
      <c r="G109" s="71"/>
      <c r="H109" s="71"/>
      <c r="I109" s="71"/>
      <c r="J109" s="71"/>
      <c r="K109" s="71"/>
      <c r="L109" s="71"/>
      <c r="M109" s="71"/>
    </row>
    <row r="110" spans="1:13">
      <c r="A110" s="68"/>
      <c r="B110" s="69"/>
      <c r="C110" s="70"/>
      <c r="D110" s="68" t="s">
        <v>366</v>
      </c>
      <c r="E110" s="71"/>
      <c r="F110" s="73">
        <f>F109/100</f>
        <v>6.27</v>
      </c>
      <c r="G110" s="71"/>
      <c r="H110" s="71"/>
      <c r="I110" s="71"/>
      <c r="J110" s="71"/>
      <c r="K110" s="71"/>
      <c r="L110" s="71"/>
      <c r="M110" s="71"/>
    </row>
    <row r="111" spans="1:13">
      <c r="A111" s="68" t="s">
        <v>204</v>
      </c>
      <c r="B111" s="69"/>
      <c r="C111" s="70" t="s">
        <v>15</v>
      </c>
      <c r="D111" s="68" t="s">
        <v>1</v>
      </c>
      <c r="E111" s="71">
        <v>13.4</v>
      </c>
      <c r="F111" s="71">
        <f>E111*F110</f>
        <v>84.018000000000001</v>
      </c>
      <c r="G111" s="71"/>
      <c r="H111" s="71"/>
      <c r="I111" s="71"/>
      <c r="J111" s="71"/>
      <c r="K111" s="71"/>
      <c r="L111" s="71"/>
      <c r="M111" s="71"/>
    </row>
    <row r="112" spans="1:13">
      <c r="A112" s="68" t="s">
        <v>325</v>
      </c>
      <c r="B112" s="74" t="s">
        <v>455</v>
      </c>
      <c r="C112" s="70" t="s">
        <v>302</v>
      </c>
      <c r="D112" s="68" t="s">
        <v>24</v>
      </c>
      <c r="E112" s="71">
        <v>13</v>
      </c>
      <c r="F112" s="71">
        <f>E112*F110</f>
        <v>81.509999999999991</v>
      </c>
      <c r="G112" s="71"/>
      <c r="H112" s="71"/>
      <c r="I112" s="71"/>
      <c r="J112" s="71"/>
      <c r="K112" s="71"/>
      <c r="L112" s="71"/>
      <c r="M112" s="71"/>
    </row>
    <row r="113" spans="1:13">
      <c r="A113" s="68" t="s">
        <v>326</v>
      </c>
      <c r="B113" s="74" t="s">
        <v>456</v>
      </c>
      <c r="C113" s="70" t="s">
        <v>457</v>
      </c>
      <c r="D113" s="68" t="s">
        <v>24</v>
      </c>
      <c r="E113" s="71">
        <f>E112/4</f>
        <v>3.25</v>
      </c>
      <c r="F113" s="71">
        <f>E113*F110</f>
        <v>20.377499999999998</v>
      </c>
      <c r="G113" s="71"/>
      <c r="H113" s="71"/>
      <c r="I113" s="71"/>
      <c r="J113" s="71"/>
      <c r="K113" s="76"/>
      <c r="L113" s="71"/>
      <c r="M113" s="71"/>
    </row>
    <row r="114" spans="1:13">
      <c r="A114" s="68"/>
      <c r="B114" s="69"/>
      <c r="C114" s="70"/>
      <c r="D114" s="68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1:13">
      <c r="A115" s="68">
        <v>1.18</v>
      </c>
      <c r="B115" s="69" t="s">
        <v>102</v>
      </c>
      <c r="C115" s="112" t="s">
        <v>305</v>
      </c>
      <c r="D115" s="68" t="s">
        <v>361</v>
      </c>
      <c r="E115" s="113"/>
      <c r="F115" s="113">
        <v>18.2</v>
      </c>
      <c r="G115" s="114"/>
      <c r="H115" s="81"/>
      <c r="I115" s="114"/>
      <c r="J115" s="81"/>
      <c r="K115" s="114"/>
      <c r="L115" s="81"/>
      <c r="M115" s="71"/>
    </row>
    <row r="116" spans="1:13">
      <c r="A116" s="68" t="s">
        <v>327</v>
      </c>
      <c r="B116" s="69"/>
      <c r="C116" s="112" t="s">
        <v>101</v>
      </c>
      <c r="D116" s="68" t="s">
        <v>1</v>
      </c>
      <c r="E116" s="81">
        <v>2</v>
      </c>
      <c r="F116" s="113">
        <f>F115*E116</f>
        <v>36.4</v>
      </c>
      <c r="G116" s="114"/>
      <c r="H116" s="81"/>
      <c r="I116" s="81"/>
      <c r="J116" s="81"/>
      <c r="K116" s="114"/>
      <c r="L116" s="81"/>
      <c r="M116" s="71"/>
    </row>
    <row r="117" spans="1:13">
      <c r="A117" s="68" t="s">
        <v>328</v>
      </c>
      <c r="B117" s="74" t="s">
        <v>458</v>
      </c>
      <c r="C117" s="112" t="s">
        <v>304</v>
      </c>
      <c r="D117" s="68" t="s">
        <v>361</v>
      </c>
      <c r="E117" s="81">
        <v>1.1000000000000001</v>
      </c>
      <c r="F117" s="113">
        <f>F115*E117</f>
        <v>20.02</v>
      </c>
      <c r="G117" s="79"/>
      <c r="H117" s="81"/>
      <c r="I117" s="114"/>
      <c r="J117" s="81"/>
      <c r="K117" s="71"/>
      <c r="L117" s="81"/>
      <c r="M117" s="71"/>
    </row>
    <row r="118" spans="1:13">
      <c r="A118" s="68"/>
      <c r="B118" s="69"/>
      <c r="C118" s="112"/>
      <c r="D118" s="68"/>
      <c r="E118" s="81"/>
      <c r="F118" s="113"/>
      <c r="G118" s="81"/>
      <c r="H118" s="81"/>
      <c r="I118" s="114"/>
      <c r="J118" s="81"/>
      <c r="K118" s="71"/>
      <c r="L118" s="81"/>
      <c r="M118" s="71"/>
    </row>
    <row r="119" spans="1:13">
      <c r="A119" s="68">
        <v>1.19</v>
      </c>
      <c r="B119" s="74" t="s">
        <v>459</v>
      </c>
      <c r="C119" s="112" t="s">
        <v>330</v>
      </c>
      <c r="D119" s="68" t="s">
        <v>361</v>
      </c>
      <c r="E119" s="113"/>
      <c r="F119" s="113">
        <v>83</v>
      </c>
      <c r="G119" s="114"/>
      <c r="H119" s="81"/>
      <c r="I119" s="114"/>
      <c r="J119" s="81"/>
      <c r="K119" s="114"/>
      <c r="L119" s="81"/>
      <c r="M119" s="71"/>
    </row>
    <row r="120" spans="1:13">
      <c r="A120" s="47"/>
      <c r="B120" s="53"/>
      <c r="C120" s="103"/>
      <c r="D120" s="68" t="s">
        <v>437</v>
      </c>
      <c r="E120" s="113"/>
      <c r="F120" s="115">
        <f>F119/100</f>
        <v>0.83</v>
      </c>
      <c r="G120" s="114"/>
      <c r="H120" s="81"/>
      <c r="I120" s="114"/>
      <c r="J120" s="81"/>
      <c r="K120" s="114"/>
      <c r="L120" s="81"/>
      <c r="M120" s="71"/>
    </row>
    <row r="121" spans="1:13">
      <c r="A121" s="68" t="s">
        <v>331</v>
      </c>
      <c r="B121" s="69"/>
      <c r="C121" s="112" t="s">
        <v>101</v>
      </c>
      <c r="D121" s="68" t="s">
        <v>1</v>
      </c>
      <c r="E121" s="81">
        <v>880</v>
      </c>
      <c r="F121" s="113">
        <f>F120*E121</f>
        <v>730.4</v>
      </c>
      <c r="G121" s="114"/>
      <c r="H121" s="81"/>
      <c r="I121" s="81"/>
      <c r="J121" s="81"/>
      <c r="K121" s="114"/>
      <c r="L121" s="81"/>
      <c r="M121" s="71"/>
    </row>
    <row r="122" spans="1:13">
      <c r="A122" s="68" t="s">
        <v>332</v>
      </c>
      <c r="B122" s="78"/>
      <c r="C122" s="77" t="s">
        <v>13</v>
      </c>
      <c r="D122" s="91" t="s">
        <v>25</v>
      </c>
      <c r="E122" s="76">
        <v>5</v>
      </c>
      <c r="F122" s="76">
        <f>E122*F120</f>
        <v>4.1499999999999995</v>
      </c>
      <c r="G122" s="76"/>
      <c r="H122" s="76"/>
      <c r="I122" s="76"/>
      <c r="J122" s="76"/>
      <c r="K122" s="76"/>
      <c r="L122" s="76"/>
      <c r="M122" s="76"/>
    </row>
    <row r="123" spans="1:13">
      <c r="A123" s="68" t="s">
        <v>460</v>
      </c>
      <c r="B123" s="74" t="s">
        <v>461</v>
      </c>
      <c r="C123" s="112" t="s">
        <v>333</v>
      </c>
      <c r="D123" s="68" t="s">
        <v>361</v>
      </c>
      <c r="E123" s="81">
        <v>100</v>
      </c>
      <c r="F123" s="113">
        <f>F120*E123</f>
        <v>83</v>
      </c>
      <c r="G123" s="81"/>
      <c r="H123" s="81"/>
      <c r="I123" s="114"/>
      <c r="J123" s="81"/>
      <c r="K123" s="71"/>
      <c r="L123" s="71"/>
      <c r="M123" s="71"/>
    </row>
    <row r="124" spans="1:13">
      <c r="A124" s="68" t="s">
        <v>462</v>
      </c>
      <c r="B124" s="74" t="s">
        <v>463</v>
      </c>
      <c r="C124" s="77" t="s">
        <v>115</v>
      </c>
      <c r="D124" s="91" t="s">
        <v>365</v>
      </c>
      <c r="E124" s="76">
        <v>52.5</v>
      </c>
      <c r="F124" s="76">
        <f>E124*F120</f>
        <v>43.574999999999996</v>
      </c>
      <c r="G124" s="76"/>
      <c r="H124" s="76"/>
      <c r="I124" s="76"/>
      <c r="J124" s="76"/>
      <c r="K124" s="76"/>
      <c r="L124" s="76"/>
      <c r="M124" s="76"/>
    </row>
    <row r="125" spans="1:13">
      <c r="A125" s="68" t="s">
        <v>464</v>
      </c>
      <c r="B125" s="74"/>
      <c r="C125" s="77" t="s">
        <v>111</v>
      </c>
      <c r="D125" s="91" t="s">
        <v>25</v>
      </c>
      <c r="E125" s="76">
        <v>11</v>
      </c>
      <c r="F125" s="76">
        <f>E125*F120</f>
        <v>9.129999999999999</v>
      </c>
      <c r="G125" s="76"/>
      <c r="H125" s="76"/>
      <c r="I125" s="76"/>
      <c r="J125" s="76"/>
      <c r="K125" s="76"/>
      <c r="L125" s="76"/>
      <c r="M125" s="76"/>
    </row>
    <row r="126" spans="1:13">
      <c r="A126" s="68"/>
      <c r="B126" s="69"/>
      <c r="C126" s="112"/>
      <c r="D126" s="68"/>
      <c r="E126" s="81"/>
      <c r="F126" s="113"/>
      <c r="G126" s="81"/>
      <c r="H126" s="81"/>
      <c r="I126" s="114"/>
      <c r="J126" s="81"/>
      <c r="K126" s="71"/>
      <c r="L126" s="71"/>
      <c r="M126" s="71"/>
    </row>
    <row r="127" spans="1:13">
      <c r="A127" s="68"/>
      <c r="B127" s="69"/>
      <c r="C127" s="116"/>
      <c r="D127" s="118"/>
      <c r="E127" s="119"/>
      <c r="F127" s="71"/>
      <c r="G127" s="117"/>
      <c r="H127" s="117"/>
      <c r="I127" s="117"/>
      <c r="J127" s="117"/>
      <c r="K127" s="71"/>
      <c r="L127" s="71"/>
      <c r="M127" s="71"/>
    </row>
    <row r="128" spans="1:13">
      <c r="A128" s="120"/>
      <c r="B128" s="96"/>
      <c r="C128" s="66" t="s">
        <v>4</v>
      </c>
      <c r="D128" s="66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1:13">
      <c r="A129" s="94"/>
      <c r="B129" s="69"/>
      <c r="C129" s="68"/>
      <c r="D129" s="68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1:13">
      <c r="A130" s="94"/>
      <c r="B130" s="69"/>
      <c r="C130" s="68" t="s">
        <v>10</v>
      </c>
      <c r="D130" s="84">
        <v>0.1</v>
      </c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13">
      <c r="A131" s="94"/>
      <c r="B131" s="69"/>
      <c r="C131" s="68" t="s">
        <v>4</v>
      </c>
      <c r="D131" s="84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3">
      <c r="A132" s="94"/>
      <c r="B132" s="69"/>
      <c r="C132" s="68" t="s">
        <v>11</v>
      </c>
      <c r="D132" s="84">
        <v>0.08</v>
      </c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1:13">
      <c r="A133" s="94"/>
      <c r="B133" s="69"/>
      <c r="C133" s="68"/>
      <c r="D133" s="84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1:13">
      <c r="A134" s="120"/>
      <c r="B134" s="96"/>
      <c r="C134" s="66" t="s">
        <v>4</v>
      </c>
      <c r="D134" s="66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>
      <c r="A135" s="121"/>
      <c r="B135" s="122"/>
      <c r="C135" s="123"/>
      <c r="D135" s="122"/>
      <c r="E135" s="122"/>
      <c r="F135" s="122"/>
      <c r="G135" s="122"/>
      <c r="H135" s="122"/>
      <c r="I135" s="122"/>
      <c r="J135" s="122"/>
      <c r="K135" s="122"/>
      <c r="L135" s="122"/>
      <c r="M135" s="124"/>
    </row>
    <row r="136" spans="1:13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117:L118 L79:L87">
    <cfRule type="cellIs" dxfId="6" priority="6" stopIfTrue="1" operator="equal">
      <formula>8223.307275</formula>
    </cfRule>
  </conditionalFormatting>
  <conditionalFormatting sqref="L88">
    <cfRule type="cellIs" dxfId="5" priority="2" stopIfTrue="1" operator="equal">
      <formula>8223.307275</formula>
    </cfRule>
  </conditionalFormatting>
  <conditionalFormatting sqref="L119">
    <cfRule type="cellIs" dxfId="4" priority="1" stopIfTrue="1" operator="equal">
      <formula>8223.307275</formula>
    </cfRule>
  </conditionalFormatting>
  <conditionalFormatting sqref="L89">
    <cfRule type="cellIs" dxfId="3" priority="8" stopIfTrue="1" operator="equal">
      <formula>8223.307275</formula>
    </cfRule>
  </conditionalFormatting>
  <conditionalFormatting sqref="L120:L121">
    <cfRule type="cellIs" dxfId="2" priority="7" stopIfTrue="1" operator="equal">
      <formula>8223.307275</formula>
    </cfRule>
  </conditionalFormatting>
  <conditionalFormatting sqref="L115:L116">
    <cfRule type="cellIs" dxfId="1" priority="5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122"/>
  <sheetViews>
    <sheetView view="pageBreakPreview" topLeftCell="A85" zoomScaleNormal="60" zoomScaleSheetLayoutView="100" workbookViewId="0">
      <selection activeCell="A96" sqref="A96:XFD96"/>
    </sheetView>
  </sheetViews>
  <sheetFormatPr defaultRowHeight="12.75"/>
  <cols>
    <col min="1" max="1" width="6.42578125" style="55" bestFit="1" customWidth="1"/>
    <col min="2" max="2" width="14" style="55" customWidth="1"/>
    <col min="3" max="3" width="58" style="55" customWidth="1"/>
    <col min="4" max="12" width="10.28515625" style="55" customWidth="1"/>
    <col min="13" max="13" width="10.28515625" style="60" customWidth="1"/>
    <col min="14" max="16384" width="9.140625" style="52"/>
  </cols>
  <sheetData>
    <row r="1" spans="1:17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7" s="133" customFormat="1" ht="27.7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7" s="43" customFormat="1" ht="1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7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7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7" s="43" customFormat="1">
      <c r="A7" s="66"/>
      <c r="B7" s="68"/>
      <c r="C7" s="88" t="s">
        <v>346</v>
      </c>
      <c r="D7" s="68"/>
      <c r="E7" s="68"/>
      <c r="F7" s="68"/>
      <c r="G7" s="68"/>
      <c r="H7" s="68"/>
      <c r="I7" s="68"/>
      <c r="J7" s="68"/>
      <c r="K7" s="68"/>
      <c r="L7" s="68"/>
      <c r="M7" s="89"/>
    </row>
    <row r="8" spans="1:17">
      <c r="A8" s="66"/>
      <c r="B8" s="68"/>
      <c r="C8" s="88"/>
      <c r="D8" s="68"/>
      <c r="E8" s="68"/>
      <c r="F8" s="68"/>
      <c r="G8" s="68"/>
      <c r="H8" s="68"/>
      <c r="I8" s="68"/>
      <c r="J8" s="68"/>
      <c r="K8" s="68"/>
      <c r="L8" s="68"/>
      <c r="M8" s="89"/>
    </row>
    <row r="9" spans="1:17">
      <c r="A9" s="68">
        <v>1.1000000000000001</v>
      </c>
      <c r="B9" s="125" t="s">
        <v>465</v>
      </c>
      <c r="C9" s="112" t="s">
        <v>334</v>
      </c>
      <c r="D9" s="126" t="s">
        <v>107</v>
      </c>
      <c r="E9" s="81"/>
      <c r="F9" s="113">
        <v>20</v>
      </c>
      <c r="G9" s="81"/>
      <c r="H9" s="81"/>
      <c r="I9" s="81"/>
      <c r="J9" s="109"/>
      <c r="K9" s="81"/>
      <c r="L9" s="81"/>
      <c r="M9" s="71"/>
    </row>
    <row r="10" spans="1:17">
      <c r="A10" s="68"/>
      <c r="B10" s="125" t="s">
        <v>466</v>
      </c>
      <c r="C10" s="112"/>
      <c r="D10" s="126" t="s">
        <v>103</v>
      </c>
      <c r="E10" s="81"/>
      <c r="F10" s="115">
        <f>F9/100</f>
        <v>0.2</v>
      </c>
      <c r="G10" s="81"/>
      <c r="H10" s="81"/>
      <c r="I10" s="81"/>
      <c r="J10" s="109"/>
      <c r="K10" s="81"/>
      <c r="L10" s="81"/>
      <c r="M10" s="71"/>
    </row>
    <row r="11" spans="1:17">
      <c r="A11" s="68" t="s">
        <v>0</v>
      </c>
      <c r="B11" s="125" t="s">
        <v>467</v>
      </c>
      <c r="C11" s="127" t="s">
        <v>15</v>
      </c>
      <c r="D11" s="68" t="s">
        <v>1</v>
      </c>
      <c r="E11" s="79">
        <f>0.6*65.5</f>
        <v>39.299999999999997</v>
      </c>
      <c r="F11" s="113">
        <f>F10*E11</f>
        <v>7.8599999999999994</v>
      </c>
      <c r="G11" s="81"/>
      <c r="H11" s="81"/>
      <c r="I11" s="81"/>
      <c r="J11" s="71"/>
      <c r="K11" s="81"/>
      <c r="L11" s="81"/>
      <c r="M11" s="109"/>
    </row>
    <row r="12" spans="1:17">
      <c r="A12" s="68" t="s">
        <v>210</v>
      </c>
      <c r="B12" s="128" t="s">
        <v>468</v>
      </c>
      <c r="C12" s="112" t="s">
        <v>335</v>
      </c>
      <c r="D12" s="68" t="s">
        <v>24</v>
      </c>
      <c r="E12" s="81">
        <f>0.7*4.29</f>
        <v>3.0029999999999997</v>
      </c>
      <c r="F12" s="113">
        <f>F10*E12</f>
        <v>0.60060000000000002</v>
      </c>
      <c r="G12" s="81"/>
      <c r="H12" s="81"/>
      <c r="I12" s="81"/>
      <c r="J12" s="109"/>
      <c r="K12" s="81"/>
      <c r="L12" s="71"/>
      <c r="M12" s="109"/>
    </row>
    <row r="13" spans="1:17">
      <c r="A13" s="68" t="s">
        <v>211</v>
      </c>
      <c r="B13" s="128" t="s">
        <v>469</v>
      </c>
      <c r="C13" s="75" t="s">
        <v>13</v>
      </c>
      <c r="D13" s="68" t="s">
        <v>25</v>
      </c>
      <c r="E13" s="81">
        <f>0.7*0.44</f>
        <v>0.308</v>
      </c>
      <c r="F13" s="113">
        <f>F10*E13</f>
        <v>6.1600000000000002E-2</v>
      </c>
      <c r="G13" s="81"/>
      <c r="H13" s="81"/>
      <c r="I13" s="81"/>
      <c r="J13" s="109"/>
      <c r="K13" s="81"/>
      <c r="L13" s="71"/>
      <c r="M13" s="109"/>
      <c r="Q13" s="51"/>
    </row>
    <row r="14" spans="1:17">
      <c r="A14" s="68" t="s">
        <v>216</v>
      </c>
      <c r="B14" s="128" t="s">
        <v>470</v>
      </c>
      <c r="C14" s="127" t="s">
        <v>14</v>
      </c>
      <c r="D14" s="68" t="s">
        <v>25</v>
      </c>
      <c r="E14" s="79">
        <f>0.5*41.3</f>
        <v>20.65</v>
      </c>
      <c r="F14" s="113">
        <f>F10*E14</f>
        <v>4.13</v>
      </c>
      <c r="G14" s="81"/>
      <c r="H14" s="71"/>
      <c r="I14" s="81"/>
      <c r="J14" s="109"/>
      <c r="K14" s="71"/>
      <c r="L14" s="71"/>
      <c r="M14" s="109"/>
    </row>
    <row r="15" spans="1:17">
      <c r="A15" s="68"/>
      <c r="B15" s="125"/>
      <c r="C15" s="129"/>
      <c r="D15" s="68"/>
      <c r="E15" s="130"/>
      <c r="F15" s="131"/>
      <c r="G15" s="130"/>
      <c r="H15" s="71"/>
      <c r="I15" s="130"/>
      <c r="J15" s="109"/>
      <c r="K15" s="130"/>
      <c r="L15" s="81"/>
      <c r="M15" s="109"/>
    </row>
    <row r="16" spans="1:17" ht="25.5">
      <c r="A16" s="68">
        <v>1.2</v>
      </c>
      <c r="B16" s="69" t="s">
        <v>471</v>
      </c>
      <c r="C16" s="90" t="s">
        <v>82</v>
      </c>
      <c r="D16" s="68" t="s">
        <v>365</v>
      </c>
      <c r="E16" s="71"/>
      <c r="F16" s="71">
        <v>28</v>
      </c>
      <c r="G16" s="71"/>
      <c r="H16" s="71"/>
      <c r="I16" s="71"/>
      <c r="J16" s="71"/>
      <c r="K16" s="71"/>
      <c r="L16" s="71"/>
      <c r="M16" s="71"/>
    </row>
    <row r="17" spans="1:13">
      <c r="A17" s="68"/>
      <c r="B17" s="69"/>
      <c r="C17" s="70"/>
      <c r="D17" s="68" t="s">
        <v>410</v>
      </c>
      <c r="E17" s="71"/>
      <c r="F17" s="73">
        <f>F16/1000</f>
        <v>2.8000000000000001E-2</v>
      </c>
      <c r="G17" s="71"/>
      <c r="H17" s="71"/>
      <c r="I17" s="71"/>
      <c r="J17" s="71"/>
      <c r="K17" s="71"/>
      <c r="L17" s="71"/>
      <c r="M17" s="109"/>
    </row>
    <row r="18" spans="1:13">
      <c r="A18" s="68" t="s">
        <v>21</v>
      </c>
      <c r="B18" s="69"/>
      <c r="C18" s="127" t="s">
        <v>15</v>
      </c>
      <c r="D18" s="68" t="s">
        <v>1</v>
      </c>
      <c r="E18" s="71">
        <v>20</v>
      </c>
      <c r="F18" s="71">
        <f>E18*F17</f>
        <v>0.56000000000000005</v>
      </c>
      <c r="G18" s="71"/>
      <c r="H18" s="71"/>
      <c r="I18" s="81"/>
      <c r="J18" s="71"/>
      <c r="K18" s="71"/>
      <c r="L18" s="71"/>
      <c r="M18" s="109"/>
    </row>
    <row r="19" spans="1:13">
      <c r="A19" s="68" t="s">
        <v>35</v>
      </c>
      <c r="B19" s="74" t="s">
        <v>411</v>
      </c>
      <c r="C19" s="75" t="s">
        <v>412</v>
      </c>
      <c r="D19" s="68" t="s">
        <v>24</v>
      </c>
      <c r="E19" s="71">
        <v>44.8</v>
      </c>
      <c r="F19" s="71">
        <f>E19*F17</f>
        <v>1.2544</v>
      </c>
      <c r="G19" s="71"/>
      <c r="H19" s="71"/>
      <c r="I19" s="71"/>
      <c r="J19" s="71"/>
      <c r="K19" s="71"/>
      <c r="L19" s="71"/>
      <c r="M19" s="109"/>
    </row>
    <row r="20" spans="1:13">
      <c r="A20" s="68" t="s">
        <v>36</v>
      </c>
      <c r="B20" s="69"/>
      <c r="C20" s="75" t="s">
        <v>13</v>
      </c>
      <c r="D20" s="68" t="s">
        <v>25</v>
      </c>
      <c r="E20" s="71">
        <v>2.1</v>
      </c>
      <c r="F20" s="71">
        <f>E20*F17</f>
        <v>5.8800000000000005E-2</v>
      </c>
      <c r="G20" s="71"/>
      <c r="H20" s="71"/>
      <c r="I20" s="71"/>
      <c r="J20" s="71"/>
      <c r="K20" s="81"/>
      <c r="L20" s="71"/>
      <c r="M20" s="109"/>
    </row>
    <row r="21" spans="1:13">
      <c r="A21" s="68" t="s">
        <v>37</v>
      </c>
      <c r="B21" s="74" t="s">
        <v>413</v>
      </c>
      <c r="C21" s="93" t="s">
        <v>414</v>
      </c>
      <c r="D21" s="68" t="s">
        <v>365</v>
      </c>
      <c r="E21" s="71">
        <v>0.05</v>
      </c>
      <c r="F21" s="71">
        <f>E21*F17</f>
        <v>1.4000000000000002E-3</v>
      </c>
      <c r="G21" s="76"/>
      <c r="H21" s="71"/>
      <c r="I21" s="71"/>
      <c r="J21" s="71"/>
      <c r="K21" s="71"/>
      <c r="L21" s="71"/>
      <c r="M21" s="109"/>
    </row>
    <row r="22" spans="1:13">
      <c r="A22" s="68"/>
      <c r="B22" s="69"/>
      <c r="C22" s="90"/>
      <c r="D22" s="68"/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68">
        <v>1.3</v>
      </c>
      <c r="B23" s="69" t="s">
        <v>472</v>
      </c>
      <c r="C23" s="90" t="s">
        <v>336</v>
      </c>
      <c r="D23" s="68" t="s">
        <v>365</v>
      </c>
      <c r="E23" s="71"/>
      <c r="F23" s="71">
        <v>1</v>
      </c>
      <c r="G23" s="71"/>
      <c r="H23" s="71"/>
      <c r="I23" s="71"/>
      <c r="J23" s="71"/>
      <c r="K23" s="71"/>
      <c r="L23" s="71"/>
      <c r="M23" s="71"/>
    </row>
    <row r="24" spans="1:13">
      <c r="A24" s="68"/>
      <c r="B24" s="69" t="s">
        <v>473</v>
      </c>
      <c r="C24" s="90"/>
      <c r="D24" s="68" t="s">
        <v>366</v>
      </c>
      <c r="E24" s="71"/>
      <c r="F24" s="73">
        <f>F23/100</f>
        <v>0.01</v>
      </c>
      <c r="G24" s="71"/>
      <c r="H24" s="71"/>
      <c r="I24" s="71"/>
      <c r="J24" s="71"/>
      <c r="K24" s="71"/>
      <c r="L24" s="71"/>
      <c r="M24" s="71"/>
    </row>
    <row r="25" spans="1:13">
      <c r="A25" s="68" t="s">
        <v>30</v>
      </c>
      <c r="B25" s="69" t="s">
        <v>474</v>
      </c>
      <c r="C25" s="90" t="s">
        <v>15</v>
      </c>
      <c r="D25" s="68" t="s">
        <v>1</v>
      </c>
      <c r="E25" s="71">
        <f>206*1.2</f>
        <v>247.2</v>
      </c>
      <c r="F25" s="71">
        <f>E25*F24</f>
        <v>2.472</v>
      </c>
      <c r="G25" s="71"/>
      <c r="H25" s="71"/>
      <c r="I25" s="71"/>
      <c r="J25" s="71"/>
      <c r="K25" s="71"/>
      <c r="L25" s="71"/>
      <c r="M25" s="71"/>
    </row>
    <row r="26" spans="1:13">
      <c r="A26" s="68"/>
      <c r="B26" s="69"/>
      <c r="C26" s="90"/>
      <c r="D26" s="68"/>
      <c r="E26" s="71"/>
      <c r="F26" s="71"/>
      <c r="G26" s="71"/>
      <c r="H26" s="71"/>
      <c r="I26" s="71"/>
      <c r="J26" s="71"/>
      <c r="K26" s="71"/>
      <c r="L26" s="71"/>
      <c r="M26" s="71"/>
    </row>
    <row r="27" spans="1:13">
      <c r="A27" s="68">
        <v>1.4</v>
      </c>
      <c r="B27" s="106" t="s">
        <v>417</v>
      </c>
      <c r="C27" s="90" t="s">
        <v>104</v>
      </c>
      <c r="D27" s="68" t="s">
        <v>23</v>
      </c>
      <c r="E27" s="71"/>
      <c r="F27" s="71">
        <f>F24*100*1.95</f>
        <v>1.95</v>
      </c>
      <c r="G27" s="71"/>
      <c r="H27" s="71"/>
      <c r="I27" s="71"/>
      <c r="J27" s="71"/>
      <c r="K27" s="71"/>
      <c r="L27" s="71"/>
      <c r="M27" s="71"/>
    </row>
    <row r="28" spans="1:13">
      <c r="A28" s="68" t="s">
        <v>22</v>
      </c>
      <c r="B28" s="107" t="s">
        <v>418</v>
      </c>
      <c r="C28" s="90" t="s">
        <v>15</v>
      </c>
      <c r="D28" s="68" t="s">
        <v>1</v>
      </c>
      <c r="E28" s="71">
        <v>0.53</v>
      </c>
      <c r="F28" s="71">
        <f>E28*F27</f>
        <v>1.0335000000000001</v>
      </c>
      <c r="G28" s="71"/>
      <c r="H28" s="71"/>
      <c r="I28" s="71"/>
      <c r="J28" s="71"/>
      <c r="K28" s="71"/>
      <c r="L28" s="71"/>
      <c r="M28" s="71"/>
    </row>
    <row r="29" spans="1:13">
      <c r="A29" s="68"/>
      <c r="B29" s="69"/>
      <c r="C29" s="90"/>
      <c r="D29" s="68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A30" s="68">
        <v>1.5</v>
      </c>
      <c r="B30" s="69" t="s">
        <v>419</v>
      </c>
      <c r="C30" s="90" t="s">
        <v>31</v>
      </c>
      <c r="D30" s="68" t="s">
        <v>23</v>
      </c>
      <c r="E30" s="71">
        <v>1.95</v>
      </c>
      <c r="F30" s="71">
        <f>E30*(F16+F23)</f>
        <v>56.55</v>
      </c>
      <c r="G30" s="71"/>
      <c r="H30" s="71"/>
      <c r="I30" s="71"/>
      <c r="J30" s="71"/>
      <c r="K30" s="76"/>
      <c r="L30" s="71"/>
      <c r="M30" s="71"/>
    </row>
    <row r="31" spans="1:13">
      <c r="A31" s="68"/>
      <c r="B31" s="69"/>
      <c r="C31" s="90"/>
      <c r="D31" s="68"/>
      <c r="E31" s="71"/>
      <c r="F31" s="71"/>
      <c r="G31" s="71"/>
      <c r="H31" s="71"/>
      <c r="I31" s="71"/>
      <c r="J31" s="71"/>
      <c r="K31" s="71"/>
      <c r="L31" s="71"/>
      <c r="M31" s="71"/>
    </row>
    <row r="32" spans="1:13">
      <c r="A32" s="68">
        <v>1.6</v>
      </c>
      <c r="B32" s="69" t="s">
        <v>85</v>
      </c>
      <c r="C32" s="90" t="s">
        <v>84</v>
      </c>
      <c r="D32" s="68" t="s">
        <v>365</v>
      </c>
      <c r="E32" s="71"/>
      <c r="F32" s="71">
        <f>F16+F23</f>
        <v>29</v>
      </c>
      <c r="G32" s="71"/>
      <c r="H32" s="71"/>
      <c r="I32" s="71"/>
      <c r="J32" s="71"/>
      <c r="K32" s="71"/>
      <c r="L32" s="71"/>
      <c r="M32" s="71"/>
    </row>
    <row r="33" spans="1:13">
      <c r="A33" s="68"/>
      <c r="B33" s="69"/>
      <c r="C33" s="90"/>
      <c r="D33" s="68" t="s">
        <v>410</v>
      </c>
      <c r="E33" s="71"/>
      <c r="F33" s="73">
        <f>F32/1000</f>
        <v>2.9000000000000001E-2</v>
      </c>
      <c r="G33" s="71"/>
      <c r="H33" s="71"/>
      <c r="I33" s="71"/>
      <c r="J33" s="71"/>
      <c r="K33" s="71"/>
      <c r="L33" s="71"/>
      <c r="M33" s="71"/>
    </row>
    <row r="34" spans="1:13">
      <c r="A34" s="68" t="s">
        <v>61</v>
      </c>
      <c r="B34" s="69"/>
      <c r="C34" s="90" t="s">
        <v>15</v>
      </c>
      <c r="D34" s="68" t="s">
        <v>1</v>
      </c>
      <c r="E34" s="71">
        <v>3.23</v>
      </c>
      <c r="F34" s="71">
        <f>E34*F33</f>
        <v>9.3670000000000003E-2</v>
      </c>
      <c r="G34" s="71"/>
      <c r="H34" s="71"/>
      <c r="I34" s="71"/>
      <c r="J34" s="71"/>
      <c r="K34" s="71"/>
      <c r="L34" s="71"/>
      <c r="M34" s="71"/>
    </row>
    <row r="35" spans="1:13">
      <c r="A35" s="68" t="s">
        <v>62</v>
      </c>
      <c r="B35" s="74" t="s">
        <v>372</v>
      </c>
      <c r="C35" s="90" t="s">
        <v>86</v>
      </c>
      <c r="D35" s="68" t="s">
        <v>24</v>
      </c>
      <c r="E35" s="71">
        <v>3.62</v>
      </c>
      <c r="F35" s="71">
        <f>E35*F33</f>
        <v>0.10498</v>
      </c>
      <c r="G35" s="71"/>
      <c r="H35" s="71"/>
      <c r="I35" s="71"/>
      <c r="J35" s="71"/>
      <c r="K35" s="76"/>
      <c r="L35" s="71"/>
      <c r="M35" s="71"/>
    </row>
    <row r="36" spans="1:13">
      <c r="A36" s="68" t="s">
        <v>230</v>
      </c>
      <c r="B36" s="69"/>
      <c r="C36" s="90" t="s">
        <v>13</v>
      </c>
      <c r="D36" s="68" t="s">
        <v>25</v>
      </c>
      <c r="E36" s="71">
        <v>0.18</v>
      </c>
      <c r="F36" s="71">
        <f>E36*F33</f>
        <v>5.2199999999999998E-3</v>
      </c>
      <c r="G36" s="71"/>
      <c r="H36" s="71"/>
      <c r="I36" s="71"/>
      <c r="J36" s="71"/>
      <c r="K36" s="71"/>
      <c r="L36" s="71"/>
      <c r="M36" s="71"/>
    </row>
    <row r="37" spans="1:13">
      <c r="A37" s="68" t="s">
        <v>231</v>
      </c>
      <c r="B37" s="74" t="s">
        <v>413</v>
      </c>
      <c r="C37" s="93" t="s">
        <v>414</v>
      </c>
      <c r="D37" s="68" t="s">
        <v>365</v>
      </c>
      <c r="E37" s="71">
        <v>0.04</v>
      </c>
      <c r="F37" s="71">
        <f>E37*F33</f>
        <v>1.16E-3</v>
      </c>
      <c r="G37" s="76"/>
      <c r="H37" s="71"/>
      <c r="I37" s="71"/>
      <c r="J37" s="71"/>
      <c r="K37" s="71"/>
      <c r="L37" s="71"/>
      <c r="M37" s="71"/>
    </row>
    <row r="38" spans="1:13">
      <c r="A38" s="68"/>
      <c r="B38" s="69"/>
      <c r="C38" s="90"/>
      <c r="D38" s="68"/>
      <c r="E38" s="71"/>
      <c r="F38" s="71"/>
      <c r="G38" s="71"/>
      <c r="H38" s="71"/>
      <c r="I38" s="71"/>
      <c r="J38" s="71"/>
      <c r="K38" s="71"/>
      <c r="L38" s="71"/>
      <c r="M38" s="71"/>
    </row>
    <row r="39" spans="1:13">
      <c r="A39" s="68">
        <v>1.7</v>
      </c>
      <c r="B39" s="74" t="s">
        <v>421</v>
      </c>
      <c r="C39" s="94" t="s">
        <v>271</v>
      </c>
      <c r="D39" s="68" t="s">
        <v>365</v>
      </c>
      <c r="E39" s="71"/>
      <c r="F39" s="71">
        <v>4</v>
      </c>
      <c r="G39" s="71"/>
      <c r="H39" s="71"/>
      <c r="I39" s="71"/>
      <c r="J39" s="71"/>
      <c r="K39" s="71"/>
      <c r="L39" s="71"/>
      <c r="M39" s="71"/>
    </row>
    <row r="40" spans="1:13">
      <c r="A40" s="68" t="s">
        <v>63</v>
      </c>
      <c r="B40" s="53"/>
      <c r="C40" s="50"/>
      <c r="D40" s="68" t="s">
        <v>422</v>
      </c>
      <c r="E40" s="71"/>
      <c r="F40" s="71">
        <f>F39</f>
        <v>4</v>
      </c>
      <c r="G40" s="71"/>
      <c r="H40" s="71"/>
      <c r="I40" s="71"/>
      <c r="J40" s="71"/>
      <c r="K40" s="71"/>
      <c r="L40" s="71"/>
      <c r="M40" s="71"/>
    </row>
    <row r="41" spans="1:13">
      <c r="A41" s="68" t="s">
        <v>64</v>
      </c>
      <c r="B41" s="69"/>
      <c r="C41" s="70" t="s">
        <v>15</v>
      </c>
      <c r="D41" s="68" t="s">
        <v>1</v>
      </c>
      <c r="E41" s="76">
        <v>0.89</v>
      </c>
      <c r="F41" s="71">
        <f>E41*F40</f>
        <v>3.56</v>
      </c>
      <c r="G41" s="71"/>
      <c r="H41" s="71"/>
      <c r="I41" s="76"/>
      <c r="J41" s="71"/>
      <c r="K41" s="71"/>
      <c r="L41" s="71"/>
      <c r="M41" s="71"/>
    </row>
    <row r="42" spans="1:13">
      <c r="A42" s="68"/>
      <c r="B42" s="74" t="s">
        <v>369</v>
      </c>
      <c r="C42" s="70" t="s">
        <v>105</v>
      </c>
      <c r="D42" s="68" t="s">
        <v>365</v>
      </c>
      <c r="E42" s="76">
        <v>1.1499999999999999</v>
      </c>
      <c r="F42" s="71">
        <f>E42*F40</f>
        <v>4.5999999999999996</v>
      </c>
      <c r="G42" s="71"/>
      <c r="H42" s="71"/>
      <c r="I42" s="71"/>
      <c r="J42" s="71"/>
      <c r="K42" s="71"/>
      <c r="L42" s="71"/>
      <c r="M42" s="71"/>
    </row>
    <row r="43" spans="1:13">
      <c r="A43" s="68"/>
      <c r="B43" s="74"/>
      <c r="C43" s="108" t="s">
        <v>13</v>
      </c>
      <c r="D43" s="91" t="s">
        <v>25</v>
      </c>
      <c r="E43" s="76">
        <v>0.37</v>
      </c>
      <c r="F43" s="76">
        <f>E43*F40</f>
        <v>1.48</v>
      </c>
      <c r="G43" s="76"/>
      <c r="H43" s="76"/>
      <c r="I43" s="76"/>
      <c r="J43" s="76"/>
      <c r="K43" s="76"/>
      <c r="L43" s="76"/>
      <c r="M43" s="76"/>
    </row>
    <row r="44" spans="1:13">
      <c r="A44" s="68"/>
      <c r="B44" s="80"/>
      <c r="C44" s="77" t="s">
        <v>14</v>
      </c>
      <c r="D44" s="91" t="s">
        <v>25</v>
      </c>
      <c r="E44" s="76">
        <v>0.02</v>
      </c>
      <c r="F44" s="76">
        <f>E44*F40</f>
        <v>0.08</v>
      </c>
      <c r="G44" s="76"/>
      <c r="H44" s="76"/>
      <c r="I44" s="76"/>
      <c r="J44" s="76"/>
      <c r="K44" s="76"/>
      <c r="L44" s="76"/>
      <c r="M44" s="76"/>
    </row>
    <row r="45" spans="1:13">
      <c r="A45" s="68"/>
      <c r="B45" s="69"/>
      <c r="C45" s="90"/>
      <c r="D45" s="68"/>
      <c r="E45" s="71"/>
      <c r="F45" s="71"/>
      <c r="G45" s="71"/>
      <c r="H45" s="71"/>
      <c r="I45" s="71"/>
      <c r="J45" s="71"/>
      <c r="K45" s="71"/>
      <c r="L45" s="71"/>
      <c r="M45" s="71"/>
    </row>
    <row r="46" spans="1:13">
      <c r="A46" s="68">
        <v>1.8</v>
      </c>
      <c r="B46" s="69" t="s">
        <v>423</v>
      </c>
      <c r="C46" s="90" t="s">
        <v>272</v>
      </c>
      <c r="D46" s="68" t="s">
        <v>365</v>
      </c>
      <c r="E46" s="71"/>
      <c r="F46" s="71">
        <v>2</v>
      </c>
      <c r="G46" s="71"/>
      <c r="H46" s="71"/>
      <c r="I46" s="71"/>
      <c r="J46" s="71"/>
      <c r="K46" s="71"/>
      <c r="L46" s="71"/>
      <c r="M46" s="71"/>
    </row>
    <row r="47" spans="1:13">
      <c r="A47" s="68"/>
      <c r="B47" s="69"/>
      <c r="C47" s="70"/>
      <c r="D47" s="68" t="s">
        <v>366</v>
      </c>
      <c r="E47" s="71"/>
      <c r="F47" s="73">
        <f>F46/100</f>
        <v>0.02</v>
      </c>
      <c r="G47" s="71"/>
      <c r="H47" s="71"/>
      <c r="I47" s="71"/>
      <c r="J47" s="71"/>
      <c r="K47" s="71"/>
      <c r="L47" s="71"/>
      <c r="M47" s="109"/>
    </row>
    <row r="48" spans="1:13">
      <c r="A48" s="68" t="s">
        <v>65</v>
      </c>
      <c r="B48" s="69"/>
      <c r="C48" s="127" t="s">
        <v>15</v>
      </c>
      <c r="D48" s="68" t="s">
        <v>1</v>
      </c>
      <c r="E48" s="71">
        <v>137</v>
      </c>
      <c r="F48" s="71">
        <f>E48*F47</f>
        <v>2.74</v>
      </c>
      <c r="G48" s="71"/>
      <c r="H48" s="71"/>
      <c r="I48" s="81"/>
      <c r="J48" s="71"/>
      <c r="K48" s="71"/>
      <c r="L48" s="71"/>
      <c r="M48" s="109"/>
    </row>
    <row r="49" spans="1:13">
      <c r="A49" s="68" t="s">
        <v>66</v>
      </c>
      <c r="B49" s="69"/>
      <c r="C49" s="75" t="s">
        <v>13</v>
      </c>
      <c r="D49" s="68" t="s">
        <v>25</v>
      </c>
      <c r="E49" s="71">
        <v>28.3</v>
      </c>
      <c r="F49" s="71">
        <f>E49*F47</f>
        <v>0.56600000000000006</v>
      </c>
      <c r="G49" s="71"/>
      <c r="H49" s="71"/>
      <c r="I49" s="71"/>
      <c r="J49" s="71"/>
      <c r="K49" s="81"/>
      <c r="L49" s="71"/>
      <c r="M49" s="109"/>
    </row>
    <row r="50" spans="1:13">
      <c r="A50" s="68" t="s">
        <v>234</v>
      </c>
      <c r="B50" s="74" t="s">
        <v>475</v>
      </c>
      <c r="C50" s="70" t="s">
        <v>476</v>
      </c>
      <c r="D50" s="68" t="s">
        <v>365</v>
      </c>
      <c r="E50" s="76">
        <v>102</v>
      </c>
      <c r="F50" s="71">
        <f>E50*F47</f>
        <v>2.04</v>
      </c>
      <c r="G50" s="71"/>
      <c r="H50" s="71"/>
      <c r="I50" s="71"/>
      <c r="J50" s="71"/>
      <c r="K50" s="71"/>
      <c r="L50" s="71"/>
      <c r="M50" s="109"/>
    </row>
    <row r="51" spans="1:13">
      <c r="A51" s="68" t="s">
        <v>235</v>
      </c>
      <c r="B51" s="69"/>
      <c r="C51" s="75" t="s">
        <v>14</v>
      </c>
      <c r="D51" s="68" t="s">
        <v>25</v>
      </c>
      <c r="E51" s="71">
        <v>62</v>
      </c>
      <c r="F51" s="71">
        <f>E51*F47</f>
        <v>1.24</v>
      </c>
      <c r="G51" s="81"/>
      <c r="H51" s="71"/>
      <c r="I51" s="81"/>
      <c r="J51" s="109"/>
      <c r="K51" s="81"/>
      <c r="L51" s="81"/>
      <c r="M51" s="109"/>
    </row>
    <row r="52" spans="1:13">
      <c r="A52" s="68"/>
      <c r="B52" s="69"/>
      <c r="C52" s="90"/>
      <c r="D52" s="68"/>
      <c r="E52" s="71"/>
      <c r="F52" s="71"/>
      <c r="G52" s="71"/>
      <c r="H52" s="71"/>
      <c r="I52" s="71"/>
      <c r="J52" s="71"/>
      <c r="K52" s="71"/>
      <c r="L52" s="71"/>
      <c r="M52" s="71"/>
    </row>
    <row r="53" spans="1:13">
      <c r="A53" s="68">
        <v>1.9</v>
      </c>
      <c r="B53" s="80" t="s">
        <v>428</v>
      </c>
      <c r="C53" s="70" t="s">
        <v>429</v>
      </c>
      <c r="D53" s="68" t="s">
        <v>365</v>
      </c>
      <c r="E53" s="71"/>
      <c r="F53" s="71">
        <v>15</v>
      </c>
      <c r="G53" s="71"/>
      <c r="H53" s="71"/>
      <c r="I53" s="71"/>
      <c r="J53" s="71"/>
      <c r="K53" s="71"/>
      <c r="L53" s="71"/>
      <c r="M53" s="71"/>
    </row>
    <row r="54" spans="1:13">
      <c r="A54" s="68"/>
      <c r="B54" s="78"/>
      <c r="C54" s="70"/>
      <c r="D54" s="68" t="s">
        <v>366</v>
      </c>
      <c r="E54" s="71"/>
      <c r="F54" s="73">
        <f>F53/100</f>
        <v>0.15</v>
      </c>
      <c r="G54" s="71"/>
      <c r="H54" s="71"/>
      <c r="I54" s="71"/>
      <c r="J54" s="71"/>
      <c r="K54" s="71"/>
      <c r="L54" s="71"/>
      <c r="M54" s="71"/>
    </row>
    <row r="55" spans="1:13">
      <c r="A55" s="68" t="s">
        <v>67</v>
      </c>
      <c r="B55" s="78"/>
      <c r="C55" s="70" t="s">
        <v>40</v>
      </c>
      <c r="D55" s="68" t="s">
        <v>1</v>
      </c>
      <c r="E55" s="76">
        <v>599</v>
      </c>
      <c r="F55" s="71">
        <f>E55*F54</f>
        <v>89.85</v>
      </c>
      <c r="G55" s="71"/>
      <c r="H55" s="71"/>
      <c r="I55" s="71"/>
      <c r="J55" s="71"/>
      <c r="K55" s="71"/>
      <c r="L55" s="71"/>
      <c r="M55" s="71"/>
    </row>
    <row r="56" spans="1:13">
      <c r="A56" s="68" t="s">
        <v>237</v>
      </c>
      <c r="B56" s="78"/>
      <c r="C56" s="77" t="s">
        <v>430</v>
      </c>
      <c r="D56" s="68" t="s">
        <v>25</v>
      </c>
      <c r="E56" s="76">
        <v>109</v>
      </c>
      <c r="F56" s="71">
        <f>E56*F54</f>
        <v>16.349999999999998</v>
      </c>
      <c r="G56" s="71"/>
      <c r="H56" s="71"/>
      <c r="I56" s="71"/>
      <c r="J56" s="71"/>
      <c r="K56" s="71"/>
      <c r="L56" s="71"/>
      <c r="M56" s="71"/>
    </row>
    <row r="57" spans="1:13">
      <c r="A57" s="68" t="s">
        <v>238</v>
      </c>
      <c r="B57" s="80" t="s">
        <v>426</v>
      </c>
      <c r="C57" s="70" t="s">
        <v>192</v>
      </c>
      <c r="D57" s="68" t="s">
        <v>365</v>
      </c>
      <c r="E57" s="76">
        <v>101.5</v>
      </c>
      <c r="F57" s="71">
        <f>E57*F54</f>
        <v>15.225</v>
      </c>
      <c r="G57" s="76"/>
      <c r="H57" s="71"/>
      <c r="I57" s="71"/>
      <c r="J57" s="71"/>
      <c r="K57" s="71"/>
      <c r="L57" s="71"/>
      <c r="M57" s="71"/>
    </row>
    <row r="58" spans="1:13">
      <c r="A58" s="68" t="s">
        <v>239</v>
      </c>
      <c r="B58" s="80" t="s">
        <v>389</v>
      </c>
      <c r="C58" s="70" t="s">
        <v>141</v>
      </c>
      <c r="D58" s="68" t="s">
        <v>23</v>
      </c>
      <c r="E58" s="109" t="s">
        <v>100</v>
      </c>
      <c r="F58" s="73">
        <v>0.98</v>
      </c>
      <c r="G58" s="76"/>
      <c r="H58" s="71"/>
      <c r="I58" s="71"/>
      <c r="J58" s="71"/>
      <c r="K58" s="109"/>
      <c r="L58" s="71"/>
      <c r="M58" s="71"/>
    </row>
    <row r="59" spans="1:13">
      <c r="A59" s="68" t="s">
        <v>337</v>
      </c>
      <c r="B59" s="80" t="s">
        <v>390</v>
      </c>
      <c r="C59" s="77" t="s">
        <v>391</v>
      </c>
      <c r="D59" s="91" t="s">
        <v>361</v>
      </c>
      <c r="E59" s="76">
        <v>118</v>
      </c>
      <c r="F59" s="76">
        <f>E59*F54</f>
        <v>17.7</v>
      </c>
      <c r="G59" s="76"/>
      <c r="H59" s="76"/>
      <c r="I59" s="76"/>
      <c r="J59" s="76"/>
      <c r="K59" s="76"/>
      <c r="L59" s="76"/>
      <c r="M59" s="76"/>
    </row>
    <row r="60" spans="1:13">
      <c r="A60" s="68" t="s">
        <v>338</v>
      </c>
      <c r="B60" s="80" t="s">
        <v>392</v>
      </c>
      <c r="C60" s="70" t="s">
        <v>427</v>
      </c>
      <c r="D60" s="68" t="s">
        <v>365</v>
      </c>
      <c r="E60" s="76">
        <f>0.21+2.78</f>
        <v>2.9899999999999998</v>
      </c>
      <c r="F60" s="71">
        <f>E60*F54</f>
        <v>0.44849999999999995</v>
      </c>
      <c r="G60" s="76"/>
      <c r="H60" s="71"/>
      <c r="I60" s="71"/>
      <c r="J60" s="71"/>
      <c r="K60" s="71"/>
      <c r="L60" s="71"/>
      <c r="M60" s="71"/>
    </row>
    <row r="61" spans="1:13">
      <c r="A61" s="68" t="s">
        <v>477</v>
      </c>
      <c r="B61" s="80" t="s">
        <v>394</v>
      </c>
      <c r="C61" s="77" t="s">
        <v>395</v>
      </c>
      <c r="D61" s="91" t="s">
        <v>396</v>
      </c>
      <c r="E61" s="76">
        <v>110</v>
      </c>
      <c r="F61" s="76">
        <f>E61*F54</f>
        <v>16.5</v>
      </c>
      <c r="G61" s="76"/>
      <c r="H61" s="76"/>
      <c r="I61" s="76"/>
      <c r="J61" s="76"/>
      <c r="K61" s="76"/>
      <c r="L61" s="76"/>
      <c r="M61" s="76"/>
    </row>
    <row r="62" spans="1:13">
      <c r="A62" s="68" t="s">
        <v>478</v>
      </c>
      <c r="B62" s="80" t="s">
        <v>433</v>
      </c>
      <c r="C62" s="77" t="s">
        <v>434</v>
      </c>
      <c r="D62" s="91" t="s">
        <v>396</v>
      </c>
      <c r="E62" s="76">
        <v>140</v>
      </c>
      <c r="F62" s="76">
        <f>E62*F54</f>
        <v>21</v>
      </c>
      <c r="G62" s="76"/>
      <c r="H62" s="76"/>
      <c r="I62" s="76"/>
      <c r="J62" s="76"/>
      <c r="K62" s="76"/>
      <c r="L62" s="76"/>
      <c r="M62" s="76"/>
    </row>
    <row r="63" spans="1:13">
      <c r="A63" s="68" t="s">
        <v>479</v>
      </c>
      <c r="B63" s="78"/>
      <c r="C63" s="70" t="s">
        <v>111</v>
      </c>
      <c r="D63" s="68" t="s">
        <v>25</v>
      </c>
      <c r="E63" s="76">
        <v>32</v>
      </c>
      <c r="F63" s="71">
        <f>E63*F54</f>
        <v>4.8</v>
      </c>
      <c r="G63" s="71"/>
      <c r="H63" s="71"/>
      <c r="I63" s="71"/>
      <c r="J63" s="71"/>
      <c r="K63" s="71"/>
      <c r="L63" s="71"/>
      <c r="M63" s="71"/>
    </row>
    <row r="64" spans="1:13">
      <c r="A64" s="47"/>
      <c r="B64" s="62"/>
      <c r="C64" s="50"/>
      <c r="D64" s="47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s="54" customFormat="1">
      <c r="A65" s="89">
        <v>1.1000000000000001</v>
      </c>
      <c r="B65" s="80" t="s">
        <v>450</v>
      </c>
      <c r="C65" s="70" t="s">
        <v>451</v>
      </c>
      <c r="D65" s="68" t="s">
        <v>107</v>
      </c>
      <c r="E65" s="71"/>
      <c r="F65" s="71">
        <v>4</v>
      </c>
      <c r="G65" s="71"/>
      <c r="H65" s="71"/>
      <c r="I65" s="71"/>
      <c r="J65" s="71"/>
      <c r="K65" s="71"/>
      <c r="L65" s="71"/>
      <c r="M65" s="71"/>
    </row>
    <row r="66" spans="1:13" s="54" customFormat="1">
      <c r="A66" s="89"/>
      <c r="B66" s="62"/>
      <c r="C66" s="70"/>
      <c r="D66" s="68" t="s">
        <v>103</v>
      </c>
      <c r="E66" s="71"/>
      <c r="F66" s="73">
        <f>F65/100</f>
        <v>0.04</v>
      </c>
      <c r="G66" s="71"/>
      <c r="H66" s="71"/>
      <c r="I66" s="71"/>
      <c r="J66" s="71"/>
      <c r="K66" s="71"/>
      <c r="L66" s="71"/>
      <c r="M66" s="71"/>
    </row>
    <row r="67" spans="1:13" s="54" customFormat="1">
      <c r="A67" s="68" t="s">
        <v>69</v>
      </c>
      <c r="B67" s="78"/>
      <c r="C67" s="70" t="s">
        <v>40</v>
      </c>
      <c r="D67" s="68" t="s">
        <v>1</v>
      </c>
      <c r="E67" s="76">
        <v>33.1</v>
      </c>
      <c r="F67" s="71">
        <f>E67*F66</f>
        <v>1.3240000000000001</v>
      </c>
      <c r="G67" s="71"/>
      <c r="H67" s="71"/>
      <c r="I67" s="71"/>
      <c r="J67" s="71"/>
      <c r="K67" s="71"/>
      <c r="L67" s="71"/>
      <c r="M67" s="71"/>
    </row>
    <row r="68" spans="1:13" s="54" customFormat="1">
      <c r="A68" s="68" t="s">
        <v>70</v>
      </c>
      <c r="B68" s="78"/>
      <c r="C68" s="70" t="s">
        <v>13</v>
      </c>
      <c r="D68" s="68" t="s">
        <v>25</v>
      </c>
      <c r="E68" s="76">
        <v>0.47</v>
      </c>
      <c r="F68" s="71">
        <f>E68*F66</f>
        <v>1.8800000000000001E-2</v>
      </c>
      <c r="G68" s="71"/>
      <c r="H68" s="71"/>
      <c r="I68" s="71"/>
      <c r="J68" s="71"/>
      <c r="K68" s="71"/>
      <c r="L68" s="71"/>
      <c r="M68" s="71"/>
    </row>
    <row r="69" spans="1:13" s="54" customFormat="1">
      <c r="A69" s="68" t="s">
        <v>241</v>
      </c>
      <c r="B69" s="80" t="s">
        <v>452</v>
      </c>
      <c r="C69" s="111" t="s">
        <v>453</v>
      </c>
      <c r="D69" s="68" t="s">
        <v>107</v>
      </c>
      <c r="E69" s="76" t="s">
        <v>454</v>
      </c>
      <c r="F69" s="71">
        <f>F65</f>
        <v>4</v>
      </c>
      <c r="G69" s="76"/>
      <c r="H69" s="71"/>
      <c r="I69" s="71"/>
      <c r="J69" s="71"/>
      <c r="K69" s="71"/>
      <c r="L69" s="71"/>
      <c r="M69" s="71"/>
    </row>
    <row r="70" spans="1:13">
      <c r="A70" s="68" t="s">
        <v>242</v>
      </c>
      <c r="B70" s="78"/>
      <c r="C70" s="70" t="s">
        <v>111</v>
      </c>
      <c r="D70" s="68" t="s">
        <v>25</v>
      </c>
      <c r="E70" s="76">
        <v>10.9</v>
      </c>
      <c r="F70" s="71">
        <f>E70*F66</f>
        <v>0.436</v>
      </c>
      <c r="G70" s="71"/>
      <c r="H70" s="71"/>
      <c r="I70" s="71"/>
      <c r="J70" s="71"/>
      <c r="K70" s="71"/>
      <c r="L70" s="71"/>
      <c r="M70" s="71"/>
    </row>
    <row r="71" spans="1:13">
      <c r="A71" s="68"/>
      <c r="B71" s="69"/>
      <c r="C71" s="90"/>
      <c r="D71" s="68"/>
      <c r="E71" s="71"/>
      <c r="F71" s="71"/>
      <c r="G71" s="71"/>
      <c r="H71" s="71"/>
      <c r="I71" s="71"/>
      <c r="J71" s="71"/>
      <c r="K71" s="71"/>
      <c r="L71" s="71"/>
      <c r="M71" s="71"/>
    </row>
    <row r="72" spans="1:13">
      <c r="A72" s="89">
        <v>1.1100000000000001</v>
      </c>
      <c r="B72" s="69" t="s">
        <v>480</v>
      </c>
      <c r="C72" s="90" t="s">
        <v>339</v>
      </c>
      <c r="D72" s="68" t="s">
        <v>365</v>
      </c>
      <c r="E72" s="71"/>
      <c r="F72" s="71">
        <v>8</v>
      </c>
      <c r="G72" s="71"/>
      <c r="H72" s="71"/>
      <c r="I72" s="71"/>
      <c r="J72" s="71"/>
      <c r="K72" s="71"/>
      <c r="L72" s="71"/>
      <c r="M72" s="71"/>
    </row>
    <row r="73" spans="1:13">
      <c r="A73" s="89"/>
      <c r="B73" s="69"/>
      <c r="C73" s="70"/>
      <c r="D73" s="68" t="s">
        <v>410</v>
      </c>
      <c r="E73" s="71"/>
      <c r="F73" s="73">
        <f>F72/1000</f>
        <v>8.0000000000000002E-3</v>
      </c>
      <c r="G73" s="71"/>
      <c r="H73" s="71"/>
      <c r="I73" s="71"/>
      <c r="J73" s="71"/>
      <c r="K73" s="71"/>
      <c r="L73" s="71"/>
      <c r="M73" s="109"/>
    </row>
    <row r="74" spans="1:13">
      <c r="A74" s="68" t="s">
        <v>71</v>
      </c>
      <c r="B74" s="74" t="s">
        <v>481</v>
      </c>
      <c r="C74" s="70" t="s">
        <v>482</v>
      </c>
      <c r="D74" s="68" t="s">
        <v>24</v>
      </c>
      <c r="E74" s="71">
        <f>5.13+(4*2.04)</f>
        <v>13.29</v>
      </c>
      <c r="F74" s="71">
        <f>E74*F73</f>
        <v>0.10632</v>
      </c>
      <c r="G74" s="71"/>
      <c r="H74" s="71"/>
      <c r="I74" s="71"/>
      <c r="J74" s="71"/>
      <c r="K74" s="76"/>
      <c r="L74" s="71"/>
      <c r="M74" s="109"/>
    </row>
    <row r="75" spans="1:13">
      <c r="A75" s="68" t="s">
        <v>223</v>
      </c>
      <c r="B75" s="74" t="s">
        <v>483</v>
      </c>
      <c r="C75" s="70" t="s">
        <v>340</v>
      </c>
      <c r="D75" s="68" t="s">
        <v>365</v>
      </c>
      <c r="E75" s="71">
        <v>1010</v>
      </c>
      <c r="F75" s="71">
        <f>E75*F73</f>
        <v>8.08</v>
      </c>
      <c r="G75" s="71"/>
      <c r="H75" s="71"/>
      <c r="I75" s="71"/>
      <c r="J75" s="71"/>
      <c r="K75" s="71"/>
      <c r="L75" s="71"/>
      <c r="M75" s="109"/>
    </row>
    <row r="76" spans="1:13">
      <c r="A76" s="68"/>
      <c r="B76" s="69"/>
      <c r="C76" s="90"/>
      <c r="D76" s="68"/>
      <c r="E76" s="71"/>
      <c r="F76" s="71"/>
      <c r="G76" s="71"/>
      <c r="H76" s="71"/>
      <c r="I76" s="71"/>
      <c r="J76" s="71"/>
      <c r="K76" s="71"/>
      <c r="L76" s="71"/>
      <c r="M76" s="71"/>
    </row>
    <row r="77" spans="1:13">
      <c r="A77" s="68">
        <v>1.1200000000000001</v>
      </c>
      <c r="B77" s="74" t="s">
        <v>484</v>
      </c>
      <c r="C77" s="90" t="s">
        <v>341</v>
      </c>
      <c r="D77" s="68" t="s">
        <v>365</v>
      </c>
      <c r="E77" s="71"/>
      <c r="F77" s="71">
        <v>5</v>
      </c>
      <c r="G77" s="71"/>
      <c r="H77" s="71"/>
      <c r="I77" s="71"/>
      <c r="J77" s="71"/>
      <c r="K77" s="71"/>
      <c r="L77" s="71"/>
      <c r="M77" s="71"/>
    </row>
    <row r="78" spans="1:13">
      <c r="A78" s="68"/>
      <c r="B78" s="53"/>
      <c r="C78" s="70"/>
      <c r="D78" s="68" t="s">
        <v>422</v>
      </c>
      <c r="E78" s="71"/>
      <c r="F78" s="71">
        <v>14</v>
      </c>
      <c r="G78" s="71"/>
      <c r="H78" s="71"/>
      <c r="I78" s="71"/>
      <c r="J78" s="71"/>
      <c r="K78" s="71"/>
      <c r="L78" s="71"/>
      <c r="M78" s="109"/>
    </row>
    <row r="79" spans="1:13">
      <c r="A79" s="68" t="s">
        <v>243</v>
      </c>
      <c r="B79" s="69"/>
      <c r="C79" s="127" t="s">
        <v>15</v>
      </c>
      <c r="D79" s="68" t="s">
        <v>1</v>
      </c>
      <c r="E79" s="79">
        <v>6.5</v>
      </c>
      <c r="F79" s="113">
        <f>F78*E79</f>
        <v>91</v>
      </c>
      <c r="G79" s="114"/>
      <c r="H79" s="81"/>
      <c r="I79" s="79"/>
      <c r="J79" s="81"/>
      <c r="K79" s="114"/>
      <c r="L79" s="81"/>
      <c r="M79" s="109"/>
    </row>
    <row r="80" spans="1:13">
      <c r="A80" s="68" t="s">
        <v>244</v>
      </c>
      <c r="B80" s="78"/>
      <c r="C80" s="77" t="s">
        <v>13</v>
      </c>
      <c r="D80" s="91" t="s">
        <v>25</v>
      </c>
      <c r="E80" s="76">
        <v>2.16</v>
      </c>
      <c r="F80" s="76">
        <f>E80*F78</f>
        <v>30.240000000000002</v>
      </c>
      <c r="G80" s="76"/>
      <c r="H80" s="76"/>
      <c r="I80" s="76"/>
      <c r="J80" s="76"/>
      <c r="K80" s="76"/>
      <c r="L80" s="76"/>
      <c r="M80" s="76"/>
    </row>
    <row r="81" spans="1:13">
      <c r="A81" s="68" t="s">
        <v>297</v>
      </c>
      <c r="B81" s="74" t="s">
        <v>485</v>
      </c>
      <c r="C81" s="75" t="s">
        <v>342</v>
      </c>
      <c r="D81" s="68" t="s">
        <v>365</v>
      </c>
      <c r="E81" s="76">
        <v>1.1499999999999999</v>
      </c>
      <c r="F81" s="113">
        <f>F78*E81</f>
        <v>16.099999999999998</v>
      </c>
      <c r="G81" s="71"/>
      <c r="H81" s="71"/>
      <c r="I81" s="71"/>
      <c r="J81" s="71"/>
      <c r="K81" s="71"/>
      <c r="L81" s="71"/>
      <c r="M81" s="109"/>
    </row>
    <row r="82" spans="1:13">
      <c r="A82" s="68" t="s">
        <v>298</v>
      </c>
      <c r="B82" s="78"/>
      <c r="C82" s="77" t="s">
        <v>111</v>
      </c>
      <c r="D82" s="91" t="s">
        <v>25</v>
      </c>
      <c r="E82" s="76">
        <v>0.02</v>
      </c>
      <c r="F82" s="76">
        <f>E82*F78</f>
        <v>0.28000000000000003</v>
      </c>
      <c r="G82" s="76"/>
      <c r="H82" s="76"/>
      <c r="I82" s="76"/>
      <c r="J82" s="76"/>
      <c r="K82" s="76"/>
      <c r="L82" s="76"/>
      <c r="M82" s="76"/>
    </row>
    <row r="83" spans="1:13">
      <c r="A83" s="68"/>
      <c r="B83" s="69"/>
      <c r="C83" s="90"/>
      <c r="D83" s="68"/>
      <c r="E83" s="71"/>
      <c r="F83" s="131"/>
      <c r="G83" s="71"/>
      <c r="H83" s="71"/>
      <c r="I83" s="71"/>
      <c r="J83" s="71"/>
      <c r="K83" s="71"/>
      <c r="L83" s="71"/>
      <c r="M83" s="71"/>
    </row>
    <row r="84" spans="1:13">
      <c r="A84" s="68">
        <v>1.1299999999999999</v>
      </c>
      <c r="B84" s="69" t="s">
        <v>199</v>
      </c>
      <c r="C84" s="90" t="s">
        <v>273</v>
      </c>
      <c r="D84" s="68" t="s">
        <v>365</v>
      </c>
      <c r="E84" s="71"/>
      <c r="F84" s="71">
        <v>33</v>
      </c>
      <c r="G84" s="71"/>
      <c r="H84" s="71"/>
      <c r="I84" s="71"/>
      <c r="J84" s="71"/>
      <c r="K84" s="71"/>
      <c r="L84" s="71"/>
      <c r="M84" s="71"/>
    </row>
    <row r="85" spans="1:13">
      <c r="A85" s="68"/>
      <c r="B85" s="69"/>
      <c r="C85" s="70"/>
      <c r="D85" s="68" t="s">
        <v>410</v>
      </c>
      <c r="E85" s="71"/>
      <c r="F85" s="73">
        <f>F84/1000</f>
        <v>3.3000000000000002E-2</v>
      </c>
      <c r="G85" s="71"/>
      <c r="H85" s="71"/>
      <c r="I85" s="71"/>
      <c r="J85" s="71"/>
      <c r="K85" s="71"/>
      <c r="L85" s="71"/>
      <c r="M85" s="109"/>
    </row>
    <row r="86" spans="1:13">
      <c r="A86" s="68" t="s">
        <v>72</v>
      </c>
      <c r="B86" s="69"/>
      <c r="C86" s="127" t="s">
        <v>15</v>
      </c>
      <c r="D86" s="68" t="s">
        <v>1</v>
      </c>
      <c r="E86" s="71">
        <v>15.5</v>
      </c>
      <c r="F86" s="71">
        <f>E86*F85</f>
        <v>0.51150000000000007</v>
      </c>
      <c r="G86" s="71"/>
      <c r="H86" s="71"/>
      <c r="I86" s="81"/>
      <c r="J86" s="71"/>
      <c r="K86" s="71"/>
      <c r="L86" s="71"/>
      <c r="M86" s="109"/>
    </row>
    <row r="87" spans="1:13">
      <c r="A87" s="68" t="s">
        <v>73</v>
      </c>
      <c r="B87" s="74" t="s">
        <v>411</v>
      </c>
      <c r="C87" s="75" t="s">
        <v>412</v>
      </c>
      <c r="D87" s="68" t="s">
        <v>24</v>
      </c>
      <c r="E87" s="71">
        <v>34.700000000000003</v>
      </c>
      <c r="F87" s="71">
        <f>E87*F85</f>
        <v>1.1451000000000002</v>
      </c>
      <c r="G87" s="71"/>
      <c r="H87" s="71"/>
      <c r="I87" s="71"/>
      <c r="J87" s="71"/>
      <c r="K87" s="71"/>
      <c r="L87" s="71"/>
      <c r="M87" s="109"/>
    </row>
    <row r="88" spans="1:13">
      <c r="A88" s="68" t="s">
        <v>322</v>
      </c>
      <c r="B88" s="69"/>
      <c r="C88" s="75" t="s">
        <v>13</v>
      </c>
      <c r="D88" s="68" t="s">
        <v>25</v>
      </c>
      <c r="E88" s="76">
        <v>2.09</v>
      </c>
      <c r="F88" s="71">
        <f>E88*F85</f>
        <v>6.8970000000000004E-2</v>
      </c>
      <c r="G88" s="71"/>
      <c r="H88" s="71"/>
      <c r="I88" s="71"/>
      <c r="J88" s="71"/>
      <c r="K88" s="81"/>
      <c r="L88" s="71"/>
      <c r="M88" s="109"/>
    </row>
    <row r="89" spans="1:13">
      <c r="A89" s="68" t="s">
        <v>323</v>
      </c>
      <c r="B89" s="74" t="s">
        <v>413</v>
      </c>
      <c r="C89" s="93" t="s">
        <v>414</v>
      </c>
      <c r="D89" s="68" t="s">
        <v>365</v>
      </c>
      <c r="E89" s="71">
        <v>0.04</v>
      </c>
      <c r="F89" s="73">
        <f>E89*F85</f>
        <v>1.32E-3</v>
      </c>
      <c r="G89" s="76"/>
      <c r="H89" s="71"/>
      <c r="I89" s="71"/>
      <c r="J89" s="71"/>
      <c r="K89" s="71"/>
      <c r="L89" s="71"/>
      <c r="M89" s="109"/>
    </row>
    <row r="90" spans="1:13">
      <c r="A90" s="68"/>
      <c r="B90" s="69"/>
      <c r="C90" s="90"/>
      <c r="D90" s="68"/>
      <c r="E90" s="71"/>
      <c r="F90" s="71"/>
      <c r="G90" s="71"/>
      <c r="H90" s="71"/>
      <c r="I90" s="71"/>
      <c r="J90" s="71"/>
      <c r="K90" s="71"/>
      <c r="L90" s="71"/>
      <c r="M90" s="71"/>
    </row>
    <row r="91" spans="1:13">
      <c r="A91" s="89">
        <v>1.1399999999999999</v>
      </c>
      <c r="B91" s="74" t="s">
        <v>436</v>
      </c>
      <c r="C91" s="90" t="s">
        <v>343</v>
      </c>
      <c r="D91" s="68" t="s">
        <v>361</v>
      </c>
      <c r="E91" s="71"/>
      <c r="F91" s="71">
        <v>60</v>
      </c>
      <c r="G91" s="71"/>
      <c r="H91" s="71"/>
      <c r="I91" s="71"/>
      <c r="J91" s="71"/>
      <c r="K91" s="71"/>
      <c r="L91" s="71"/>
      <c r="M91" s="71"/>
    </row>
    <row r="92" spans="1:13">
      <c r="A92" s="89"/>
      <c r="B92" s="53"/>
      <c r="C92" s="70"/>
      <c r="D92" s="68" t="s">
        <v>437</v>
      </c>
      <c r="E92" s="71"/>
      <c r="F92" s="73">
        <f>F91/100</f>
        <v>0.6</v>
      </c>
      <c r="G92" s="71"/>
      <c r="H92" s="71"/>
      <c r="I92" s="71"/>
      <c r="J92" s="71"/>
      <c r="K92" s="71"/>
      <c r="L92" s="71"/>
      <c r="M92" s="71"/>
    </row>
    <row r="93" spans="1:13">
      <c r="A93" s="68" t="s">
        <v>224</v>
      </c>
      <c r="B93" s="69"/>
      <c r="C93" s="70" t="s">
        <v>15</v>
      </c>
      <c r="D93" s="68" t="s">
        <v>1</v>
      </c>
      <c r="E93" s="76">
        <v>33.6</v>
      </c>
      <c r="F93" s="71">
        <f>E93*F92</f>
        <v>20.16</v>
      </c>
      <c r="G93" s="71"/>
      <c r="H93" s="71"/>
      <c r="I93" s="76"/>
      <c r="J93" s="71"/>
      <c r="K93" s="71"/>
      <c r="L93" s="71"/>
      <c r="M93" s="71"/>
    </row>
    <row r="94" spans="1:13">
      <c r="A94" s="68" t="s">
        <v>248</v>
      </c>
      <c r="B94" s="69"/>
      <c r="C94" s="70" t="s">
        <v>13</v>
      </c>
      <c r="D94" s="68" t="s">
        <v>25</v>
      </c>
      <c r="E94" s="76">
        <v>1.5</v>
      </c>
      <c r="F94" s="71">
        <f>E94*F92</f>
        <v>0.89999999999999991</v>
      </c>
      <c r="G94" s="71"/>
      <c r="H94" s="71"/>
      <c r="I94" s="71"/>
      <c r="J94" s="71"/>
      <c r="K94" s="71"/>
      <c r="L94" s="71"/>
      <c r="M94" s="71"/>
    </row>
    <row r="95" spans="1:13">
      <c r="A95" s="68" t="s">
        <v>344</v>
      </c>
      <c r="B95" s="74" t="s">
        <v>438</v>
      </c>
      <c r="C95" s="77" t="s">
        <v>439</v>
      </c>
      <c r="D95" s="68" t="s">
        <v>23</v>
      </c>
      <c r="E95" s="76">
        <v>0.24</v>
      </c>
      <c r="F95" s="71">
        <f>E95*F92</f>
        <v>0.14399999999999999</v>
      </c>
      <c r="G95" s="76"/>
      <c r="H95" s="71"/>
      <c r="I95" s="71"/>
      <c r="J95" s="71"/>
      <c r="K95" s="71"/>
      <c r="L95" s="71"/>
      <c r="M95" s="71"/>
    </row>
    <row r="96" spans="1:13">
      <c r="A96" s="68" t="s">
        <v>345</v>
      </c>
      <c r="B96" s="69"/>
      <c r="C96" s="70" t="s">
        <v>111</v>
      </c>
      <c r="D96" s="68" t="s">
        <v>25</v>
      </c>
      <c r="E96" s="76">
        <v>2.2799999999999998</v>
      </c>
      <c r="F96" s="71">
        <f>E96*F92</f>
        <v>1.3679999999999999</v>
      </c>
      <c r="G96" s="71"/>
      <c r="H96" s="71"/>
      <c r="I96" s="71"/>
      <c r="J96" s="71"/>
      <c r="K96" s="71"/>
      <c r="L96" s="71"/>
      <c r="M96" s="71"/>
    </row>
    <row r="97" spans="1:13">
      <c r="A97" s="68"/>
      <c r="B97" s="69"/>
      <c r="C97" s="90"/>
      <c r="D97" s="68"/>
      <c r="E97" s="71"/>
      <c r="F97" s="71"/>
      <c r="G97" s="71"/>
      <c r="H97" s="71"/>
      <c r="I97" s="71"/>
      <c r="J97" s="71"/>
      <c r="K97" s="71"/>
      <c r="L97" s="71"/>
      <c r="M97" s="71"/>
    </row>
    <row r="98" spans="1:13">
      <c r="A98" s="66"/>
      <c r="B98" s="96"/>
      <c r="C98" s="66" t="s">
        <v>4</v>
      </c>
      <c r="D98" s="66"/>
      <c r="E98" s="67"/>
      <c r="F98" s="67"/>
      <c r="G98" s="67"/>
      <c r="H98" s="67"/>
      <c r="I98" s="67"/>
      <c r="J98" s="67"/>
      <c r="K98" s="67"/>
      <c r="L98" s="67"/>
      <c r="M98" s="67"/>
    </row>
    <row r="99" spans="1:13">
      <c r="A99" s="66"/>
      <c r="B99" s="69"/>
      <c r="C99" s="68"/>
      <c r="D99" s="68"/>
      <c r="E99" s="71"/>
      <c r="F99" s="71"/>
      <c r="G99" s="71"/>
      <c r="H99" s="71"/>
      <c r="I99" s="71"/>
      <c r="J99" s="71"/>
      <c r="K99" s="71"/>
      <c r="L99" s="71"/>
      <c r="M99" s="71"/>
    </row>
    <row r="100" spans="1:13">
      <c r="A100" s="66"/>
      <c r="B100" s="69"/>
      <c r="C100" s="68" t="s">
        <v>10</v>
      </c>
      <c r="D100" s="84">
        <v>0.1</v>
      </c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1:13">
      <c r="A101" s="66"/>
      <c r="B101" s="69"/>
      <c r="C101" s="68" t="s">
        <v>4</v>
      </c>
      <c r="D101" s="84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1:13">
      <c r="A102" s="66"/>
      <c r="B102" s="69"/>
      <c r="C102" s="68" t="s">
        <v>11</v>
      </c>
      <c r="D102" s="84">
        <v>0.08</v>
      </c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13">
      <c r="A103" s="66"/>
      <c r="B103" s="69"/>
      <c r="C103" s="68"/>
      <c r="D103" s="84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>
      <c r="A104" s="66"/>
      <c r="B104" s="69"/>
      <c r="C104" s="66" t="s">
        <v>4</v>
      </c>
      <c r="D104" s="66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>
      <c r="A105" s="132"/>
      <c r="B105" s="122"/>
      <c r="C105" s="123"/>
      <c r="D105" s="122"/>
      <c r="E105" s="122"/>
      <c r="F105" s="122"/>
      <c r="G105" s="122"/>
      <c r="H105" s="122"/>
      <c r="I105" s="122"/>
      <c r="J105" s="122"/>
      <c r="K105" s="122"/>
      <c r="L105" s="122"/>
      <c r="M105" s="124"/>
    </row>
    <row r="106" spans="1:13">
      <c r="A106" s="132"/>
      <c r="B106" s="122"/>
      <c r="C106" s="123"/>
      <c r="D106" s="122"/>
      <c r="E106" s="122"/>
      <c r="F106" s="122"/>
      <c r="G106" s="122"/>
      <c r="H106" s="122"/>
      <c r="I106" s="122"/>
      <c r="J106" s="122"/>
      <c r="K106" s="122"/>
      <c r="L106" s="122"/>
      <c r="M106" s="124"/>
    </row>
    <row r="107" spans="1:13">
      <c r="A107" s="132"/>
      <c r="B107" s="122"/>
      <c r="C107" s="123"/>
      <c r="D107" s="122"/>
      <c r="E107" s="122"/>
      <c r="F107" s="122"/>
      <c r="G107" s="122"/>
      <c r="H107" s="122"/>
      <c r="I107" s="122"/>
      <c r="J107" s="122"/>
      <c r="K107" s="122"/>
      <c r="L107" s="122"/>
      <c r="M107" s="124"/>
    </row>
    <row r="108" spans="1:13">
      <c r="A108" s="132"/>
      <c r="B108" s="122"/>
      <c r="C108" s="123"/>
      <c r="D108" s="122"/>
      <c r="E108" s="122"/>
      <c r="F108" s="122"/>
      <c r="G108" s="122"/>
      <c r="H108" s="122"/>
      <c r="I108" s="122"/>
      <c r="J108" s="122"/>
      <c r="K108" s="122"/>
      <c r="L108" s="122"/>
      <c r="M108" s="124"/>
    </row>
    <row r="109" spans="1:13">
      <c r="B109" s="57"/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9"/>
    </row>
    <row r="111" spans="1:13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9"/>
    </row>
    <row r="112" spans="1:13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9"/>
    </row>
    <row r="113" spans="2:13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9"/>
    </row>
    <row r="114" spans="2:13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9"/>
    </row>
    <row r="115" spans="2:13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9"/>
    </row>
    <row r="116" spans="2:13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9"/>
    </row>
    <row r="117" spans="2:13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9"/>
    </row>
    <row r="118" spans="2:13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9"/>
    </row>
    <row r="119" spans="2:13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9"/>
    </row>
    <row r="120" spans="2:13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9"/>
    </row>
    <row r="121" spans="2:13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9"/>
    </row>
    <row r="122" spans="2:13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79">
    <cfRule type="cellIs" dxfId="0" priority="1" stopIfTrue="1" operator="equal">
      <formula>8223.307275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96"/>
  <sheetViews>
    <sheetView view="pageBreakPreview" topLeftCell="A49" zoomScaleNormal="60" zoomScaleSheetLayoutView="100" workbookViewId="0">
      <selection activeCell="C67" sqref="C67"/>
    </sheetView>
  </sheetViews>
  <sheetFormatPr defaultRowHeight="12.75"/>
  <cols>
    <col min="1" max="1" width="5.28515625" style="55" bestFit="1" customWidth="1"/>
    <col min="2" max="2" width="12.42578125" style="55" customWidth="1"/>
    <col min="3" max="3" width="60.85546875" style="55" customWidth="1"/>
    <col min="4" max="12" width="10.5703125" style="55" customWidth="1"/>
    <col min="13" max="13" width="10.5703125" style="60" customWidth="1"/>
    <col min="14" max="15" width="20.7109375" style="52" customWidth="1"/>
    <col min="16" max="16384" width="9.140625" style="52"/>
  </cols>
  <sheetData>
    <row r="1" spans="1:13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3" customFormat="1" ht="12.7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3" s="43" customFormat="1" ht="12.7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3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3" s="43" customFormat="1">
      <c r="A7" s="66"/>
      <c r="B7" s="68"/>
      <c r="C7" s="88" t="s">
        <v>347</v>
      </c>
      <c r="D7" s="68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66"/>
      <c r="B8" s="68"/>
      <c r="C8" s="134"/>
      <c r="D8" s="68"/>
      <c r="E8" s="71"/>
      <c r="F8" s="71"/>
      <c r="G8" s="71"/>
      <c r="H8" s="71"/>
      <c r="I8" s="71"/>
      <c r="J8" s="71"/>
      <c r="K8" s="71"/>
      <c r="L8" s="71"/>
      <c r="M8" s="71"/>
    </row>
    <row r="9" spans="1:13" ht="25.5">
      <c r="A9" s="68">
        <v>1.1000000000000001</v>
      </c>
      <c r="B9" s="69" t="s">
        <v>83</v>
      </c>
      <c r="C9" s="70" t="s">
        <v>348</v>
      </c>
      <c r="D9" s="68" t="s">
        <v>365</v>
      </c>
      <c r="E9" s="71"/>
      <c r="F9" s="71">
        <v>332</v>
      </c>
      <c r="G9" s="71"/>
      <c r="H9" s="71"/>
      <c r="I9" s="71"/>
      <c r="J9" s="71"/>
      <c r="K9" s="71"/>
      <c r="L9" s="71"/>
      <c r="M9" s="71"/>
    </row>
    <row r="10" spans="1:13">
      <c r="A10" s="68"/>
      <c r="B10" s="69"/>
      <c r="C10" s="70"/>
      <c r="D10" s="68" t="s">
        <v>410</v>
      </c>
      <c r="E10" s="71"/>
      <c r="F10" s="71">
        <f>F9/1000</f>
        <v>0.33200000000000002</v>
      </c>
      <c r="G10" s="71"/>
      <c r="H10" s="71"/>
      <c r="I10" s="71"/>
      <c r="J10" s="71"/>
      <c r="K10" s="71"/>
      <c r="L10" s="71"/>
      <c r="M10" s="109"/>
    </row>
    <row r="11" spans="1:13">
      <c r="A11" s="68" t="s">
        <v>0</v>
      </c>
      <c r="B11" s="69"/>
      <c r="C11" s="127" t="s">
        <v>15</v>
      </c>
      <c r="D11" s="68" t="s">
        <v>1</v>
      </c>
      <c r="E11" s="71">
        <v>20</v>
      </c>
      <c r="F11" s="71">
        <f>E11*F10</f>
        <v>6.6400000000000006</v>
      </c>
      <c r="G11" s="71"/>
      <c r="H11" s="71"/>
      <c r="I11" s="81"/>
      <c r="J11" s="71"/>
      <c r="K11" s="71"/>
      <c r="L11" s="71"/>
      <c r="M11" s="109"/>
    </row>
    <row r="12" spans="1:13">
      <c r="A12" s="68" t="s">
        <v>209</v>
      </c>
      <c r="B12" s="74" t="s">
        <v>411</v>
      </c>
      <c r="C12" s="75" t="s">
        <v>412</v>
      </c>
      <c r="D12" s="68" t="s">
        <v>24</v>
      </c>
      <c r="E12" s="71">
        <v>44.8</v>
      </c>
      <c r="F12" s="71">
        <f>E12*F10</f>
        <v>14.8736</v>
      </c>
      <c r="G12" s="71"/>
      <c r="H12" s="71"/>
      <c r="I12" s="71"/>
      <c r="J12" s="71"/>
      <c r="K12" s="71"/>
      <c r="L12" s="71"/>
      <c r="M12" s="109"/>
    </row>
    <row r="13" spans="1:13">
      <c r="A13" s="68" t="s">
        <v>210</v>
      </c>
      <c r="B13" s="69"/>
      <c r="C13" s="75" t="s">
        <v>13</v>
      </c>
      <c r="D13" s="68" t="s">
        <v>25</v>
      </c>
      <c r="E13" s="71">
        <v>2.1</v>
      </c>
      <c r="F13" s="71">
        <f>E13*F10</f>
        <v>0.69720000000000004</v>
      </c>
      <c r="G13" s="71"/>
      <c r="H13" s="71"/>
      <c r="I13" s="71"/>
      <c r="J13" s="71"/>
      <c r="K13" s="81"/>
      <c r="L13" s="71"/>
      <c r="M13" s="109"/>
    </row>
    <row r="14" spans="1:13">
      <c r="A14" s="68" t="s">
        <v>211</v>
      </c>
      <c r="B14" s="74" t="s">
        <v>413</v>
      </c>
      <c r="C14" s="93" t="s">
        <v>414</v>
      </c>
      <c r="D14" s="68" t="s">
        <v>365</v>
      </c>
      <c r="E14" s="71">
        <v>0.05</v>
      </c>
      <c r="F14" s="71">
        <f>E14*F10</f>
        <v>1.66E-2</v>
      </c>
      <c r="G14" s="76"/>
      <c r="H14" s="71"/>
      <c r="I14" s="71"/>
      <c r="J14" s="71"/>
      <c r="K14" s="71"/>
      <c r="L14" s="71"/>
      <c r="M14" s="109"/>
    </row>
    <row r="15" spans="1:13">
      <c r="A15" s="68"/>
      <c r="B15" s="69"/>
      <c r="C15" s="70"/>
      <c r="D15" s="68"/>
      <c r="E15" s="71"/>
      <c r="F15" s="71"/>
      <c r="G15" s="71"/>
      <c r="H15" s="71"/>
      <c r="I15" s="71"/>
      <c r="J15" s="71"/>
      <c r="K15" s="71"/>
      <c r="L15" s="71"/>
      <c r="M15" s="71"/>
    </row>
    <row r="16" spans="1:13">
      <c r="A16" s="68">
        <v>1.2</v>
      </c>
      <c r="B16" s="69" t="s">
        <v>448</v>
      </c>
      <c r="C16" s="70" t="s">
        <v>274</v>
      </c>
      <c r="D16" s="68" t="s">
        <v>365</v>
      </c>
      <c r="E16" s="71"/>
      <c r="F16" s="71">
        <v>13</v>
      </c>
      <c r="G16" s="71"/>
      <c r="H16" s="71"/>
      <c r="I16" s="71"/>
      <c r="J16" s="71"/>
      <c r="K16" s="71"/>
      <c r="L16" s="71"/>
      <c r="M16" s="71"/>
    </row>
    <row r="17" spans="1:13">
      <c r="A17" s="68"/>
      <c r="B17" s="69"/>
      <c r="C17" s="70"/>
      <c r="D17" s="68" t="s">
        <v>449</v>
      </c>
      <c r="E17" s="71"/>
      <c r="F17" s="71">
        <f>F16/10</f>
        <v>1.3</v>
      </c>
      <c r="G17" s="71"/>
      <c r="H17" s="71"/>
      <c r="I17" s="71"/>
      <c r="J17" s="71"/>
      <c r="K17" s="71"/>
      <c r="L17" s="71"/>
      <c r="M17" s="71"/>
    </row>
    <row r="18" spans="1:13">
      <c r="A18" s="68" t="s">
        <v>21</v>
      </c>
      <c r="B18" s="69"/>
      <c r="C18" s="70" t="s">
        <v>15</v>
      </c>
      <c r="D18" s="68" t="s">
        <v>1</v>
      </c>
      <c r="E18" s="71">
        <v>17.8</v>
      </c>
      <c r="F18" s="71">
        <f>E18*F17</f>
        <v>23.14</v>
      </c>
      <c r="G18" s="71"/>
      <c r="H18" s="71"/>
      <c r="I18" s="71"/>
      <c r="J18" s="71"/>
      <c r="K18" s="71"/>
      <c r="L18" s="71"/>
      <c r="M18" s="71"/>
    </row>
    <row r="19" spans="1:13">
      <c r="A19" s="68" t="s">
        <v>35</v>
      </c>
      <c r="B19" s="74" t="s">
        <v>368</v>
      </c>
      <c r="C19" s="70" t="s">
        <v>105</v>
      </c>
      <c r="D19" s="68" t="s">
        <v>365</v>
      </c>
      <c r="E19" s="71">
        <v>11</v>
      </c>
      <c r="F19" s="71">
        <f>E19*F17</f>
        <v>14.3</v>
      </c>
      <c r="G19" s="71"/>
      <c r="H19" s="71"/>
      <c r="I19" s="71"/>
      <c r="J19" s="71"/>
      <c r="K19" s="71"/>
      <c r="L19" s="71"/>
      <c r="M19" s="71"/>
    </row>
    <row r="20" spans="1:13">
      <c r="A20" s="68"/>
      <c r="B20" s="69"/>
      <c r="C20" s="70"/>
      <c r="D20" s="68"/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68">
        <v>1.3</v>
      </c>
      <c r="B21" s="80" t="s">
        <v>486</v>
      </c>
      <c r="C21" s="70" t="s">
        <v>487</v>
      </c>
      <c r="D21" s="68" t="s">
        <v>107</v>
      </c>
      <c r="E21" s="71"/>
      <c r="F21" s="71">
        <v>130</v>
      </c>
      <c r="G21" s="71"/>
      <c r="H21" s="71"/>
      <c r="I21" s="71"/>
      <c r="J21" s="71"/>
      <c r="K21" s="71"/>
      <c r="L21" s="71"/>
      <c r="M21" s="71"/>
    </row>
    <row r="22" spans="1:13">
      <c r="A22" s="68"/>
      <c r="B22" s="80" t="s">
        <v>441</v>
      </c>
      <c r="C22" s="70"/>
      <c r="D22" s="68" t="s">
        <v>103</v>
      </c>
      <c r="E22" s="71"/>
      <c r="F22" s="73">
        <f>F21/100</f>
        <v>1.3</v>
      </c>
      <c r="G22" s="71"/>
      <c r="H22" s="71"/>
      <c r="I22" s="71"/>
      <c r="J22" s="71"/>
      <c r="K22" s="71"/>
      <c r="L22" s="71"/>
      <c r="M22" s="71"/>
    </row>
    <row r="23" spans="1:13">
      <c r="A23" s="68" t="s">
        <v>30</v>
      </c>
      <c r="B23" s="78"/>
      <c r="C23" s="70" t="s">
        <v>40</v>
      </c>
      <c r="D23" s="68" t="s">
        <v>1</v>
      </c>
      <c r="E23" s="76">
        <v>39.94</v>
      </c>
      <c r="F23" s="71">
        <f>E23*F22</f>
        <v>51.921999999999997</v>
      </c>
      <c r="G23" s="71"/>
      <c r="H23" s="71"/>
      <c r="I23" s="76"/>
      <c r="J23" s="71"/>
      <c r="K23" s="71"/>
      <c r="L23" s="71"/>
      <c r="M23" s="71"/>
    </row>
    <row r="24" spans="1:13">
      <c r="A24" s="68" t="s">
        <v>46</v>
      </c>
      <c r="B24" s="80" t="s">
        <v>488</v>
      </c>
      <c r="C24" s="70" t="s">
        <v>489</v>
      </c>
      <c r="D24" s="68" t="s">
        <v>107</v>
      </c>
      <c r="E24" s="76" t="s">
        <v>454</v>
      </c>
      <c r="F24" s="71">
        <f>F21</f>
        <v>130</v>
      </c>
      <c r="G24" s="76"/>
      <c r="H24" s="71"/>
      <c r="I24" s="71"/>
      <c r="J24" s="71"/>
      <c r="K24" s="71"/>
      <c r="L24" s="71"/>
      <c r="M24" s="71"/>
    </row>
    <row r="25" spans="1:13">
      <c r="A25" s="68" t="s">
        <v>225</v>
      </c>
      <c r="B25" s="74" t="s">
        <v>468</v>
      </c>
      <c r="C25" s="93" t="s">
        <v>490</v>
      </c>
      <c r="D25" s="91" t="s">
        <v>24</v>
      </c>
      <c r="E25" s="76">
        <v>5.79</v>
      </c>
      <c r="F25" s="76">
        <f>E25*F22</f>
        <v>7.5270000000000001</v>
      </c>
      <c r="G25" s="76"/>
      <c r="H25" s="76"/>
      <c r="I25" s="76"/>
      <c r="J25" s="76"/>
      <c r="K25" s="76"/>
      <c r="L25" s="76"/>
      <c r="M25" s="76"/>
    </row>
    <row r="26" spans="1:13">
      <c r="A26" s="68" t="s">
        <v>226</v>
      </c>
      <c r="B26" s="74" t="s">
        <v>491</v>
      </c>
      <c r="C26" s="93" t="s">
        <v>492</v>
      </c>
      <c r="D26" s="91" t="s">
        <v>24</v>
      </c>
      <c r="E26" s="76">
        <v>3.6</v>
      </c>
      <c r="F26" s="76">
        <f>E26*F22</f>
        <v>4.6800000000000006</v>
      </c>
      <c r="G26" s="76"/>
      <c r="H26" s="76"/>
      <c r="I26" s="76"/>
      <c r="J26" s="76"/>
      <c r="K26" s="76"/>
      <c r="L26" s="76"/>
      <c r="M26" s="76"/>
    </row>
    <row r="27" spans="1:13">
      <c r="A27" s="68" t="s">
        <v>227</v>
      </c>
      <c r="B27" s="74" t="s">
        <v>493</v>
      </c>
      <c r="C27" s="93" t="s">
        <v>494</v>
      </c>
      <c r="D27" s="91" t="s">
        <v>24</v>
      </c>
      <c r="E27" s="76">
        <v>0.39</v>
      </c>
      <c r="F27" s="76">
        <f>E27*F22</f>
        <v>0.50700000000000001</v>
      </c>
      <c r="G27" s="76"/>
      <c r="H27" s="76"/>
      <c r="I27" s="76"/>
      <c r="J27" s="76"/>
      <c r="K27" s="76"/>
      <c r="L27" s="76"/>
      <c r="M27" s="76"/>
    </row>
    <row r="28" spans="1:13">
      <c r="A28" s="47"/>
      <c r="B28" s="53"/>
      <c r="C28" s="49"/>
      <c r="D28" s="47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>
      <c r="A29" s="68">
        <v>1.4</v>
      </c>
      <c r="B29" s="74" t="s">
        <v>495</v>
      </c>
      <c r="C29" s="70" t="s">
        <v>349</v>
      </c>
      <c r="D29" s="68" t="s">
        <v>365</v>
      </c>
      <c r="E29" s="71"/>
      <c r="F29" s="71">
        <v>31</v>
      </c>
      <c r="G29" s="71"/>
      <c r="H29" s="71"/>
      <c r="I29" s="71"/>
      <c r="J29" s="71"/>
      <c r="K29" s="71"/>
      <c r="L29" s="71"/>
      <c r="M29" s="71"/>
    </row>
    <row r="30" spans="1:13">
      <c r="A30" s="47"/>
      <c r="B30" s="53"/>
      <c r="C30" s="50"/>
      <c r="D30" s="68" t="s">
        <v>449</v>
      </c>
      <c r="E30" s="71"/>
      <c r="F30" s="73">
        <f>F29/10</f>
        <v>3.1</v>
      </c>
      <c r="G30" s="71"/>
      <c r="H30" s="71"/>
      <c r="I30" s="71"/>
      <c r="J30" s="71"/>
      <c r="K30" s="71"/>
      <c r="L30" s="71"/>
      <c r="M30" s="71"/>
    </row>
    <row r="31" spans="1:13">
      <c r="A31" s="68" t="s">
        <v>22</v>
      </c>
      <c r="B31" s="69"/>
      <c r="C31" s="70" t="s">
        <v>15</v>
      </c>
      <c r="D31" s="68" t="s">
        <v>1</v>
      </c>
      <c r="E31" s="76">
        <v>18</v>
      </c>
      <c r="F31" s="71">
        <f>ROUND(E31*F30,2)</f>
        <v>55.8</v>
      </c>
      <c r="G31" s="71"/>
      <c r="H31" s="71"/>
      <c r="I31" s="71"/>
      <c r="J31" s="71"/>
      <c r="K31" s="71"/>
      <c r="L31" s="71"/>
      <c r="M31" s="71"/>
    </row>
    <row r="32" spans="1:13">
      <c r="A32" s="68" t="s">
        <v>245</v>
      </c>
      <c r="B32" s="69"/>
      <c r="C32" s="70" t="s">
        <v>138</v>
      </c>
      <c r="D32" s="68" t="s">
        <v>365</v>
      </c>
      <c r="E32" s="71">
        <v>11</v>
      </c>
      <c r="F32" s="71">
        <f>E32*F30</f>
        <v>34.1</v>
      </c>
      <c r="G32" s="71"/>
      <c r="H32" s="71"/>
      <c r="I32" s="71"/>
      <c r="J32" s="71"/>
      <c r="K32" s="71"/>
      <c r="L32" s="71"/>
      <c r="M32" s="71"/>
    </row>
    <row r="33" spans="1:13">
      <c r="A33" s="68"/>
      <c r="B33" s="69"/>
      <c r="C33" s="70"/>
      <c r="D33" s="68"/>
      <c r="E33" s="71"/>
      <c r="F33" s="71"/>
      <c r="G33" s="71"/>
      <c r="H33" s="71"/>
      <c r="I33" s="71"/>
      <c r="J33" s="71"/>
      <c r="K33" s="71"/>
      <c r="L33" s="71"/>
      <c r="M33" s="71"/>
    </row>
    <row r="34" spans="1:13">
      <c r="A34" s="68">
        <v>1.5</v>
      </c>
      <c r="B34" s="69" t="s">
        <v>199</v>
      </c>
      <c r="C34" s="70" t="s">
        <v>273</v>
      </c>
      <c r="D34" s="68" t="s">
        <v>365</v>
      </c>
      <c r="E34" s="71"/>
      <c r="F34" s="71">
        <v>33</v>
      </c>
      <c r="G34" s="71"/>
      <c r="H34" s="71"/>
      <c r="I34" s="71"/>
      <c r="J34" s="71"/>
      <c r="K34" s="71"/>
      <c r="L34" s="71"/>
      <c r="M34" s="109"/>
    </row>
    <row r="35" spans="1:13">
      <c r="A35" s="135"/>
      <c r="B35" s="69"/>
      <c r="C35" s="70"/>
      <c r="D35" s="68" t="s">
        <v>410</v>
      </c>
      <c r="E35" s="71"/>
      <c r="F35" s="73">
        <f>F34/1000</f>
        <v>3.3000000000000002E-2</v>
      </c>
      <c r="G35" s="71"/>
      <c r="H35" s="71"/>
      <c r="I35" s="71"/>
      <c r="J35" s="71"/>
      <c r="K35" s="71"/>
      <c r="L35" s="71"/>
      <c r="M35" s="109"/>
    </row>
    <row r="36" spans="1:13">
      <c r="A36" s="68" t="s">
        <v>212</v>
      </c>
      <c r="B36" s="69"/>
      <c r="C36" s="127" t="s">
        <v>15</v>
      </c>
      <c r="D36" s="68" t="s">
        <v>1</v>
      </c>
      <c r="E36" s="71">
        <v>15.5</v>
      </c>
      <c r="F36" s="71">
        <f>E36*F35</f>
        <v>0.51150000000000007</v>
      </c>
      <c r="G36" s="71"/>
      <c r="H36" s="71"/>
      <c r="I36" s="81"/>
      <c r="J36" s="71"/>
      <c r="K36" s="71"/>
      <c r="L36" s="71"/>
      <c r="M36" s="109"/>
    </row>
    <row r="37" spans="1:13">
      <c r="A37" s="68" t="s">
        <v>213</v>
      </c>
      <c r="B37" s="74" t="s">
        <v>411</v>
      </c>
      <c r="C37" s="75" t="s">
        <v>412</v>
      </c>
      <c r="D37" s="68" t="s">
        <v>24</v>
      </c>
      <c r="E37" s="71">
        <v>34.700000000000003</v>
      </c>
      <c r="F37" s="71">
        <f>E37*F35</f>
        <v>1.1451000000000002</v>
      </c>
      <c r="G37" s="71"/>
      <c r="H37" s="71"/>
      <c r="I37" s="71"/>
      <c r="J37" s="71"/>
      <c r="K37" s="71"/>
      <c r="L37" s="71"/>
      <c r="M37" s="109"/>
    </row>
    <row r="38" spans="1:13">
      <c r="A38" s="68" t="s">
        <v>214</v>
      </c>
      <c r="B38" s="69"/>
      <c r="C38" s="75" t="s">
        <v>13</v>
      </c>
      <c r="D38" s="68" t="s">
        <v>25</v>
      </c>
      <c r="E38" s="76">
        <v>2.09</v>
      </c>
      <c r="F38" s="71">
        <f>E38*F35</f>
        <v>6.8970000000000004E-2</v>
      </c>
      <c r="G38" s="71"/>
      <c r="H38" s="71"/>
      <c r="I38" s="71"/>
      <c r="J38" s="71"/>
      <c r="K38" s="81"/>
      <c r="L38" s="71"/>
      <c r="M38" s="109"/>
    </row>
    <row r="39" spans="1:13">
      <c r="A39" s="68" t="s">
        <v>215</v>
      </c>
      <c r="B39" s="74" t="s">
        <v>413</v>
      </c>
      <c r="C39" s="93" t="s">
        <v>414</v>
      </c>
      <c r="D39" s="68" t="s">
        <v>365</v>
      </c>
      <c r="E39" s="71">
        <v>0.04</v>
      </c>
      <c r="F39" s="73">
        <f>E39*F35</f>
        <v>1.32E-3</v>
      </c>
      <c r="G39" s="76"/>
      <c r="H39" s="71"/>
      <c r="I39" s="71"/>
      <c r="J39" s="71"/>
      <c r="K39" s="71"/>
      <c r="L39" s="71"/>
      <c r="M39" s="109"/>
    </row>
    <row r="40" spans="1:13">
      <c r="A40" s="47"/>
      <c r="B40" s="53"/>
      <c r="C40" s="49"/>
      <c r="D40" s="47"/>
      <c r="E40" s="110"/>
      <c r="F40" s="136"/>
      <c r="G40" s="110"/>
      <c r="H40" s="110"/>
      <c r="I40" s="110"/>
      <c r="J40" s="110"/>
      <c r="K40" s="110"/>
      <c r="L40" s="110"/>
      <c r="M40" s="102"/>
    </row>
    <row r="41" spans="1:13">
      <c r="A41" s="68">
        <v>1.6</v>
      </c>
      <c r="B41" s="80" t="s">
        <v>496</v>
      </c>
      <c r="C41" s="70" t="s">
        <v>350</v>
      </c>
      <c r="D41" s="68" t="s">
        <v>365</v>
      </c>
      <c r="E41" s="71"/>
      <c r="F41" s="71">
        <v>3.4</v>
      </c>
      <c r="G41" s="71"/>
      <c r="H41" s="71"/>
      <c r="I41" s="71"/>
      <c r="J41" s="71"/>
      <c r="K41" s="71"/>
      <c r="L41" s="71"/>
      <c r="M41" s="71"/>
    </row>
    <row r="42" spans="1:13">
      <c r="A42" s="47"/>
      <c r="B42" s="62"/>
      <c r="C42" s="50"/>
      <c r="D42" s="68" t="s">
        <v>366</v>
      </c>
      <c r="E42" s="71"/>
      <c r="F42" s="73">
        <f>F41/100</f>
        <v>3.4000000000000002E-2</v>
      </c>
      <c r="G42" s="71"/>
      <c r="H42" s="71"/>
      <c r="I42" s="71"/>
      <c r="J42" s="71"/>
      <c r="K42" s="71"/>
      <c r="L42" s="71"/>
      <c r="M42" s="71"/>
    </row>
    <row r="43" spans="1:13">
      <c r="A43" s="68" t="s">
        <v>61</v>
      </c>
      <c r="B43" s="78"/>
      <c r="C43" s="70" t="s">
        <v>15</v>
      </c>
      <c r="D43" s="68" t="s">
        <v>1</v>
      </c>
      <c r="E43" s="76">
        <v>801</v>
      </c>
      <c r="F43" s="71">
        <f>E43*F42</f>
        <v>27.234000000000002</v>
      </c>
      <c r="G43" s="71"/>
      <c r="H43" s="71"/>
      <c r="I43" s="71"/>
      <c r="J43" s="71"/>
      <c r="K43" s="71"/>
      <c r="L43" s="71"/>
      <c r="M43" s="71"/>
    </row>
    <row r="44" spans="1:13">
      <c r="A44" s="68" t="s">
        <v>62</v>
      </c>
      <c r="B44" s="78"/>
      <c r="C44" s="70" t="s">
        <v>13</v>
      </c>
      <c r="D44" s="68" t="s">
        <v>25</v>
      </c>
      <c r="E44" s="76">
        <v>123</v>
      </c>
      <c r="F44" s="71">
        <f>E44*F42</f>
        <v>4.1820000000000004</v>
      </c>
      <c r="G44" s="71"/>
      <c r="H44" s="71"/>
      <c r="I44" s="71"/>
      <c r="J44" s="71"/>
      <c r="K44" s="71"/>
      <c r="L44" s="71"/>
      <c r="M44" s="71"/>
    </row>
    <row r="45" spans="1:13">
      <c r="A45" s="68" t="s">
        <v>230</v>
      </c>
      <c r="B45" s="80" t="s">
        <v>386</v>
      </c>
      <c r="C45" s="70" t="s">
        <v>125</v>
      </c>
      <c r="D45" s="68" t="s">
        <v>365</v>
      </c>
      <c r="E45" s="76">
        <v>101.5</v>
      </c>
      <c r="F45" s="71">
        <f>E45*F42</f>
        <v>3.4510000000000001</v>
      </c>
      <c r="G45" s="71"/>
      <c r="H45" s="71"/>
      <c r="I45" s="71"/>
      <c r="J45" s="71"/>
      <c r="K45" s="71"/>
      <c r="L45" s="71"/>
      <c r="M45" s="71"/>
    </row>
    <row r="46" spans="1:13">
      <c r="A46" s="68" t="s">
        <v>231</v>
      </c>
      <c r="B46" s="78"/>
      <c r="C46" s="70" t="s">
        <v>14</v>
      </c>
      <c r="D46" s="68" t="s">
        <v>25</v>
      </c>
      <c r="E46" s="76">
        <v>209</v>
      </c>
      <c r="F46" s="71">
        <f>E46*F42</f>
        <v>7.1060000000000008</v>
      </c>
      <c r="G46" s="71"/>
      <c r="H46" s="71"/>
      <c r="I46" s="71"/>
      <c r="J46" s="71"/>
      <c r="K46" s="71"/>
      <c r="L46" s="71"/>
      <c r="M46" s="71"/>
    </row>
    <row r="47" spans="1:13" s="54" customFormat="1">
      <c r="A47" s="68" t="s">
        <v>232</v>
      </c>
      <c r="B47" s="80" t="s">
        <v>390</v>
      </c>
      <c r="C47" s="77" t="s">
        <v>391</v>
      </c>
      <c r="D47" s="91" t="s">
        <v>361</v>
      </c>
      <c r="E47" s="76">
        <v>128</v>
      </c>
      <c r="F47" s="76">
        <f>E47*F42</f>
        <v>4.3520000000000003</v>
      </c>
      <c r="G47" s="76"/>
      <c r="H47" s="76"/>
      <c r="I47" s="76"/>
      <c r="J47" s="76"/>
      <c r="K47" s="76"/>
      <c r="L47" s="76"/>
      <c r="M47" s="76"/>
    </row>
    <row r="48" spans="1:13" s="54" customFormat="1">
      <c r="A48" s="68" t="s">
        <v>233</v>
      </c>
      <c r="B48" s="80" t="s">
        <v>392</v>
      </c>
      <c r="C48" s="77" t="s">
        <v>393</v>
      </c>
      <c r="D48" s="91" t="s">
        <v>365</v>
      </c>
      <c r="E48" s="76">
        <f>0.24+0.63+3.09</f>
        <v>3.96</v>
      </c>
      <c r="F48" s="76">
        <f>E48*F42</f>
        <v>0.13464000000000001</v>
      </c>
      <c r="G48" s="76"/>
      <c r="H48" s="76"/>
      <c r="I48" s="76"/>
      <c r="J48" s="76"/>
      <c r="K48" s="76"/>
      <c r="L48" s="76"/>
      <c r="M48" s="76"/>
    </row>
    <row r="49" spans="1:13" s="54" customFormat="1">
      <c r="A49" s="68"/>
      <c r="B49" s="78"/>
      <c r="C49" s="70"/>
      <c r="D49" s="68"/>
      <c r="E49" s="71"/>
      <c r="F49" s="71"/>
      <c r="G49" s="71"/>
      <c r="H49" s="71"/>
      <c r="I49" s="71"/>
      <c r="J49" s="71"/>
      <c r="K49" s="71"/>
      <c r="L49" s="71"/>
      <c r="M49" s="71"/>
    </row>
    <row r="50" spans="1:13" s="54" customFormat="1">
      <c r="A50" s="95">
        <v>1.7</v>
      </c>
      <c r="B50" s="74" t="s">
        <v>497</v>
      </c>
      <c r="C50" s="70" t="s">
        <v>352</v>
      </c>
      <c r="D50" s="68" t="s">
        <v>351</v>
      </c>
      <c r="E50" s="71"/>
      <c r="F50" s="71">
        <v>2</v>
      </c>
      <c r="G50" s="71"/>
      <c r="H50" s="71"/>
      <c r="I50" s="71"/>
      <c r="J50" s="71"/>
      <c r="K50" s="71"/>
      <c r="L50" s="71"/>
      <c r="M50" s="71"/>
    </row>
    <row r="51" spans="1:13" s="54" customFormat="1">
      <c r="A51" s="68" t="s">
        <v>63</v>
      </c>
      <c r="B51" s="69"/>
      <c r="C51" s="70" t="s">
        <v>15</v>
      </c>
      <c r="D51" s="68" t="s">
        <v>1</v>
      </c>
      <c r="E51" s="76">
        <v>1.54</v>
      </c>
      <c r="F51" s="71">
        <v>17</v>
      </c>
      <c r="G51" s="71"/>
      <c r="H51" s="71"/>
      <c r="I51" s="71"/>
      <c r="J51" s="71"/>
      <c r="K51" s="71"/>
      <c r="L51" s="71"/>
      <c r="M51" s="71"/>
    </row>
    <row r="52" spans="1:13">
      <c r="A52" s="68" t="s">
        <v>64</v>
      </c>
      <c r="B52" s="74" t="s">
        <v>468</v>
      </c>
      <c r="C52" s="70" t="s">
        <v>490</v>
      </c>
      <c r="D52" s="68" t="s">
        <v>24</v>
      </c>
      <c r="E52" s="76">
        <v>0.09</v>
      </c>
      <c r="F52" s="71">
        <f>E52*F50</f>
        <v>0.18</v>
      </c>
      <c r="G52" s="71"/>
      <c r="H52" s="71"/>
      <c r="I52" s="71"/>
      <c r="J52" s="71"/>
      <c r="K52" s="71"/>
      <c r="L52" s="71"/>
      <c r="M52" s="71"/>
    </row>
    <row r="53" spans="1:13">
      <c r="A53" s="68" t="s">
        <v>218</v>
      </c>
      <c r="B53" s="74" t="s">
        <v>498</v>
      </c>
      <c r="C53" s="70" t="s">
        <v>499</v>
      </c>
      <c r="D53" s="68" t="s">
        <v>351</v>
      </c>
      <c r="E53" s="71">
        <v>1</v>
      </c>
      <c r="F53" s="71">
        <f>E53*F50</f>
        <v>2</v>
      </c>
      <c r="G53" s="71"/>
      <c r="H53" s="71"/>
      <c r="I53" s="71"/>
      <c r="J53" s="71"/>
      <c r="K53" s="71"/>
      <c r="L53" s="71"/>
      <c r="M53" s="71"/>
    </row>
    <row r="54" spans="1:13">
      <c r="A54" s="68" t="s">
        <v>220</v>
      </c>
      <c r="B54" s="74" t="s">
        <v>500</v>
      </c>
      <c r="C54" s="77" t="s">
        <v>501</v>
      </c>
      <c r="D54" s="91" t="s">
        <v>365</v>
      </c>
      <c r="E54" s="92">
        <v>1.4E-2</v>
      </c>
      <c r="F54" s="76">
        <f>E54*F50</f>
        <v>2.8000000000000001E-2</v>
      </c>
      <c r="G54" s="76"/>
      <c r="H54" s="76"/>
      <c r="I54" s="76"/>
      <c r="J54" s="76"/>
      <c r="K54" s="76"/>
      <c r="L54" s="76"/>
      <c r="M54" s="76"/>
    </row>
    <row r="55" spans="1:13">
      <c r="A55" s="68"/>
      <c r="B55" s="69"/>
      <c r="C55" s="70"/>
      <c r="D55" s="68"/>
      <c r="E55" s="71"/>
      <c r="F55" s="71"/>
      <c r="G55" s="71"/>
      <c r="H55" s="71"/>
      <c r="I55" s="71"/>
      <c r="J55" s="71"/>
      <c r="K55" s="71"/>
      <c r="L55" s="71"/>
      <c r="M55" s="71"/>
    </row>
    <row r="56" spans="1:13">
      <c r="A56" s="68"/>
      <c r="B56" s="78"/>
      <c r="C56" s="70"/>
      <c r="D56" s="68"/>
      <c r="E56" s="71"/>
      <c r="F56" s="71"/>
      <c r="G56" s="71"/>
      <c r="H56" s="71"/>
      <c r="I56" s="71"/>
      <c r="J56" s="71"/>
      <c r="K56" s="71"/>
      <c r="L56" s="71"/>
      <c r="M56" s="71"/>
    </row>
    <row r="57" spans="1:13">
      <c r="A57" s="68">
        <v>1.8</v>
      </c>
      <c r="B57" s="74" t="s">
        <v>497</v>
      </c>
      <c r="C57" s="77" t="s">
        <v>508</v>
      </c>
      <c r="D57" s="91" t="s">
        <v>99</v>
      </c>
      <c r="E57" s="76"/>
      <c r="F57" s="76">
        <v>4</v>
      </c>
      <c r="G57" s="76"/>
      <c r="H57" s="76"/>
      <c r="I57" s="76"/>
      <c r="J57" s="76"/>
      <c r="K57" s="76"/>
      <c r="L57" s="76"/>
      <c r="M57" s="76"/>
    </row>
    <row r="58" spans="1:13">
      <c r="A58" s="68" t="s">
        <v>65</v>
      </c>
      <c r="B58" s="80"/>
      <c r="C58" s="77" t="s">
        <v>40</v>
      </c>
      <c r="D58" s="91" t="s">
        <v>1</v>
      </c>
      <c r="E58" s="76">
        <v>1.54</v>
      </c>
      <c r="F58" s="76">
        <f>E58*F57</f>
        <v>6.16</v>
      </c>
      <c r="G58" s="76"/>
      <c r="H58" s="76"/>
      <c r="I58" s="76"/>
      <c r="J58" s="76"/>
      <c r="K58" s="76"/>
      <c r="L58" s="76"/>
      <c r="M58" s="76"/>
    </row>
    <row r="59" spans="1:13">
      <c r="A59" s="68" t="s">
        <v>66</v>
      </c>
      <c r="B59" s="74" t="s">
        <v>468</v>
      </c>
      <c r="C59" s="77" t="s">
        <v>490</v>
      </c>
      <c r="D59" s="91" t="s">
        <v>24</v>
      </c>
      <c r="E59" s="76">
        <v>0.09</v>
      </c>
      <c r="F59" s="76">
        <f>E59*F57</f>
        <v>0.36</v>
      </c>
      <c r="G59" s="76"/>
      <c r="H59" s="76"/>
      <c r="I59" s="76"/>
      <c r="J59" s="76"/>
      <c r="K59" s="76"/>
      <c r="L59" s="76"/>
      <c r="M59" s="76"/>
    </row>
    <row r="60" spans="1:13">
      <c r="A60" s="68" t="s">
        <v>234</v>
      </c>
      <c r="B60" s="80" t="s">
        <v>502</v>
      </c>
      <c r="C60" s="77" t="s">
        <v>503</v>
      </c>
      <c r="D60" s="91" t="s">
        <v>99</v>
      </c>
      <c r="E60" s="76">
        <v>1</v>
      </c>
      <c r="F60" s="76">
        <f>E60*F57</f>
        <v>4</v>
      </c>
      <c r="G60" s="76"/>
      <c r="H60" s="76"/>
      <c r="I60" s="76"/>
      <c r="J60" s="76"/>
      <c r="K60" s="76"/>
      <c r="L60" s="76"/>
      <c r="M60" s="76"/>
    </row>
    <row r="61" spans="1:13">
      <c r="A61" s="68" t="s">
        <v>235</v>
      </c>
      <c r="B61" s="74" t="s">
        <v>500</v>
      </c>
      <c r="C61" s="77" t="s">
        <v>501</v>
      </c>
      <c r="D61" s="91" t="s">
        <v>365</v>
      </c>
      <c r="E61" s="92">
        <v>1.4E-2</v>
      </c>
      <c r="F61" s="76">
        <f>E61*F57</f>
        <v>5.6000000000000001E-2</v>
      </c>
      <c r="G61" s="76"/>
      <c r="H61" s="76"/>
      <c r="I61" s="76"/>
      <c r="J61" s="76"/>
      <c r="K61" s="76"/>
      <c r="L61" s="76"/>
      <c r="M61" s="76"/>
    </row>
    <row r="62" spans="1:13">
      <c r="A62" s="68"/>
      <c r="B62" s="78"/>
      <c r="C62" s="70"/>
      <c r="D62" s="68"/>
      <c r="E62" s="71"/>
      <c r="F62" s="71"/>
      <c r="G62" s="71"/>
      <c r="H62" s="71"/>
      <c r="I62" s="71"/>
      <c r="J62" s="71"/>
      <c r="K62" s="71"/>
      <c r="L62" s="71"/>
      <c r="M62" s="71"/>
    </row>
    <row r="63" spans="1:13">
      <c r="A63" s="95">
        <v>1.9</v>
      </c>
      <c r="B63" s="74" t="s">
        <v>497</v>
      </c>
      <c r="C63" s="70" t="s">
        <v>504</v>
      </c>
      <c r="D63" s="68" t="s">
        <v>351</v>
      </c>
      <c r="E63" s="71"/>
      <c r="F63" s="71">
        <v>2</v>
      </c>
      <c r="G63" s="71"/>
      <c r="H63" s="71"/>
      <c r="I63" s="71"/>
      <c r="J63" s="71"/>
      <c r="K63" s="71"/>
      <c r="L63" s="71"/>
      <c r="M63" s="71"/>
    </row>
    <row r="64" spans="1:13">
      <c r="A64" s="68" t="s">
        <v>67</v>
      </c>
      <c r="B64" s="69"/>
      <c r="C64" s="70" t="s">
        <v>15</v>
      </c>
      <c r="D64" s="68" t="s">
        <v>1</v>
      </c>
      <c r="E64" s="76">
        <v>1.54</v>
      </c>
      <c r="F64" s="71">
        <v>17</v>
      </c>
      <c r="G64" s="71"/>
      <c r="H64" s="71"/>
      <c r="I64" s="71"/>
      <c r="J64" s="71"/>
      <c r="K64" s="71"/>
      <c r="L64" s="71"/>
      <c r="M64" s="71"/>
    </row>
    <row r="65" spans="1:13">
      <c r="A65" s="68" t="s">
        <v>68</v>
      </c>
      <c r="B65" s="74" t="s">
        <v>468</v>
      </c>
      <c r="C65" s="70" t="s">
        <v>490</v>
      </c>
      <c r="D65" s="68" t="s">
        <v>24</v>
      </c>
      <c r="E65" s="76">
        <v>0.09</v>
      </c>
      <c r="F65" s="71">
        <f>E65*F63</f>
        <v>0.18</v>
      </c>
      <c r="G65" s="71"/>
      <c r="H65" s="71"/>
      <c r="I65" s="71"/>
      <c r="J65" s="71"/>
      <c r="K65" s="71"/>
      <c r="L65" s="71"/>
      <c r="M65" s="71"/>
    </row>
    <row r="66" spans="1:13">
      <c r="A66" s="68" t="s">
        <v>239</v>
      </c>
      <c r="B66" s="74" t="s">
        <v>500</v>
      </c>
      <c r="C66" s="77" t="s">
        <v>501</v>
      </c>
      <c r="D66" s="91" t="s">
        <v>365</v>
      </c>
      <c r="E66" s="92">
        <v>1.4E-2</v>
      </c>
      <c r="F66" s="76">
        <f>E66*F63</f>
        <v>2.8000000000000001E-2</v>
      </c>
      <c r="G66" s="76"/>
      <c r="H66" s="76"/>
      <c r="I66" s="76"/>
      <c r="J66" s="76"/>
      <c r="K66" s="76"/>
      <c r="L66" s="76"/>
      <c r="M66" s="76"/>
    </row>
    <row r="67" spans="1:13">
      <c r="A67" s="68" t="s">
        <v>240</v>
      </c>
      <c r="B67" s="74" t="s">
        <v>505</v>
      </c>
      <c r="C67" s="77" t="s">
        <v>506</v>
      </c>
      <c r="D67" s="91" t="s">
        <v>507</v>
      </c>
      <c r="E67" s="76">
        <v>1</v>
      </c>
      <c r="F67" s="76">
        <f>E67*F63</f>
        <v>2</v>
      </c>
      <c r="G67" s="76"/>
      <c r="H67" s="76"/>
      <c r="I67" s="76"/>
      <c r="J67" s="76"/>
      <c r="K67" s="76"/>
      <c r="L67" s="76"/>
      <c r="M67" s="76"/>
    </row>
    <row r="68" spans="1:13">
      <c r="A68" s="68"/>
      <c r="B68" s="69"/>
      <c r="C68" s="70"/>
      <c r="D68" s="68"/>
      <c r="E68" s="71"/>
      <c r="F68" s="71"/>
      <c r="G68" s="71"/>
      <c r="H68" s="71"/>
      <c r="I68" s="71"/>
      <c r="J68" s="71"/>
      <c r="K68" s="71"/>
      <c r="L68" s="71"/>
      <c r="M68" s="71"/>
    </row>
    <row r="69" spans="1:13">
      <c r="A69" s="66"/>
      <c r="B69" s="96"/>
      <c r="C69" s="66" t="s">
        <v>4</v>
      </c>
      <c r="D69" s="66"/>
      <c r="E69" s="67"/>
      <c r="F69" s="67"/>
      <c r="G69" s="67"/>
      <c r="H69" s="67"/>
      <c r="I69" s="67"/>
      <c r="J69" s="67"/>
      <c r="K69" s="67"/>
      <c r="L69" s="67"/>
      <c r="M69" s="67"/>
    </row>
    <row r="70" spans="1:13">
      <c r="A70" s="66"/>
      <c r="B70" s="69"/>
      <c r="C70" s="68"/>
      <c r="D70" s="68"/>
      <c r="E70" s="71"/>
      <c r="F70" s="71"/>
      <c r="G70" s="71"/>
      <c r="H70" s="71"/>
      <c r="I70" s="71"/>
      <c r="J70" s="71"/>
      <c r="K70" s="71"/>
      <c r="L70" s="71"/>
      <c r="M70" s="71"/>
    </row>
    <row r="71" spans="1:13">
      <c r="A71" s="66"/>
      <c r="B71" s="69"/>
      <c r="C71" s="68" t="s">
        <v>10</v>
      </c>
      <c r="D71" s="84">
        <v>0.1</v>
      </c>
      <c r="E71" s="71"/>
      <c r="F71" s="71"/>
      <c r="G71" s="71"/>
      <c r="H71" s="71"/>
      <c r="I71" s="71"/>
      <c r="J71" s="71"/>
      <c r="K71" s="71"/>
      <c r="L71" s="71"/>
      <c r="M71" s="71"/>
    </row>
    <row r="72" spans="1:13">
      <c r="A72" s="66"/>
      <c r="B72" s="69"/>
      <c r="C72" s="68" t="s">
        <v>4</v>
      </c>
      <c r="D72" s="84"/>
      <c r="E72" s="71"/>
      <c r="F72" s="71"/>
      <c r="G72" s="71"/>
      <c r="H72" s="71"/>
      <c r="I72" s="71"/>
      <c r="J72" s="71"/>
      <c r="K72" s="71"/>
      <c r="L72" s="71"/>
      <c r="M72" s="71"/>
    </row>
    <row r="73" spans="1:13">
      <c r="A73" s="66"/>
      <c r="B73" s="69"/>
      <c r="C73" s="68" t="s">
        <v>11</v>
      </c>
      <c r="D73" s="84">
        <v>0.08</v>
      </c>
      <c r="E73" s="71"/>
      <c r="F73" s="71"/>
      <c r="G73" s="71"/>
      <c r="H73" s="71"/>
      <c r="I73" s="71"/>
      <c r="J73" s="71"/>
      <c r="K73" s="71"/>
      <c r="L73" s="71"/>
      <c r="M73" s="71"/>
    </row>
    <row r="74" spans="1:13">
      <c r="A74" s="66"/>
      <c r="B74" s="69"/>
      <c r="C74" s="68"/>
      <c r="D74" s="84"/>
      <c r="E74" s="71"/>
      <c r="F74" s="71"/>
      <c r="G74" s="71"/>
      <c r="H74" s="71"/>
      <c r="I74" s="71"/>
      <c r="J74" s="71"/>
      <c r="K74" s="71"/>
      <c r="L74" s="71"/>
      <c r="M74" s="71"/>
    </row>
    <row r="75" spans="1:13">
      <c r="A75" s="66"/>
      <c r="B75" s="96"/>
      <c r="C75" s="66" t="s">
        <v>4</v>
      </c>
      <c r="D75" s="66"/>
      <c r="E75" s="67"/>
      <c r="F75" s="67"/>
      <c r="G75" s="67"/>
      <c r="H75" s="67"/>
      <c r="I75" s="67"/>
      <c r="J75" s="67"/>
      <c r="K75" s="67"/>
      <c r="L75" s="67"/>
      <c r="M75" s="67"/>
    </row>
    <row r="76" spans="1:13">
      <c r="A76" s="132"/>
      <c r="B76" s="122"/>
      <c r="C76" s="123"/>
      <c r="D76" s="122"/>
      <c r="E76" s="122"/>
      <c r="F76" s="122"/>
      <c r="G76" s="122"/>
      <c r="H76" s="122"/>
      <c r="I76" s="122"/>
      <c r="J76" s="122"/>
      <c r="K76" s="122"/>
      <c r="L76" s="122"/>
      <c r="M76" s="124"/>
    </row>
    <row r="77" spans="1:13">
      <c r="A77" s="132"/>
      <c r="B77" s="122"/>
      <c r="C77" s="123"/>
      <c r="D77" s="122"/>
      <c r="E77" s="122"/>
      <c r="F77" s="122"/>
      <c r="G77" s="122"/>
      <c r="H77" s="122"/>
      <c r="I77" s="122"/>
      <c r="J77" s="122"/>
      <c r="K77" s="122"/>
      <c r="L77" s="122"/>
      <c r="M77" s="124"/>
    </row>
    <row r="78" spans="1:13">
      <c r="A78" s="132"/>
      <c r="B78" s="122"/>
      <c r="C78" s="123"/>
      <c r="D78" s="122"/>
      <c r="E78" s="122"/>
      <c r="F78" s="122"/>
      <c r="G78" s="122"/>
      <c r="H78" s="122"/>
      <c r="I78" s="122"/>
      <c r="J78" s="122"/>
      <c r="K78" s="122"/>
      <c r="L78" s="122"/>
      <c r="M78" s="124"/>
    </row>
    <row r="79" spans="1:13">
      <c r="B79" s="57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8"/>
    </row>
    <row r="80" spans="1:13">
      <c r="B80" s="57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2:13">
      <c r="B81" s="57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8"/>
    </row>
    <row r="82" spans="2:13">
      <c r="B82" s="57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2:13">
      <c r="B83" s="57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8"/>
    </row>
    <row r="84" spans="2:13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9"/>
    </row>
    <row r="85" spans="2:13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</row>
    <row r="86" spans="2:13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9"/>
    </row>
    <row r="87" spans="2:13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9"/>
    </row>
    <row r="88" spans="2:13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9"/>
    </row>
    <row r="89" spans="2:13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9"/>
    </row>
    <row r="90" spans="2:13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9"/>
    </row>
    <row r="91" spans="2:13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9"/>
    </row>
    <row r="92" spans="2:13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9"/>
    </row>
    <row r="93" spans="2:13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9"/>
    </row>
    <row r="94" spans="2:13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9"/>
    </row>
    <row r="95" spans="2:13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9"/>
    </row>
    <row r="96" spans="2:13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N110"/>
  <sheetViews>
    <sheetView view="pageBreakPreview" topLeftCell="A49" zoomScaleNormal="60" zoomScaleSheetLayoutView="100" workbookViewId="0">
      <selection activeCell="A17" sqref="A17:XFD19"/>
    </sheetView>
  </sheetViews>
  <sheetFormatPr defaultRowHeight="12.75"/>
  <cols>
    <col min="1" max="1" width="5.28515625" style="55" bestFit="1" customWidth="1"/>
    <col min="2" max="2" width="13.85546875" style="55" customWidth="1"/>
    <col min="3" max="3" width="64.140625" style="55" customWidth="1"/>
    <col min="4" max="4" width="9.5703125" style="55" customWidth="1"/>
    <col min="5" max="12" width="10.140625" style="55" customWidth="1"/>
    <col min="13" max="13" width="10.5703125" style="60" customWidth="1"/>
    <col min="14" max="14" width="8.7109375" style="52" bestFit="1" customWidth="1"/>
    <col min="15" max="16" width="20.7109375" style="52" customWidth="1"/>
    <col min="17" max="16384" width="9.140625" style="52"/>
  </cols>
  <sheetData>
    <row r="1" spans="1:13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3" customFormat="1" ht="25.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3" s="43" customFormat="1" ht="12.7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3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3" s="43" customFormat="1">
      <c r="A7" s="66"/>
      <c r="B7" s="68"/>
      <c r="C7" s="88" t="s">
        <v>306</v>
      </c>
      <c r="D7" s="68"/>
      <c r="E7" s="71"/>
      <c r="F7" s="71"/>
      <c r="G7" s="71"/>
      <c r="H7" s="71"/>
      <c r="I7" s="71"/>
      <c r="J7" s="71"/>
      <c r="K7" s="71"/>
      <c r="L7" s="71"/>
      <c r="M7" s="71"/>
    </row>
    <row r="8" spans="1:13">
      <c r="A8" s="66"/>
      <c r="B8" s="68"/>
      <c r="C8" s="88"/>
      <c r="D8" s="68"/>
      <c r="E8" s="71"/>
      <c r="F8" s="71"/>
      <c r="G8" s="71"/>
      <c r="H8" s="71"/>
      <c r="I8" s="71"/>
      <c r="J8" s="71"/>
      <c r="K8" s="71"/>
      <c r="L8" s="71"/>
      <c r="M8" s="71"/>
    </row>
    <row r="9" spans="1:13" ht="25.5">
      <c r="A9" s="68">
        <v>1.1000000000000001</v>
      </c>
      <c r="B9" s="74" t="s">
        <v>364</v>
      </c>
      <c r="C9" s="70" t="s">
        <v>277</v>
      </c>
      <c r="D9" s="91" t="s">
        <v>365</v>
      </c>
      <c r="E9" s="71"/>
      <c r="F9" s="76">
        <v>199</v>
      </c>
      <c r="G9" s="71"/>
      <c r="H9" s="71"/>
      <c r="I9" s="71"/>
      <c r="J9" s="71"/>
      <c r="K9" s="71"/>
      <c r="L9" s="71"/>
      <c r="M9" s="71"/>
    </row>
    <row r="10" spans="1:13">
      <c r="A10" s="68"/>
      <c r="B10" s="69"/>
      <c r="C10" s="75"/>
      <c r="D10" s="68" t="s">
        <v>366</v>
      </c>
      <c r="E10" s="71"/>
      <c r="F10" s="71">
        <f>F9/100</f>
        <v>1.99</v>
      </c>
      <c r="G10" s="71"/>
      <c r="H10" s="71"/>
      <c r="I10" s="71"/>
      <c r="J10" s="71"/>
      <c r="K10" s="71"/>
      <c r="L10" s="71"/>
      <c r="M10" s="71"/>
    </row>
    <row r="11" spans="1:13">
      <c r="A11" s="68" t="s">
        <v>0</v>
      </c>
      <c r="B11" s="69"/>
      <c r="C11" s="75" t="s">
        <v>15</v>
      </c>
      <c r="D11" s="68" t="s">
        <v>1</v>
      </c>
      <c r="E11" s="71">
        <v>15</v>
      </c>
      <c r="F11" s="71">
        <f>E11*F10</f>
        <v>29.85</v>
      </c>
      <c r="G11" s="71"/>
      <c r="H11" s="71"/>
      <c r="I11" s="71"/>
      <c r="J11" s="71"/>
      <c r="K11" s="71"/>
      <c r="L11" s="71"/>
      <c r="M11" s="71"/>
    </row>
    <row r="12" spans="1:13">
      <c r="A12" s="68" t="s">
        <v>209</v>
      </c>
      <c r="B12" s="74" t="s">
        <v>363</v>
      </c>
      <c r="C12" s="75" t="s">
        <v>74</v>
      </c>
      <c r="D12" s="68" t="s">
        <v>24</v>
      </c>
      <c r="E12" s="71">
        <v>2.16</v>
      </c>
      <c r="F12" s="71">
        <f>E12*F10</f>
        <v>4.2984</v>
      </c>
      <c r="G12" s="71"/>
      <c r="H12" s="71"/>
      <c r="I12" s="71"/>
      <c r="J12" s="71"/>
      <c r="K12" s="71"/>
      <c r="L12" s="71"/>
      <c r="M12" s="71"/>
    </row>
    <row r="13" spans="1:13">
      <c r="A13" s="68" t="s">
        <v>210</v>
      </c>
      <c r="B13" s="74" t="s">
        <v>367</v>
      </c>
      <c r="C13" s="75" t="s">
        <v>90</v>
      </c>
      <c r="D13" s="68" t="s">
        <v>24</v>
      </c>
      <c r="E13" s="71">
        <v>2.73</v>
      </c>
      <c r="F13" s="71">
        <f>E13*F10</f>
        <v>5.4326999999999996</v>
      </c>
      <c r="G13" s="71"/>
      <c r="H13" s="71"/>
      <c r="I13" s="71"/>
      <c r="J13" s="71"/>
      <c r="K13" s="71"/>
      <c r="L13" s="71"/>
      <c r="M13" s="71"/>
    </row>
    <row r="14" spans="1:13">
      <c r="A14" s="68" t="s">
        <v>211</v>
      </c>
      <c r="B14" s="74" t="s">
        <v>368</v>
      </c>
      <c r="C14" s="75" t="s">
        <v>75</v>
      </c>
      <c r="D14" s="68" t="s">
        <v>24</v>
      </c>
      <c r="E14" s="71">
        <v>0.97</v>
      </c>
      <c r="F14" s="71">
        <f>E14*F10</f>
        <v>1.9302999999999999</v>
      </c>
      <c r="G14" s="71"/>
      <c r="H14" s="71"/>
      <c r="I14" s="71"/>
      <c r="J14" s="71"/>
      <c r="K14" s="71"/>
      <c r="L14" s="71"/>
      <c r="M14" s="71"/>
    </row>
    <row r="15" spans="1:13">
      <c r="A15" s="68" t="s">
        <v>216</v>
      </c>
      <c r="B15" s="69"/>
      <c r="C15" s="75" t="s">
        <v>76</v>
      </c>
      <c r="D15" s="68" t="s">
        <v>365</v>
      </c>
      <c r="E15" s="71">
        <v>7</v>
      </c>
      <c r="F15" s="71">
        <f>E15*F10</f>
        <v>13.93</v>
      </c>
      <c r="G15" s="71"/>
      <c r="H15" s="71"/>
      <c r="I15" s="71"/>
      <c r="J15" s="71"/>
      <c r="K15" s="71"/>
      <c r="L15" s="71"/>
      <c r="M15" s="71"/>
    </row>
    <row r="16" spans="1:13">
      <c r="A16" s="68" t="s">
        <v>217</v>
      </c>
      <c r="B16" s="74" t="s">
        <v>404</v>
      </c>
      <c r="C16" s="70" t="s">
        <v>405</v>
      </c>
      <c r="D16" s="68" t="s">
        <v>365</v>
      </c>
      <c r="E16" s="71">
        <v>122</v>
      </c>
      <c r="F16" s="71">
        <f>E16*F10</f>
        <v>242.78</v>
      </c>
      <c r="G16" s="71"/>
      <c r="H16" s="71"/>
      <c r="I16" s="71"/>
      <c r="J16" s="71"/>
      <c r="K16" s="71"/>
      <c r="L16" s="71"/>
      <c r="M16" s="71"/>
    </row>
    <row r="17" spans="1:13">
      <c r="A17" s="68"/>
      <c r="B17" s="69"/>
      <c r="C17" s="70"/>
      <c r="D17" s="68"/>
      <c r="E17" s="71"/>
      <c r="F17" s="71"/>
      <c r="G17" s="71"/>
      <c r="H17" s="71"/>
      <c r="I17" s="71"/>
      <c r="J17" s="71"/>
      <c r="K17" s="71"/>
      <c r="L17" s="71"/>
      <c r="M17" s="71"/>
    </row>
    <row r="18" spans="1:13">
      <c r="A18" s="68">
        <v>1.2</v>
      </c>
      <c r="B18" s="69" t="s">
        <v>88</v>
      </c>
      <c r="C18" s="70" t="s">
        <v>87</v>
      </c>
      <c r="D18" s="68" t="s">
        <v>23</v>
      </c>
      <c r="E18" s="71"/>
      <c r="F18" s="71">
        <v>0.56000000000000005</v>
      </c>
      <c r="G18" s="71"/>
      <c r="H18" s="71"/>
      <c r="I18" s="71"/>
      <c r="J18" s="71"/>
      <c r="K18" s="71"/>
      <c r="L18" s="71"/>
      <c r="M18" s="71"/>
    </row>
    <row r="19" spans="1:13">
      <c r="A19" s="68"/>
      <c r="B19" s="69"/>
      <c r="C19" s="70"/>
      <c r="D19" s="68" t="s">
        <v>112</v>
      </c>
      <c r="E19" s="71"/>
      <c r="F19" s="71">
        <f>F18</f>
        <v>0.56000000000000005</v>
      </c>
      <c r="G19" s="71"/>
      <c r="H19" s="71"/>
      <c r="I19" s="71"/>
      <c r="J19" s="71"/>
      <c r="K19" s="71"/>
      <c r="L19" s="71"/>
      <c r="M19" s="71"/>
    </row>
    <row r="20" spans="1:13">
      <c r="A20" s="68" t="s">
        <v>21</v>
      </c>
      <c r="B20" s="74" t="s">
        <v>377</v>
      </c>
      <c r="C20" s="70" t="s">
        <v>89</v>
      </c>
      <c r="D20" s="68" t="s">
        <v>24</v>
      </c>
      <c r="E20" s="76">
        <v>0.3</v>
      </c>
      <c r="F20" s="71">
        <f>ROUND(E20*F19,1)</f>
        <v>0.2</v>
      </c>
      <c r="G20" s="71"/>
      <c r="H20" s="71"/>
      <c r="I20" s="71"/>
      <c r="J20" s="71"/>
      <c r="K20" s="76"/>
      <c r="L20" s="71"/>
      <c r="M20" s="71"/>
    </row>
    <row r="21" spans="1:13">
      <c r="A21" s="68" t="s">
        <v>35</v>
      </c>
      <c r="B21" s="74" t="s">
        <v>378</v>
      </c>
      <c r="C21" s="77" t="s">
        <v>94</v>
      </c>
      <c r="D21" s="68" t="s">
        <v>23</v>
      </c>
      <c r="E21" s="71">
        <v>1.03</v>
      </c>
      <c r="F21" s="71">
        <f>ROUND(E21*F19,2)</f>
        <v>0.57999999999999996</v>
      </c>
      <c r="G21" s="76"/>
      <c r="H21" s="71"/>
      <c r="I21" s="71"/>
      <c r="J21" s="71"/>
      <c r="K21" s="71"/>
      <c r="L21" s="71"/>
      <c r="M21" s="71"/>
    </row>
    <row r="22" spans="1:13">
      <c r="A22" s="68"/>
      <c r="B22" s="69"/>
      <c r="C22" s="70"/>
      <c r="D22" s="68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5.5">
      <c r="A23" s="68">
        <v>1.3</v>
      </c>
      <c r="B23" s="78" t="s">
        <v>379</v>
      </c>
      <c r="C23" s="70" t="s">
        <v>406</v>
      </c>
      <c r="D23" s="68" t="s">
        <v>361</v>
      </c>
      <c r="E23" s="71"/>
      <c r="F23" s="71">
        <v>941</v>
      </c>
      <c r="G23" s="71"/>
      <c r="H23" s="71"/>
      <c r="I23" s="71"/>
      <c r="J23" s="71"/>
      <c r="K23" s="71"/>
      <c r="L23" s="71"/>
      <c r="M23" s="71"/>
    </row>
    <row r="24" spans="1:13">
      <c r="A24" s="68"/>
      <c r="B24" s="78"/>
      <c r="C24" s="70"/>
      <c r="D24" s="68" t="s">
        <v>371</v>
      </c>
      <c r="E24" s="71"/>
      <c r="F24" s="73">
        <v>0.90300000000000002</v>
      </c>
      <c r="G24" s="71"/>
      <c r="H24" s="71"/>
      <c r="I24" s="71"/>
      <c r="J24" s="71"/>
      <c r="K24" s="71"/>
      <c r="L24" s="71"/>
      <c r="M24" s="71"/>
    </row>
    <row r="25" spans="1:13">
      <c r="A25" s="68" t="s">
        <v>30</v>
      </c>
      <c r="B25" s="78"/>
      <c r="C25" s="70" t="s">
        <v>15</v>
      </c>
      <c r="D25" s="68" t="s">
        <v>1</v>
      </c>
      <c r="E25" s="81">
        <f>37.5+4*0.07</f>
        <v>37.78</v>
      </c>
      <c r="F25" s="71">
        <f>E25*F24</f>
        <v>34.115340000000003</v>
      </c>
      <c r="G25" s="71"/>
      <c r="H25" s="71"/>
      <c r="I25" s="71"/>
      <c r="J25" s="71"/>
      <c r="K25" s="71"/>
      <c r="L25" s="71"/>
      <c r="M25" s="71"/>
    </row>
    <row r="26" spans="1:13">
      <c r="A26" s="68" t="s">
        <v>45</v>
      </c>
      <c r="B26" s="80" t="s">
        <v>373</v>
      </c>
      <c r="C26" s="70" t="s">
        <v>91</v>
      </c>
      <c r="D26" s="68" t="s">
        <v>24</v>
      </c>
      <c r="E26" s="81">
        <v>3.7</v>
      </c>
      <c r="F26" s="71">
        <f>E26*F24</f>
        <v>3.3411000000000004</v>
      </c>
      <c r="G26" s="71"/>
      <c r="H26" s="71"/>
      <c r="I26" s="71"/>
      <c r="J26" s="71"/>
      <c r="K26" s="76"/>
      <c r="L26" s="71"/>
      <c r="M26" s="71"/>
    </row>
    <row r="27" spans="1:13">
      <c r="A27" s="68" t="s">
        <v>46</v>
      </c>
      <c r="B27" s="80" t="s">
        <v>374</v>
      </c>
      <c r="C27" s="70" t="s">
        <v>92</v>
      </c>
      <c r="D27" s="68" t="s">
        <v>24</v>
      </c>
      <c r="E27" s="81">
        <v>11.1</v>
      </c>
      <c r="F27" s="71">
        <f>E27*F24</f>
        <v>10.023300000000001</v>
      </c>
      <c r="G27" s="71"/>
      <c r="H27" s="71"/>
      <c r="I27" s="71"/>
      <c r="J27" s="71"/>
      <c r="K27" s="76"/>
      <c r="L27" s="71"/>
      <c r="M27" s="71"/>
    </row>
    <row r="28" spans="1:13">
      <c r="A28" s="68" t="s">
        <v>47</v>
      </c>
      <c r="B28" s="80" t="s">
        <v>380</v>
      </c>
      <c r="C28" s="70" t="s">
        <v>95</v>
      </c>
      <c r="D28" s="68" t="s">
        <v>24</v>
      </c>
      <c r="E28" s="81">
        <v>3.02</v>
      </c>
      <c r="F28" s="71">
        <f>E28*F24</f>
        <v>2.7270600000000003</v>
      </c>
      <c r="G28" s="71"/>
      <c r="H28" s="71"/>
      <c r="I28" s="71"/>
      <c r="J28" s="71"/>
      <c r="K28" s="76"/>
      <c r="L28" s="71"/>
      <c r="M28" s="71"/>
    </row>
    <row r="29" spans="1:13">
      <c r="A29" s="68" t="s">
        <v>225</v>
      </c>
      <c r="B29" s="78"/>
      <c r="C29" s="70" t="s">
        <v>13</v>
      </c>
      <c r="D29" s="68" t="s">
        <v>25</v>
      </c>
      <c r="E29" s="81">
        <v>2.2999999999999998</v>
      </c>
      <c r="F29" s="71">
        <f>E29*F24</f>
        <v>2.0768999999999997</v>
      </c>
      <c r="G29" s="71"/>
      <c r="H29" s="71"/>
      <c r="I29" s="71"/>
      <c r="J29" s="71"/>
      <c r="K29" s="71"/>
      <c r="L29" s="71"/>
      <c r="M29" s="71"/>
    </row>
    <row r="30" spans="1:13">
      <c r="A30" s="68" t="s">
        <v>226</v>
      </c>
      <c r="B30" s="80" t="s">
        <v>381</v>
      </c>
      <c r="C30" s="70" t="s">
        <v>382</v>
      </c>
      <c r="D30" s="68" t="s">
        <v>23</v>
      </c>
      <c r="E30" s="79">
        <f>97.4+4*12.1</f>
        <v>145.80000000000001</v>
      </c>
      <c r="F30" s="71">
        <f>E30*F24</f>
        <v>131.65740000000002</v>
      </c>
      <c r="G30" s="76"/>
      <c r="H30" s="71"/>
      <c r="I30" s="71"/>
      <c r="J30" s="71"/>
      <c r="K30" s="71"/>
      <c r="L30" s="71"/>
      <c r="M30" s="71"/>
    </row>
    <row r="31" spans="1:13">
      <c r="A31" s="68" t="s">
        <v>227</v>
      </c>
      <c r="B31" s="78"/>
      <c r="C31" s="70" t="s">
        <v>14</v>
      </c>
      <c r="D31" s="68" t="s">
        <v>25</v>
      </c>
      <c r="E31" s="81">
        <f>14.5+4*0.2</f>
        <v>15.3</v>
      </c>
      <c r="F31" s="71">
        <f>E31*F24</f>
        <v>13.815900000000001</v>
      </c>
      <c r="G31" s="71"/>
      <c r="H31" s="71"/>
      <c r="I31" s="71"/>
      <c r="J31" s="71"/>
      <c r="K31" s="71"/>
      <c r="L31" s="71"/>
      <c r="M31" s="71"/>
    </row>
    <row r="32" spans="1:13">
      <c r="A32" s="68"/>
      <c r="B32" s="78"/>
      <c r="C32" s="70"/>
      <c r="D32" s="68"/>
      <c r="E32" s="71"/>
      <c r="F32" s="71"/>
      <c r="G32" s="71"/>
      <c r="H32" s="71"/>
      <c r="I32" s="71"/>
      <c r="J32" s="71"/>
      <c r="K32" s="71"/>
      <c r="L32" s="71"/>
      <c r="M32" s="71"/>
    </row>
    <row r="33" spans="1:14">
      <c r="A33" s="68">
        <v>1.4</v>
      </c>
      <c r="B33" s="69" t="s">
        <v>88</v>
      </c>
      <c r="C33" s="70" t="s">
        <v>87</v>
      </c>
      <c r="D33" s="68" t="s">
        <v>23</v>
      </c>
      <c r="E33" s="71"/>
      <c r="F33" s="71">
        <v>0.28000000000000003</v>
      </c>
      <c r="G33" s="71"/>
      <c r="H33" s="71"/>
      <c r="I33" s="71"/>
      <c r="J33" s="71"/>
      <c r="K33" s="71"/>
      <c r="L33" s="71"/>
      <c r="M33" s="71"/>
    </row>
    <row r="34" spans="1:14">
      <c r="A34" s="68"/>
      <c r="B34" s="69"/>
      <c r="C34" s="70"/>
      <c r="D34" s="68" t="s">
        <v>112</v>
      </c>
      <c r="E34" s="71"/>
      <c r="F34" s="71">
        <f>F33</f>
        <v>0.28000000000000003</v>
      </c>
      <c r="G34" s="71"/>
      <c r="H34" s="71"/>
      <c r="I34" s="71"/>
      <c r="J34" s="71"/>
      <c r="K34" s="71"/>
      <c r="L34" s="71"/>
      <c r="M34" s="71"/>
    </row>
    <row r="35" spans="1:14">
      <c r="A35" s="68" t="s">
        <v>22</v>
      </c>
      <c r="B35" s="74" t="s">
        <v>377</v>
      </c>
      <c r="C35" s="70" t="s">
        <v>89</v>
      </c>
      <c r="D35" s="68" t="s">
        <v>24</v>
      </c>
      <c r="E35" s="76">
        <v>0.3</v>
      </c>
      <c r="F35" s="71">
        <f>ROUND(E35*F34,1)</f>
        <v>0.1</v>
      </c>
      <c r="G35" s="71"/>
      <c r="H35" s="71"/>
      <c r="I35" s="71"/>
      <c r="J35" s="71"/>
      <c r="K35" s="76"/>
      <c r="L35" s="71"/>
      <c r="M35" s="71"/>
    </row>
    <row r="36" spans="1:14">
      <c r="A36" s="68" t="s">
        <v>245</v>
      </c>
      <c r="B36" s="74" t="s">
        <v>378</v>
      </c>
      <c r="C36" s="77" t="s">
        <v>94</v>
      </c>
      <c r="D36" s="68" t="s">
        <v>23</v>
      </c>
      <c r="E36" s="71">
        <v>1.03</v>
      </c>
      <c r="F36" s="71">
        <f>ROUND(E36*F34,2)</f>
        <v>0.28999999999999998</v>
      </c>
      <c r="G36" s="76"/>
      <c r="H36" s="71"/>
      <c r="I36" s="71"/>
      <c r="J36" s="71"/>
      <c r="K36" s="71"/>
      <c r="L36" s="71"/>
      <c r="M36" s="71"/>
    </row>
    <row r="37" spans="1:14">
      <c r="A37" s="68"/>
      <c r="B37" s="69"/>
      <c r="C37" s="70"/>
      <c r="D37" s="68"/>
      <c r="E37" s="71"/>
      <c r="F37" s="71"/>
      <c r="G37" s="71"/>
      <c r="H37" s="71"/>
      <c r="I37" s="71"/>
      <c r="J37" s="71"/>
      <c r="K37" s="71"/>
      <c r="L37" s="71"/>
      <c r="M37" s="71"/>
      <c r="N37" s="51" t="s">
        <v>60</v>
      </c>
    </row>
    <row r="38" spans="1:14" ht="25.5">
      <c r="A38" s="68">
        <v>1.5</v>
      </c>
      <c r="B38" s="78" t="s">
        <v>379</v>
      </c>
      <c r="C38" s="70" t="s">
        <v>407</v>
      </c>
      <c r="D38" s="68" t="s">
        <v>361</v>
      </c>
      <c r="E38" s="71"/>
      <c r="F38" s="71">
        <f>F23</f>
        <v>941</v>
      </c>
      <c r="G38" s="71"/>
      <c r="H38" s="71"/>
      <c r="I38" s="71"/>
      <c r="J38" s="71"/>
      <c r="K38" s="71"/>
      <c r="L38" s="71"/>
      <c r="M38" s="71"/>
    </row>
    <row r="39" spans="1:14">
      <c r="A39" s="68"/>
      <c r="B39" s="78"/>
      <c r="C39" s="70"/>
      <c r="D39" s="68" t="s">
        <v>383</v>
      </c>
      <c r="E39" s="71"/>
      <c r="F39" s="73">
        <f>F24</f>
        <v>0.90300000000000002</v>
      </c>
      <c r="G39" s="71"/>
      <c r="H39" s="71"/>
      <c r="I39" s="71"/>
      <c r="J39" s="71"/>
      <c r="K39" s="71"/>
      <c r="L39" s="71"/>
      <c r="M39" s="71"/>
    </row>
    <row r="40" spans="1:14">
      <c r="A40" s="68" t="s">
        <v>212</v>
      </c>
      <c r="B40" s="78"/>
      <c r="C40" s="70" t="s">
        <v>15</v>
      </c>
      <c r="D40" s="68" t="s">
        <v>1</v>
      </c>
      <c r="E40" s="81">
        <f>37.5-2*0.07</f>
        <v>37.36</v>
      </c>
      <c r="F40" s="71">
        <f>E40*F39</f>
        <v>33.736080000000001</v>
      </c>
      <c r="G40" s="71"/>
      <c r="H40" s="71"/>
      <c r="I40" s="71"/>
      <c r="J40" s="71"/>
      <c r="K40" s="71"/>
      <c r="L40" s="71"/>
      <c r="M40" s="71"/>
    </row>
    <row r="41" spans="1:14">
      <c r="A41" s="68" t="s">
        <v>213</v>
      </c>
      <c r="B41" s="80" t="s">
        <v>373</v>
      </c>
      <c r="C41" s="70" t="s">
        <v>91</v>
      </c>
      <c r="D41" s="68" t="s">
        <v>24</v>
      </c>
      <c r="E41" s="81">
        <v>3.7</v>
      </c>
      <c r="F41" s="71">
        <f>E41*F39</f>
        <v>3.3411000000000004</v>
      </c>
      <c r="G41" s="71"/>
      <c r="H41" s="71"/>
      <c r="I41" s="71"/>
      <c r="J41" s="71"/>
      <c r="K41" s="76"/>
      <c r="L41" s="71"/>
      <c r="M41" s="71"/>
    </row>
    <row r="42" spans="1:14">
      <c r="A42" s="68" t="s">
        <v>214</v>
      </c>
      <c r="B42" s="80" t="s">
        <v>374</v>
      </c>
      <c r="C42" s="70" t="s">
        <v>92</v>
      </c>
      <c r="D42" s="68" t="s">
        <v>24</v>
      </c>
      <c r="E42" s="81">
        <v>11.1</v>
      </c>
      <c r="F42" s="71">
        <f>E42*F39</f>
        <v>10.023300000000001</v>
      </c>
      <c r="G42" s="71"/>
      <c r="H42" s="71"/>
      <c r="I42" s="71"/>
      <c r="J42" s="71"/>
      <c r="K42" s="76"/>
      <c r="L42" s="71"/>
      <c r="M42" s="71"/>
    </row>
    <row r="43" spans="1:14">
      <c r="A43" s="68" t="s">
        <v>215</v>
      </c>
      <c r="B43" s="80" t="s">
        <v>380</v>
      </c>
      <c r="C43" s="70" t="s">
        <v>95</v>
      </c>
      <c r="D43" s="68" t="s">
        <v>24</v>
      </c>
      <c r="E43" s="81">
        <v>3.02</v>
      </c>
      <c r="F43" s="71">
        <f>E43*F39</f>
        <v>2.7270600000000003</v>
      </c>
      <c r="G43" s="71"/>
      <c r="H43" s="71"/>
      <c r="I43" s="71"/>
      <c r="J43" s="71"/>
      <c r="K43" s="76"/>
      <c r="L43" s="71"/>
      <c r="M43" s="71"/>
    </row>
    <row r="44" spans="1:14" s="54" customFormat="1">
      <c r="A44" s="68" t="s">
        <v>228</v>
      </c>
      <c r="B44" s="78"/>
      <c r="C44" s="70" t="s">
        <v>13</v>
      </c>
      <c r="D44" s="68" t="s">
        <v>25</v>
      </c>
      <c r="E44" s="81">
        <v>2.2999999999999998</v>
      </c>
      <c r="F44" s="71">
        <f>E44*F39</f>
        <v>2.0768999999999997</v>
      </c>
      <c r="G44" s="71"/>
      <c r="H44" s="71"/>
      <c r="I44" s="71"/>
      <c r="J44" s="71"/>
      <c r="K44" s="71"/>
      <c r="L44" s="71"/>
      <c r="M44" s="71"/>
    </row>
    <row r="45" spans="1:14" s="54" customFormat="1">
      <c r="A45" s="68" t="s">
        <v>229</v>
      </c>
      <c r="B45" s="80" t="s">
        <v>384</v>
      </c>
      <c r="C45" s="70" t="s">
        <v>279</v>
      </c>
      <c r="D45" s="68" t="s">
        <v>23</v>
      </c>
      <c r="E45" s="79">
        <f>97.4-2*12.1</f>
        <v>73.2</v>
      </c>
      <c r="F45" s="71">
        <f>E45*F39</f>
        <v>66.099600000000009</v>
      </c>
      <c r="G45" s="71"/>
      <c r="H45" s="71"/>
      <c r="I45" s="71"/>
      <c r="J45" s="71"/>
      <c r="K45" s="71"/>
      <c r="L45" s="71"/>
      <c r="M45" s="71"/>
    </row>
    <row r="46" spans="1:14" s="54" customFormat="1">
      <c r="A46" s="68" t="s">
        <v>254</v>
      </c>
      <c r="B46" s="78"/>
      <c r="C46" s="70" t="s">
        <v>14</v>
      </c>
      <c r="D46" s="68" t="s">
        <v>25</v>
      </c>
      <c r="E46" s="81">
        <f>14.5-2*0.2</f>
        <v>14.1</v>
      </c>
      <c r="F46" s="71">
        <f>E46*F39</f>
        <v>12.7323</v>
      </c>
      <c r="G46" s="71"/>
      <c r="H46" s="71"/>
      <c r="I46" s="71"/>
      <c r="J46" s="71"/>
      <c r="K46" s="71"/>
      <c r="L46" s="71"/>
      <c r="M46" s="71"/>
    </row>
    <row r="47" spans="1:14" s="54" customFormat="1">
      <c r="A47" s="68"/>
      <c r="B47" s="78"/>
      <c r="C47" s="70"/>
      <c r="D47" s="68"/>
      <c r="E47" s="71"/>
      <c r="F47" s="71"/>
      <c r="G47" s="71"/>
      <c r="H47" s="71"/>
      <c r="I47" s="71"/>
      <c r="J47" s="71"/>
      <c r="K47" s="71"/>
      <c r="L47" s="71"/>
      <c r="M47" s="71"/>
    </row>
    <row r="48" spans="1:14">
      <c r="A48" s="68">
        <v>1.6</v>
      </c>
      <c r="B48" s="74" t="s">
        <v>364</v>
      </c>
      <c r="C48" s="70" t="s">
        <v>408</v>
      </c>
      <c r="D48" s="91" t="s">
        <v>365</v>
      </c>
      <c r="E48" s="71"/>
      <c r="F48" s="76">
        <v>24</v>
      </c>
      <c r="G48" s="71"/>
      <c r="H48" s="71"/>
      <c r="I48" s="71"/>
      <c r="J48" s="71"/>
      <c r="K48" s="71"/>
      <c r="L48" s="71"/>
      <c r="M48" s="71"/>
    </row>
    <row r="49" spans="1:13">
      <c r="A49" s="68"/>
      <c r="B49" s="69"/>
      <c r="C49" s="75"/>
      <c r="D49" s="68" t="s">
        <v>366</v>
      </c>
      <c r="E49" s="71"/>
      <c r="F49" s="71">
        <f>F48/100</f>
        <v>0.24</v>
      </c>
      <c r="G49" s="71"/>
      <c r="H49" s="71"/>
      <c r="I49" s="71"/>
      <c r="J49" s="71"/>
      <c r="K49" s="71"/>
      <c r="L49" s="71"/>
      <c r="M49" s="71"/>
    </row>
    <row r="50" spans="1:13">
      <c r="A50" s="68" t="s">
        <v>61</v>
      </c>
      <c r="B50" s="69"/>
      <c r="C50" s="75" t="s">
        <v>15</v>
      </c>
      <c r="D50" s="68" t="s">
        <v>1</v>
      </c>
      <c r="E50" s="71">
        <v>15</v>
      </c>
      <c r="F50" s="71">
        <f>E50*F49</f>
        <v>3.5999999999999996</v>
      </c>
      <c r="G50" s="71"/>
      <c r="H50" s="71"/>
      <c r="I50" s="71"/>
      <c r="J50" s="71"/>
      <c r="K50" s="71"/>
      <c r="L50" s="71"/>
      <c r="M50" s="71"/>
    </row>
    <row r="51" spans="1:13">
      <c r="A51" s="68" t="s">
        <v>62</v>
      </c>
      <c r="B51" s="74" t="s">
        <v>363</v>
      </c>
      <c r="C51" s="75" t="s">
        <v>74</v>
      </c>
      <c r="D51" s="68" t="s">
        <v>24</v>
      </c>
      <c r="E51" s="71">
        <v>2.16</v>
      </c>
      <c r="F51" s="71">
        <f>E51*F49</f>
        <v>0.51839999999999997</v>
      </c>
      <c r="G51" s="71"/>
      <c r="H51" s="71"/>
      <c r="I51" s="71"/>
      <c r="J51" s="71"/>
      <c r="K51" s="71"/>
      <c r="L51" s="71"/>
      <c r="M51" s="71"/>
    </row>
    <row r="52" spans="1:13">
      <c r="A52" s="68" t="s">
        <v>230</v>
      </c>
      <c r="B52" s="74" t="s">
        <v>367</v>
      </c>
      <c r="C52" s="75" t="s">
        <v>90</v>
      </c>
      <c r="D52" s="68" t="s">
        <v>24</v>
      </c>
      <c r="E52" s="71">
        <v>2.73</v>
      </c>
      <c r="F52" s="71">
        <f>E52*F49</f>
        <v>0.6552</v>
      </c>
      <c r="G52" s="71"/>
      <c r="H52" s="71"/>
      <c r="I52" s="71"/>
      <c r="J52" s="71"/>
      <c r="K52" s="71"/>
      <c r="L52" s="71"/>
      <c r="M52" s="71"/>
    </row>
    <row r="53" spans="1:13">
      <c r="A53" s="68" t="s">
        <v>231</v>
      </c>
      <c r="B53" s="74" t="s">
        <v>368</v>
      </c>
      <c r="C53" s="75" t="s">
        <v>75</v>
      </c>
      <c r="D53" s="68" t="s">
        <v>24</v>
      </c>
      <c r="E53" s="71">
        <v>0.97</v>
      </c>
      <c r="F53" s="71">
        <f>E53*F49</f>
        <v>0.23279999999999998</v>
      </c>
      <c r="G53" s="71"/>
      <c r="H53" s="71"/>
      <c r="I53" s="71"/>
      <c r="J53" s="71"/>
      <c r="K53" s="71"/>
      <c r="L53" s="71"/>
      <c r="M53" s="71"/>
    </row>
    <row r="54" spans="1:13">
      <c r="A54" s="68" t="s">
        <v>232</v>
      </c>
      <c r="B54" s="69"/>
      <c r="C54" s="75" t="s">
        <v>76</v>
      </c>
      <c r="D54" s="68" t="s">
        <v>365</v>
      </c>
      <c r="E54" s="71">
        <v>7</v>
      </c>
      <c r="F54" s="71">
        <f>E54*F49</f>
        <v>1.68</v>
      </c>
      <c r="G54" s="71"/>
      <c r="H54" s="71"/>
      <c r="I54" s="71"/>
      <c r="J54" s="71"/>
      <c r="K54" s="71"/>
      <c r="L54" s="71"/>
      <c r="M54" s="71"/>
    </row>
    <row r="55" spans="1:13">
      <c r="A55" s="68" t="s">
        <v>233</v>
      </c>
      <c r="B55" s="74" t="s">
        <v>369</v>
      </c>
      <c r="C55" s="75" t="s">
        <v>170</v>
      </c>
      <c r="D55" s="68" t="s">
        <v>365</v>
      </c>
      <c r="E55" s="71">
        <v>122</v>
      </c>
      <c r="F55" s="71">
        <f>E55*F49</f>
        <v>29.279999999999998</v>
      </c>
      <c r="G55" s="71"/>
      <c r="H55" s="71"/>
      <c r="I55" s="71"/>
      <c r="J55" s="71"/>
      <c r="K55" s="71"/>
      <c r="L55" s="71"/>
      <c r="M55" s="71"/>
    </row>
    <row r="56" spans="1:13" s="54" customFormat="1">
      <c r="A56" s="68"/>
      <c r="B56" s="78"/>
      <c r="C56" s="100"/>
      <c r="D56" s="68"/>
      <c r="E56" s="71"/>
      <c r="F56" s="71"/>
      <c r="G56" s="71"/>
      <c r="H56" s="71"/>
      <c r="I56" s="71"/>
      <c r="J56" s="71"/>
      <c r="K56" s="71"/>
      <c r="L56" s="71"/>
      <c r="M56" s="71"/>
    </row>
    <row r="57" spans="1:13">
      <c r="A57" s="66"/>
      <c r="B57" s="96"/>
      <c r="C57" s="66" t="s">
        <v>4</v>
      </c>
      <c r="D57" s="66"/>
      <c r="E57" s="67"/>
      <c r="F57" s="67"/>
      <c r="G57" s="67"/>
      <c r="H57" s="67"/>
      <c r="I57" s="67"/>
      <c r="J57" s="67"/>
      <c r="K57" s="67"/>
      <c r="L57" s="67"/>
      <c r="M57" s="67"/>
    </row>
    <row r="58" spans="1:13">
      <c r="A58" s="66"/>
      <c r="B58" s="69"/>
      <c r="C58" s="68"/>
      <c r="D58" s="68"/>
      <c r="E58" s="71"/>
      <c r="F58" s="71"/>
      <c r="G58" s="71"/>
      <c r="H58" s="71"/>
      <c r="I58" s="71"/>
      <c r="J58" s="71"/>
      <c r="K58" s="71"/>
      <c r="L58" s="71"/>
      <c r="M58" s="71"/>
    </row>
    <row r="59" spans="1:13">
      <c r="A59" s="66"/>
      <c r="B59" s="69"/>
      <c r="C59" s="68" t="s">
        <v>10</v>
      </c>
      <c r="D59" s="84">
        <v>0.1</v>
      </c>
      <c r="E59" s="71"/>
      <c r="F59" s="71"/>
      <c r="G59" s="71"/>
      <c r="H59" s="71"/>
      <c r="I59" s="71"/>
      <c r="J59" s="71"/>
      <c r="K59" s="71"/>
      <c r="L59" s="71"/>
      <c r="M59" s="71"/>
    </row>
    <row r="60" spans="1:13">
      <c r="A60" s="66"/>
      <c r="B60" s="69"/>
      <c r="C60" s="68" t="s">
        <v>4</v>
      </c>
      <c r="D60" s="84"/>
      <c r="E60" s="71"/>
      <c r="F60" s="71"/>
      <c r="G60" s="71"/>
      <c r="H60" s="71"/>
      <c r="I60" s="71"/>
      <c r="J60" s="71"/>
      <c r="K60" s="71"/>
      <c r="L60" s="71"/>
      <c r="M60" s="71"/>
    </row>
    <row r="61" spans="1:13">
      <c r="A61" s="66"/>
      <c r="B61" s="69"/>
      <c r="C61" s="68" t="s">
        <v>11</v>
      </c>
      <c r="D61" s="84">
        <v>0.08</v>
      </c>
      <c r="E61" s="71"/>
      <c r="F61" s="71"/>
      <c r="G61" s="71"/>
      <c r="H61" s="71"/>
      <c r="I61" s="71"/>
      <c r="J61" s="71"/>
      <c r="K61" s="71"/>
      <c r="L61" s="71"/>
      <c r="M61" s="71"/>
    </row>
    <row r="62" spans="1:13">
      <c r="A62" s="66"/>
      <c r="B62" s="69"/>
      <c r="C62" s="68"/>
      <c r="D62" s="84"/>
      <c r="E62" s="71"/>
      <c r="F62" s="71"/>
      <c r="G62" s="71"/>
      <c r="H62" s="71"/>
      <c r="I62" s="71"/>
      <c r="J62" s="71"/>
      <c r="K62" s="71"/>
      <c r="L62" s="71"/>
      <c r="M62" s="71"/>
    </row>
    <row r="63" spans="1:13">
      <c r="A63" s="85"/>
      <c r="B63" s="86"/>
      <c r="C63" s="66" t="s">
        <v>4</v>
      </c>
      <c r="D63" s="66"/>
      <c r="E63" s="67"/>
      <c r="F63" s="67"/>
      <c r="G63" s="67"/>
      <c r="H63" s="67"/>
      <c r="I63" s="67"/>
      <c r="J63" s="67"/>
      <c r="K63" s="67"/>
      <c r="L63" s="67"/>
      <c r="M63" s="67"/>
    </row>
    <row r="64" spans="1:13">
      <c r="A64" s="97"/>
      <c r="B64" s="51"/>
      <c r="C64" s="98"/>
      <c r="D64" s="51"/>
      <c r="E64" s="51"/>
      <c r="F64" s="51"/>
      <c r="G64" s="51"/>
      <c r="H64" s="51"/>
      <c r="I64" s="51"/>
      <c r="J64" s="51"/>
      <c r="K64" s="51"/>
      <c r="L64" s="51"/>
      <c r="M64" s="99"/>
    </row>
    <row r="65" spans="1:13">
      <c r="A65" s="97"/>
      <c r="B65" s="51"/>
      <c r="C65" s="98"/>
      <c r="D65" s="51"/>
      <c r="E65" s="51"/>
      <c r="F65" s="51"/>
      <c r="G65" s="51"/>
      <c r="H65" s="51"/>
      <c r="I65" s="51"/>
      <c r="J65" s="51"/>
      <c r="K65" s="51"/>
      <c r="L65" s="51"/>
      <c r="M65" s="99"/>
    </row>
    <row r="66" spans="1:13">
      <c r="A66" s="97"/>
      <c r="B66" s="51"/>
      <c r="C66" s="98"/>
      <c r="D66" s="51"/>
      <c r="E66" s="51"/>
      <c r="F66" s="51"/>
      <c r="G66" s="51"/>
      <c r="H66" s="51"/>
      <c r="I66" s="51"/>
      <c r="J66" s="51"/>
      <c r="K66" s="51"/>
      <c r="L66" s="51"/>
      <c r="M66" s="99"/>
    </row>
    <row r="67" spans="1:13">
      <c r="A67" s="97"/>
      <c r="B67" s="51"/>
      <c r="C67" s="98"/>
      <c r="D67" s="51"/>
      <c r="E67" s="51"/>
      <c r="F67" s="51"/>
      <c r="G67" s="51"/>
      <c r="H67" s="51"/>
      <c r="I67" s="51"/>
      <c r="J67" s="51"/>
      <c r="K67" s="51"/>
      <c r="L67" s="51"/>
      <c r="M67" s="99"/>
    </row>
    <row r="68" spans="1:13">
      <c r="A68" s="97"/>
      <c r="B68" s="51"/>
      <c r="C68" s="98"/>
      <c r="D68" s="51"/>
      <c r="E68" s="51"/>
      <c r="F68" s="51"/>
      <c r="G68" s="51"/>
      <c r="H68" s="51"/>
      <c r="I68" s="51"/>
      <c r="J68" s="51"/>
      <c r="K68" s="51"/>
      <c r="L68" s="51"/>
      <c r="M68" s="99"/>
    </row>
    <row r="69" spans="1:13">
      <c r="B69" s="57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1:13">
      <c r="B70" s="57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1:13">
      <c r="B71" s="57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1:13">
      <c r="B72" s="57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8"/>
    </row>
    <row r="73" spans="1:13">
      <c r="B73" s="57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1:13">
      <c r="B74" s="57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1:13">
      <c r="B75" s="57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1:13">
      <c r="B76" s="57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1:13">
      <c r="B77" s="57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1:13">
      <c r="B78" s="57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8"/>
    </row>
    <row r="79" spans="1:13">
      <c r="B79" s="57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8"/>
    </row>
    <row r="80" spans="1:13">
      <c r="B80" s="57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2:13">
      <c r="B81" s="57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8"/>
    </row>
    <row r="82" spans="2:13">
      <c r="B82" s="57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2:13">
      <c r="B83" s="57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8"/>
    </row>
    <row r="84" spans="2:13">
      <c r="B84" s="57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8"/>
    </row>
    <row r="85" spans="2:13">
      <c r="B85" s="57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8"/>
    </row>
    <row r="86" spans="2:13">
      <c r="B86" s="57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8"/>
    </row>
    <row r="87" spans="2:13">
      <c r="B87" s="57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2:13">
      <c r="B88" s="57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2:13">
      <c r="B89" s="57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2:13">
      <c r="B90" s="57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2:13">
      <c r="B91" s="57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2:13">
      <c r="B92" s="57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8"/>
    </row>
    <row r="93" spans="2:13">
      <c r="B93" s="57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8"/>
    </row>
    <row r="94" spans="2:13">
      <c r="B94" s="57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2:13">
      <c r="B95" s="57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2:13">
      <c r="B96" s="57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2:13">
      <c r="B97" s="57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2:13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9"/>
    </row>
    <row r="99" spans="2:13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9"/>
    </row>
    <row r="100" spans="2:13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9"/>
    </row>
    <row r="101" spans="2:13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9"/>
    </row>
    <row r="102" spans="2:13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9"/>
    </row>
    <row r="103" spans="2:13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9"/>
    </row>
    <row r="104" spans="2:13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9"/>
    </row>
    <row r="105" spans="2:13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9"/>
    </row>
    <row r="106" spans="2:13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9"/>
    </row>
    <row r="107" spans="2:13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9"/>
    </row>
    <row r="108" spans="2:13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9"/>
    </row>
    <row r="109" spans="2:13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9"/>
    </row>
    <row r="110" spans="2:13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topLeftCell="A34" zoomScaleNormal="60" zoomScaleSheetLayoutView="100" workbookViewId="0">
      <selection activeCell="C39" sqref="C39"/>
    </sheetView>
  </sheetViews>
  <sheetFormatPr defaultRowHeight="12.75"/>
  <cols>
    <col min="1" max="1" width="6.28515625" style="55" customWidth="1"/>
    <col min="2" max="2" width="13.85546875" style="55" customWidth="1"/>
    <col min="3" max="3" width="58" style="55" customWidth="1"/>
    <col min="4" max="4" width="11.140625" style="55" customWidth="1"/>
    <col min="5" max="12" width="10.140625" style="55" customWidth="1"/>
    <col min="13" max="13" width="11.140625" style="60" customWidth="1"/>
    <col min="14" max="16" width="20.7109375" style="52" customWidth="1"/>
    <col min="17" max="16384" width="9.140625" style="52"/>
  </cols>
  <sheetData>
    <row r="1" spans="1:13" s="41" customFormat="1">
      <c r="A1" s="163" t="s">
        <v>329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3" customFormat="1" ht="28.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3" s="43" customFormat="1" ht="12.75" customHeigh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3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3" s="43" customFormat="1">
      <c r="A7" s="66"/>
      <c r="B7" s="68"/>
      <c r="C7" s="88" t="s">
        <v>307</v>
      </c>
      <c r="D7" s="68"/>
      <c r="E7" s="68"/>
      <c r="F7" s="68"/>
      <c r="G7" s="68"/>
      <c r="H7" s="68"/>
      <c r="I7" s="68"/>
      <c r="J7" s="68"/>
      <c r="K7" s="68"/>
      <c r="L7" s="68"/>
      <c r="M7" s="89"/>
    </row>
    <row r="8" spans="1:13">
      <c r="A8" s="66"/>
      <c r="B8" s="68"/>
      <c r="C8" s="88"/>
      <c r="D8" s="68"/>
      <c r="E8" s="68"/>
      <c r="F8" s="68"/>
      <c r="G8" s="68"/>
      <c r="H8" s="68"/>
      <c r="I8" s="68"/>
      <c r="J8" s="68"/>
      <c r="K8" s="68"/>
      <c r="L8" s="68"/>
      <c r="M8" s="89"/>
    </row>
    <row r="9" spans="1:13">
      <c r="A9" s="68">
        <v>1.1000000000000001</v>
      </c>
      <c r="B9" s="69" t="s">
        <v>364</v>
      </c>
      <c r="C9" s="90" t="s">
        <v>317</v>
      </c>
      <c r="D9" s="68" t="s">
        <v>365</v>
      </c>
      <c r="E9" s="71"/>
      <c r="F9" s="71">
        <v>75</v>
      </c>
      <c r="G9" s="71"/>
      <c r="H9" s="71"/>
      <c r="I9" s="71"/>
      <c r="J9" s="71"/>
      <c r="K9" s="71"/>
      <c r="L9" s="71"/>
      <c r="M9" s="71"/>
    </row>
    <row r="10" spans="1:13">
      <c r="A10" s="68"/>
      <c r="B10" s="69"/>
      <c r="C10" s="75"/>
      <c r="D10" s="68" t="s">
        <v>366</v>
      </c>
      <c r="E10" s="71"/>
      <c r="F10" s="73">
        <f>F9/100</f>
        <v>0.75</v>
      </c>
      <c r="G10" s="71"/>
      <c r="H10" s="71"/>
      <c r="I10" s="71"/>
      <c r="J10" s="71"/>
      <c r="K10" s="71"/>
      <c r="L10" s="71"/>
      <c r="M10" s="71"/>
    </row>
    <row r="11" spans="1:13">
      <c r="A11" s="68" t="s">
        <v>0</v>
      </c>
      <c r="B11" s="69"/>
      <c r="C11" s="75" t="s">
        <v>15</v>
      </c>
      <c r="D11" s="68" t="s">
        <v>1</v>
      </c>
      <c r="E11" s="71">
        <v>15</v>
      </c>
      <c r="F11" s="71">
        <f>E11*F10</f>
        <v>11.25</v>
      </c>
      <c r="G11" s="71"/>
      <c r="H11" s="71"/>
      <c r="I11" s="71"/>
      <c r="J11" s="71"/>
      <c r="K11" s="71"/>
      <c r="L11" s="71"/>
      <c r="M11" s="71"/>
    </row>
    <row r="12" spans="1:13">
      <c r="A12" s="68" t="s">
        <v>209</v>
      </c>
      <c r="B12" s="74" t="s">
        <v>363</v>
      </c>
      <c r="C12" s="75" t="s">
        <v>74</v>
      </c>
      <c r="D12" s="68" t="s">
        <v>24</v>
      </c>
      <c r="E12" s="71">
        <v>2.16</v>
      </c>
      <c r="F12" s="71">
        <f>E12*F10</f>
        <v>1.62</v>
      </c>
      <c r="G12" s="71"/>
      <c r="H12" s="71"/>
      <c r="I12" s="71"/>
      <c r="J12" s="71"/>
      <c r="K12" s="71"/>
      <c r="L12" s="71"/>
      <c r="M12" s="71"/>
    </row>
    <row r="13" spans="1:13">
      <c r="A13" s="68" t="s">
        <v>210</v>
      </c>
      <c r="B13" s="74" t="s">
        <v>367</v>
      </c>
      <c r="C13" s="75" t="s">
        <v>90</v>
      </c>
      <c r="D13" s="68" t="s">
        <v>24</v>
      </c>
      <c r="E13" s="71">
        <v>2.73</v>
      </c>
      <c r="F13" s="71">
        <f>E13*F10</f>
        <v>2.0474999999999999</v>
      </c>
      <c r="G13" s="71"/>
      <c r="H13" s="71"/>
      <c r="I13" s="71"/>
      <c r="J13" s="71"/>
      <c r="K13" s="71"/>
      <c r="L13" s="71"/>
      <c r="M13" s="71"/>
    </row>
    <row r="14" spans="1:13">
      <c r="A14" s="68" t="s">
        <v>211</v>
      </c>
      <c r="B14" s="74" t="s">
        <v>368</v>
      </c>
      <c r="C14" s="75" t="s">
        <v>75</v>
      </c>
      <c r="D14" s="68" t="s">
        <v>24</v>
      </c>
      <c r="E14" s="71">
        <v>0.97</v>
      </c>
      <c r="F14" s="71">
        <f>E14*F10</f>
        <v>0.72750000000000004</v>
      </c>
      <c r="G14" s="71"/>
      <c r="H14" s="71"/>
      <c r="I14" s="71"/>
      <c r="J14" s="71"/>
      <c r="K14" s="71"/>
      <c r="L14" s="71"/>
      <c r="M14" s="71"/>
    </row>
    <row r="15" spans="1:13">
      <c r="A15" s="68" t="s">
        <v>216</v>
      </c>
      <c r="B15" s="69"/>
      <c r="C15" s="75" t="s">
        <v>76</v>
      </c>
      <c r="D15" s="68" t="s">
        <v>365</v>
      </c>
      <c r="E15" s="71">
        <v>7</v>
      </c>
      <c r="F15" s="71">
        <f>E15*F10</f>
        <v>5.25</v>
      </c>
      <c r="G15" s="71"/>
      <c r="H15" s="71"/>
      <c r="I15" s="71"/>
      <c r="J15" s="71"/>
      <c r="K15" s="71"/>
      <c r="L15" s="71"/>
      <c r="M15" s="71"/>
    </row>
    <row r="16" spans="1:13">
      <c r="A16" s="68" t="s">
        <v>217</v>
      </c>
      <c r="B16" s="74" t="s">
        <v>369</v>
      </c>
      <c r="C16" s="75" t="s">
        <v>170</v>
      </c>
      <c r="D16" s="68" t="s">
        <v>365</v>
      </c>
      <c r="E16" s="71">
        <v>122</v>
      </c>
      <c r="F16" s="71">
        <f>E16*F10</f>
        <v>91.5</v>
      </c>
      <c r="G16" s="71"/>
      <c r="H16" s="71"/>
      <c r="I16" s="71"/>
      <c r="J16" s="71"/>
      <c r="K16" s="71"/>
      <c r="L16" s="71"/>
      <c r="M16" s="71"/>
    </row>
    <row r="17" spans="1:13">
      <c r="A17" s="68"/>
      <c r="B17" s="69"/>
      <c r="C17" s="90"/>
      <c r="D17" s="68"/>
      <c r="E17" s="71"/>
      <c r="F17" s="71"/>
      <c r="G17" s="71"/>
      <c r="H17" s="71"/>
      <c r="I17" s="71"/>
      <c r="J17" s="71"/>
      <c r="K17" s="71"/>
      <c r="L17" s="71"/>
      <c r="M17" s="71"/>
    </row>
    <row r="18" spans="1:13">
      <c r="A18" s="68">
        <v>1.2</v>
      </c>
      <c r="B18" s="74" t="s">
        <v>385</v>
      </c>
      <c r="C18" s="75" t="s">
        <v>308</v>
      </c>
      <c r="D18" s="91" t="s">
        <v>107</v>
      </c>
      <c r="E18" s="76"/>
      <c r="F18" s="76">
        <v>200</v>
      </c>
      <c r="G18" s="71"/>
      <c r="H18" s="71"/>
      <c r="I18" s="71"/>
      <c r="J18" s="71"/>
      <c r="K18" s="71"/>
      <c r="L18" s="71"/>
      <c r="M18" s="71"/>
    </row>
    <row r="19" spans="1:13">
      <c r="A19" s="68"/>
      <c r="B19" s="69"/>
      <c r="C19" s="75"/>
      <c r="D19" s="91" t="s">
        <v>366</v>
      </c>
      <c r="E19" s="76">
        <v>0.04</v>
      </c>
      <c r="F19" s="92">
        <f>F18*E19/100</f>
        <v>0.08</v>
      </c>
      <c r="G19" s="71"/>
      <c r="H19" s="71"/>
      <c r="I19" s="71"/>
      <c r="J19" s="71"/>
      <c r="K19" s="71"/>
      <c r="L19" s="71"/>
      <c r="M19" s="71"/>
    </row>
    <row r="20" spans="1:13">
      <c r="A20" s="68" t="s">
        <v>21</v>
      </c>
      <c r="B20" s="69"/>
      <c r="C20" s="75" t="s">
        <v>15</v>
      </c>
      <c r="D20" s="68" t="s">
        <v>1</v>
      </c>
      <c r="E20" s="76">
        <v>854</v>
      </c>
      <c r="F20" s="71">
        <f>E20*F19</f>
        <v>68.320000000000007</v>
      </c>
      <c r="G20" s="71"/>
      <c r="H20" s="71"/>
      <c r="I20" s="71"/>
      <c r="J20" s="71"/>
      <c r="K20" s="71"/>
      <c r="L20" s="71"/>
      <c r="M20" s="71"/>
    </row>
    <row r="21" spans="1:13">
      <c r="A21" s="68" t="s">
        <v>35</v>
      </c>
      <c r="B21" s="69"/>
      <c r="C21" s="75" t="s">
        <v>13</v>
      </c>
      <c r="D21" s="68" t="s">
        <v>25</v>
      </c>
      <c r="E21" s="76">
        <v>106</v>
      </c>
      <c r="F21" s="71">
        <f>E21*F19</f>
        <v>8.48</v>
      </c>
      <c r="G21" s="71"/>
      <c r="H21" s="71"/>
      <c r="I21" s="71"/>
      <c r="J21" s="71"/>
      <c r="K21" s="71"/>
      <c r="L21" s="71"/>
      <c r="M21" s="71"/>
    </row>
    <row r="22" spans="1:13">
      <c r="A22" s="68" t="s">
        <v>36</v>
      </c>
      <c r="B22" s="74" t="s">
        <v>386</v>
      </c>
      <c r="C22" s="75" t="s">
        <v>125</v>
      </c>
      <c r="D22" s="68" t="s">
        <v>365</v>
      </c>
      <c r="E22" s="76">
        <v>101.5</v>
      </c>
      <c r="F22" s="71">
        <f>E22*F19</f>
        <v>8.120000000000001</v>
      </c>
      <c r="G22" s="71"/>
      <c r="H22" s="71"/>
      <c r="I22" s="71"/>
      <c r="J22" s="71"/>
      <c r="K22" s="71"/>
      <c r="L22" s="71"/>
      <c r="M22" s="71"/>
    </row>
    <row r="23" spans="1:13">
      <c r="A23" s="68"/>
      <c r="B23" s="74" t="s">
        <v>387</v>
      </c>
      <c r="C23" s="93" t="s">
        <v>388</v>
      </c>
      <c r="D23" s="91" t="s">
        <v>23</v>
      </c>
      <c r="E23" s="76">
        <v>0.2</v>
      </c>
      <c r="F23" s="92">
        <f>F18*E23/1000</f>
        <v>0.04</v>
      </c>
      <c r="G23" s="76"/>
      <c r="H23" s="76"/>
      <c r="I23" s="76"/>
      <c r="J23" s="76"/>
      <c r="K23" s="76"/>
      <c r="L23" s="76"/>
      <c r="M23" s="76"/>
    </row>
    <row r="24" spans="1:13">
      <c r="A24" s="68" t="s">
        <v>37</v>
      </c>
      <c r="B24" s="74" t="s">
        <v>389</v>
      </c>
      <c r="C24" s="75" t="s">
        <v>141</v>
      </c>
      <c r="D24" s="68" t="s">
        <v>23</v>
      </c>
      <c r="E24" s="71">
        <v>3.6</v>
      </c>
      <c r="F24" s="71">
        <f>F18*E24/1000</f>
        <v>0.72</v>
      </c>
      <c r="G24" s="76"/>
      <c r="H24" s="71"/>
      <c r="I24" s="71"/>
      <c r="J24" s="71"/>
      <c r="K24" s="71"/>
      <c r="L24" s="71"/>
      <c r="M24" s="71"/>
    </row>
    <row r="25" spans="1:13">
      <c r="A25" s="68" t="s">
        <v>38</v>
      </c>
      <c r="B25" s="80" t="s">
        <v>390</v>
      </c>
      <c r="C25" s="77" t="s">
        <v>391</v>
      </c>
      <c r="D25" s="68" t="s">
        <v>361</v>
      </c>
      <c r="E25" s="76">
        <v>140</v>
      </c>
      <c r="F25" s="71">
        <f>E25*F19</f>
        <v>11.200000000000001</v>
      </c>
      <c r="G25" s="71"/>
      <c r="H25" s="71"/>
      <c r="I25" s="71"/>
      <c r="J25" s="71"/>
      <c r="K25" s="71"/>
      <c r="L25" s="71"/>
      <c r="M25" s="71"/>
    </row>
    <row r="26" spans="1:13">
      <c r="A26" s="68" t="s">
        <v>39</v>
      </c>
      <c r="B26" s="80" t="s">
        <v>392</v>
      </c>
      <c r="C26" s="77" t="s">
        <v>393</v>
      </c>
      <c r="D26" s="68" t="s">
        <v>365</v>
      </c>
      <c r="E26" s="76">
        <v>1.45</v>
      </c>
      <c r="F26" s="71">
        <f>E26*F19</f>
        <v>0.11599999999999999</v>
      </c>
      <c r="G26" s="71"/>
      <c r="H26" s="71"/>
      <c r="I26" s="71"/>
      <c r="J26" s="71"/>
      <c r="K26" s="71"/>
      <c r="L26" s="71"/>
      <c r="M26" s="71"/>
    </row>
    <row r="27" spans="1:13">
      <c r="A27" s="68"/>
      <c r="B27" s="80" t="s">
        <v>394</v>
      </c>
      <c r="C27" s="77" t="s">
        <v>395</v>
      </c>
      <c r="D27" s="91" t="s">
        <v>396</v>
      </c>
      <c r="E27" s="76">
        <v>250</v>
      </c>
      <c r="F27" s="76">
        <f>E27*F19</f>
        <v>20</v>
      </c>
      <c r="G27" s="76"/>
      <c r="H27" s="76"/>
      <c r="I27" s="76"/>
      <c r="J27" s="76"/>
      <c r="K27" s="76"/>
      <c r="L27" s="76"/>
      <c r="M27" s="76"/>
    </row>
    <row r="28" spans="1:13">
      <c r="A28" s="68" t="s">
        <v>249</v>
      </c>
      <c r="B28" s="69"/>
      <c r="C28" s="75" t="s">
        <v>14</v>
      </c>
      <c r="D28" s="68" t="s">
        <v>25</v>
      </c>
      <c r="E28" s="76">
        <v>74</v>
      </c>
      <c r="F28" s="71">
        <f>E28*F19</f>
        <v>5.92</v>
      </c>
      <c r="G28" s="71"/>
      <c r="H28" s="71"/>
      <c r="I28" s="71"/>
      <c r="J28" s="71"/>
      <c r="K28" s="71"/>
      <c r="L28" s="71"/>
      <c r="M28" s="71"/>
    </row>
    <row r="29" spans="1:13">
      <c r="A29" s="68"/>
      <c r="B29" s="78"/>
      <c r="C29" s="90"/>
      <c r="D29" s="68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A30" s="68"/>
      <c r="B30" s="78"/>
      <c r="C30" s="94"/>
      <c r="D30" s="68"/>
      <c r="E30" s="71"/>
      <c r="F30" s="71"/>
      <c r="G30" s="71"/>
      <c r="H30" s="71"/>
      <c r="I30" s="71"/>
      <c r="J30" s="71"/>
      <c r="K30" s="71"/>
      <c r="L30" s="71"/>
      <c r="M30" s="71"/>
    </row>
    <row r="31" spans="1:13">
      <c r="A31" s="68">
        <v>1.4</v>
      </c>
      <c r="B31" s="69" t="s">
        <v>364</v>
      </c>
      <c r="C31" s="90" t="s">
        <v>309</v>
      </c>
      <c r="D31" s="68" t="s">
        <v>365</v>
      </c>
      <c r="E31" s="71"/>
      <c r="F31" s="71">
        <v>50</v>
      </c>
      <c r="G31" s="71"/>
      <c r="H31" s="71"/>
      <c r="I31" s="71"/>
      <c r="J31" s="71"/>
      <c r="K31" s="71"/>
      <c r="L31" s="71"/>
      <c r="M31" s="71"/>
    </row>
    <row r="32" spans="1:13">
      <c r="A32" s="68"/>
      <c r="B32" s="69"/>
      <c r="C32" s="75"/>
      <c r="D32" s="68" t="s">
        <v>366</v>
      </c>
      <c r="E32" s="71"/>
      <c r="F32" s="73">
        <f>F31/100</f>
        <v>0.5</v>
      </c>
      <c r="G32" s="71"/>
      <c r="H32" s="71"/>
      <c r="I32" s="71"/>
      <c r="J32" s="71"/>
      <c r="K32" s="71"/>
      <c r="L32" s="71"/>
      <c r="M32" s="71"/>
    </row>
    <row r="33" spans="1:13">
      <c r="A33" s="68" t="s">
        <v>22</v>
      </c>
      <c r="B33" s="69"/>
      <c r="C33" s="75" t="s">
        <v>15</v>
      </c>
      <c r="D33" s="68" t="s">
        <v>1</v>
      </c>
      <c r="E33" s="71">
        <v>15</v>
      </c>
      <c r="F33" s="71">
        <f>E33*F32</f>
        <v>7.5</v>
      </c>
      <c r="G33" s="71"/>
      <c r="H33" s="71"/>
      <c r="I33" s="71"/>
      <c r="J33" s="71"/>
      <c r="K33" s="71"/>
      <c r="L33" s="71"/>
      <c r="M33" s="71"/>
    </row>
    <row r="34" spans="1:13">
      <c r="A34" s="68" t="s">
        <v>245</v>
      </c>
      <c r="B34" s="74" t="s">
        <v>363</v>
      </c>
      <c r="C34" s="75" t="s">
        <v>74</v>
      </c>
      <c r="D34" s="68" t="s">
        <v>24</v>
      </c>
      <c r="E34" s="71">
        <v>2.16</v>
      </c>
      <c r="F34" s="71">
        <f>E34*F32</f>
        <v>1.08</v>
      </c>
      <c r="G34" s="71"/>
      <c r="H34" s="71"/>
      <c r="I34" s="71"/>
      <c r="J34" s="71"/>
      <c r="K34" s="71"/>
      <c r="L34" s="71"/>
      <c r="M34" s="71"/>
    </row>
    <row r="35" spans="1:13">
      <c r="A35" s="68" t="s">
        <v>246</v>
      </c>
      <c r="B35" s="74" t="s">
        <v>367</v>
      </c>
      <c r="C35" s="75" t="s">
        <v>90</v>
      </c>
      <c r="D35" s="68" t="s">
        <v>24</v>
      </c>
      <c r="E35" s="71">
        <v>2.73</v>
      </c>
      <c r="F35" s="71">
        <f>E35*F32</f>
        <v>1.365</v>
      </c>
      <c r="G35" s="71"/>
      <c r="H35" s="71"/>
      <c r="I35" s="71"/>
      <c r="J35" s="71"/>
      <c r="K35" s="71"/>
      <c r="L35" s="71"/>
      <c r="M35" s="71"/>
    </row>
    <row r="36" spans="1:13">
      <c r="A36" s="68" t="s">
        <v>247</v>
      </c>
      <c r="B36" s="74" t="s">
        <v>368</v>
      </c>
      <c r="C36" s="75" t="s">
        <v>75</v>
      </c>
      <c r="D36" s="68" t="s">
        <v>24</v>
      </c>
      <c r="E36" s="71">
        <v>0.97</v>
      </c>
      <c r="F36" s="71">
        <f>E36*F32</f>
        <v>0.48499999999999999</v>
      </c>
      <c r="G36" s="71"/>
      <c r="H36" s="71"/>
      <c r="I36" s="71"/>
      <c r="J36" s="71"/>
      <c r="K36" s="71"/>
      <c r="L36" s="71"/>
      <c r="M36" s="71"/>
    </row>
    <row r="37" spans="1:13" ht="12.75" customHeight="1">
      <c r="A37" s="68" t="s">
        <v>250</v>
      </c>
      <c r="B37" s="69"/>
      <c r="C37" s="75" t="s">
        <v>76</v>
      </c>
      <c r="D37" s="68" t="s">
        <v>365</v>
      </c>
      <c r="E37" s="71">
        <v>7</v>
      </c>
      <c r="F37" s="71">
        <f>E37*F32</f>
        <v>3.5</v>
      </c>
      <c r="G37" s="71"/>
      <c r="H37" s="71"/>
      <c r="I37" s="71"/>
      <c r="J37" s="71"/>
      <c r="K37" s="71"/>
      <c r="L37" s="71"/>
      <c r="M37" s="71"/>
    </row>
    <row r="38" spans="1:13">
      <c r="A38" s="68" t="s">
        <v>251</v>
      </c>
      <c r="B38" s="74" t="s">
        <v>397</v>
      </c>
      <c r="C38" s="75" t="s">
        <v>314</v>
      </c>
      <c r="D38" s="68" t="s">
        <v>365</v>
      </c>
      <c r="E38" s="71">
        <f>122*95%</f>
        <v>115.89999999999999</v>
      </c>
      <c r="F38" s="71">
        <f>E38*F32</f>
        <v>57.949999999999996</v>
      </c>
      <c r="G38" s="71"/>
      <c r="H38" s="71"/>
      <c r="I38" s="71"/>
      <c r="J38" s="71"/>
      <c r="K38" s="71"/>
      <c r="L38" s="71"/>
      <c r="M38" s="71"/>
    </row>
    <row r="39" spans="1:13">
      <c r="A39" s="68" t="s">
        <v>252</v>
      </c>
      <c r="B39" s="74" t="s">
        <v>398</v>
      </c>
      <c r="C39" s="75" t="s">
        <v>310</v>
      </c>
      <c r="D39" s="68" t="s">
        <v>23</v>
      </c>
      <c r="E39" s="71">
        <f>122*5%</f>
        <v>6.1000000000000005</v>
      </c>
      <c r="F39" s="71">
        <f>F32*E39</f>
        <v>3.0500000000000003</v>
      </c>
      <c r="G39" s="76"/>
      <c r="H39" s="71"/>
      <c r="I39" s="71"/>
      <c r="J39" s="71"/>
      <c r="K39" s="71"/>
      <c r="L39" s="71"/>
      <c r="M39" s="71"/>
    </row>
    <row r="40" spans="1:13">
      <c r="A40" s="68"/>
      <c r="B40" s="69"/>
      <c r="C40" s="90"/>
      <c r="D40" s="68"/>
      <c r="E40" s="71"/>
      <c r="F40" s="71"/>
      <c r="G40" s="71"/>
      <c r="H40" s="71"/>
      <c r="I40" s="71"/>
      <c r="J40" s="71"/>
      <c r="K40" s="71"/>
      <c r="L40" s="71"/>
      <c r="M40" s="71"/>
    </row>
    <row r="41" spans="1:13">
      <c r="A41" s="68">
        <v>1.5</v>
      </c>
      <c r="B41" s="78" t="s">
        <v>399</v>
      </c>
      <c r="C41" s="90" t="s">
        <v>312</v>
      </c>
      <c r="D41" s="68" t="s">
        <v>361</v>
      </c>
      <c r="E41" s="71"/>
      <c r="F41" s="71">
        <v>500</v>
      </c>
      <c r="G41" s="71"/>
      <c r="H41" s="71"/>
      <c r="I41" s="71"/>
      <c r="J41" s="71"/>
      <c r="K41" s="71"/>
      <c r="L41" s="71"/>
      <c r="M41" s="71"/>
    </row>
    <row r="42" spans="1:13">
      <c r="A42" s="68"/>
      <c r="B42" s="69"/>
      <c r="C42" s="75"/>
      <c r="D42" s="68" t="s">
        <v>371</v>
      </c>
      <c r="E42" s="71"/>
      <c r="F42" s="73">
        <f>F41/1000</f>
        <v>0.5</v>
      </c>
      <c r="G42" s="71"/>
      <c r="H42" s="71"/>
      <c r="I42" s="71"/>
      <c r="J42" s="71"/>
      <c r="K42" s="71"/>
      <c r="L42" s="71"/>
      <c r="M42" s="71"/>
    </row>
    <row r="43" spans="1:13">
      <c r="A43" s="68" t="s">
        <v>212</v>
      </c>
      <c r="B43" s="69"/>
      <c r="C43" s="75" t="s">
        <v>15</v>
      </c>
      <c r="D43" s="68" t="s">
        <v>1</v>
      </c>
      <c r="E43" s="71">
        <v>737</v>
      </c>
      <c r="F43" s="71">
        <f>ROUND(E43*F42,2)</f>
        <v>368.5</v>
      </c>
      <c r="G43" s="71"/>
      <c r="H43" s="71"/>
      <c r="I43" s="71"/>
      <c r="J43" s="71"/>
      <c r="K43" s="71"/>
      <c r="L43" s="71"/>
      <c r="M43" s="71"/>
    </row>
    <row r="44" spans="1:13">
      <c r="A44" s="68" t="s">
        <v>213</v>
      </c>
      <c r="B44" s="74" t="s">
        <v>368</v>
      </c>
      <c r="C44" s="75" t="s">
        <v>75</v>
      </c>
      <c r="D44" s="68" t="s">
        <v>24</v>
      </c>
      <c r="E44" s="71">
        <v>15.3</v>
      </c>
      <c r="F44" s="71">
        <f>ROUND(E44*F42,1)</f>
        <v>7.7</v>
      </c>
      <c r="G44" s="71"/>
      <c r="H44" s="71"/>
      <c r="I44" s="71"/>
      <c r="J44" s="71"/>
      <c r="K44" s="71"/>
      <c r="L44" s="71"/>
      <c r="M44" s="71"/>
    </row>
    <row r="45" spans="1:13" s="54" customFormat="1">
      <c r="A45" s="68" t="s">
        <v>214</v>
      </c>
      <c r="B45" s="74" t="s">
        <v>400</v>
      </c>
      <c r="C45" s="75" t="s">
        <v>401</v>
      </c>
      <c r="D45" s="91" t="s">
        <v>365</v>
      </c>
      <c r="E45" s="76">
        <f>8+123</f>
        <v>131</v>
      </c>
      <c r="F45" s="71">
        <f>ROUND(E45*F42,1)</f>
        <v>65.5</v>
      </c>
      <c r="G45" s="71"/>
      <c r="H45" s="71"/>
      <c r="I45" s="71"/>
      <c r="J45" s="71"/>
      <c r="K45" s="71"/>
      <c r="L45" s="71"/>
      <c r="M45" s="71"/>
    </row>
    <row r="46" spans="1:13" s="54" customFormat="1">
      <c r="A46" s="68" t="s">
        <v>215</v>
      </c>
      <c r="B46" s="74" t="s">
        <v>402</v>
      </c>
      <c r="C46" s="75" t="s">
        <v>311</v>
      </c>
      <c r="D46" s="68" t="s">
        <v>365</v>
      </c>
      <c r="E46" s="71">
        <v>18.8</v>
      </c>
      <c r="F46" s="71">
        <f>ROUND(E46*F42,2)</f>
        <v>9.4</v>
      </c>
      <c r="G46" s="71"/>
      <c r="H46" s="71"/>
      <c r="I46" s="71"/>
      <c r="J46" s="71"/>
      <c r="K46" s="71"/>
      <c r="L46" s="71"/>
      <c r="M46" s="71"/>
    </row>
    <row r="47" spans="1:13" s="54" customFormat="1">
      <c r="A47" s="68" t="s">
        <v>228</v>
      </c>
      <c r="B47" s="69"/>
      <c r="C47" s="75" t="s">
        <v>14</v>
      </c>
      <c r="D47" s="68" t="s">
        <v>25</v>
      </c>
      <c r="E47" s="71">
        <v>3.32</v>
      </c>
      <c r="F47" s="71">
        <f>ROUND(E47*F42,1)</f>
        <v>1.7</v>
      </c>
      <c r="G47" s="71"/>
      <c r="H47" s="71"/>
      <c r="I47" s="71"/>
      <c r="J47" s="71"/>
      <c r="K47" s="71"/>
      <c r="L47" s="71"/>
      <c r="M47" s="71"/>
    </row>
    <row r="48" spans="1:13" s="54" customFormat="1">
      <c r="A48" s="68"/>
      <c r="B48" s="74" t="s">
        <v>397</v>
      </c>
      <c r="C48" s="93" t="s">
        <v>403</v>
      </c>
      <c r="D48" s="91" t="s">
        <v>365</v>
      </c>
      <c r="E48" s="76">
        <v>9.1999999999999993</v>
      </c>
      <c r="F48" s="76">
        <f>E48*F42</f>
        <v>4.5999999999999996</v>
      </c>
      <c r="G48" s="76"/>
      <c r="H48" s="76"/>
      <c r="I48" s="76"/>
      <c r="J48" s="76"/>
      <c r="K48" s="76"/>
      <c r="L48" s="76"/>
      <c r="M48" s="76"/>
    </row>
    <row r="49" spans="1:13" s="54" customFormat="1">
      <c r="A49" s="68"/>
      <c r="B49" s="78"/>
      <c r="C49" s="94"/>
      <c r="D49" s="68"/>
      <c r="E49" s="71"/>
      <c r="F49" s="71"/>
      <c r="G49" s="71"/>
      <c r="H49" s="71"/>
      <c r="I49" s="71"/>
      <c r="J49" s="71"/>
      <c r="K49" s="71"/>
      <c r="L49" s="71"/>
      <c r="M49" s="71"/>
    </row>
    <row r="50" spans="1:13">
      <c r="A50" s="68"/>
      <c r="B50" s="69"/>
      <c r="C50" s="90"/>
      <c r="D50" s="68"/>
      <c r="E50" s="84"/>
      <c r="F50" s="89"/>
      <c r="G50" s="95"/>
      <c r="H50" s="89"/>
      <c r="I50" s="95"/>
      <c r="J50" s="95"/>
      <c r="K50" s="95"/>
      <c r="L50" s="95"/>
      <c r="M50" s="89"/>
    </row>
    <row r="51" spans="1:13">
      <c r="A51" s="68"/>
      <c r="B51" s="69"/>
      <c r="C51" s="90"/>
      <c r="D51" s="68"/>
      <c r="E51" s="71"/>
      <c r="F51" s="71"/>
      <c r="G51" s="71"/>
      <c r="H51" s="71"/>
      <c r="I51" s="71"/>
      <c r="J51" s="71"/>
      <c r="K51" s="71"/>
      <c r="L51" s="71"/>
      <c r="M51" s="71"/>
    </row>
    <row r="52" spans="1:13">
      <c r="A52" s="66"/>
      <c r="B52" s="96"/>
      <c r="C52" s="66" t="s">
        <v>4</v>
      </c>
      <c r="D52" s="66"/>
      <c r="E52" s="67"/>
      <c r="F52" s="67"/>
      <c r="G52" s="67"/>
      <c r="H52" s="67"/>
      <c r="I52" s="67"/>
      <c r="J52" s="67"/>
      <c r="K52" s="67"/>
      <c r="L52" s="67"/>
      <c r="M52" s="67"/>
    </row>
    <row r="53" spans="1:13">
      <c r="A53" s="66"/>
      <c r="B53" s="69"/>
      <c r="C53" s="68"/>
      <c r="D53" s="68"/>
      <c r="E53" s="71"/>
      <c r="F53" s="71"/>
      <c r="G53" s="71"/>
      <c r="H53" s="71"/>
      <c r="I53" s="71"/>
      <c r="J53" s="71"/>
      <c r="K53" s="71"/>
      <c r="L53" s="71"/>
      <c r="M53" s="71"/>
    </row>
    <row r="54" spans="1:13">
      <c r="A54" s="66"/>
      <c r="B54" s="69"/>
      <c r="C54" s="68" t="s">
        <v>10</v>
      </c>
      <c r="D54" s="84">
        <v>0.1</v>
      </c>
      <c r="E54" s="71"/>
      <c r="F54" s="71"/>
      <c r="G54" s="71"/>
      <c r="H54" s="71"/>
      <c r="I54" s="71"/>
      <c r="J54" s="71"/>
      <c r="K54" s="71"/>
      <c r="L54" s="71"/>
      <c r="M54" s="71"/>
    </row>
    <row r="55" spans="1:13">
      <c r="A55" s="66"/>
      <c r="B55" s="69"/>
      <c r="C55" s="68" t="s">
        <v>4</v>
      </c>
      <c r="D55" s="84"/>
      <c r="E55" s="71"/>
      <c r="F55" s="71"/>
      <c r="G55" s="71"/>
      <c r="H55" s="71"/>
      <c r="I55" s="71"/>
      <c r="J55" s="71"/>
      <c r="K55" s="71"/>
      <c r="L55" s="71"/>
      <c r="M55" s="71"/>
    </row>
    <row r="56" spans="1:13">
      <c r="A56" s="66"/>
      <c r="B56" s="69"/>
      <c r="C56" s="68" t="s">
        <v>11</v>
      </c>
      <c r="D56" s="84">
        <v>0.08</v>
      </c>
      <c r="E56" s="71"/>
      <c r="F56" s="71"/>
      <c r="G56" s="71"/>
      <c r="H56" s="71"/>
      <c r="I56" s="71"/>
      <c r="J56" s="71"/>
      <c r="K56" s="71"/>
      <c r="L56" s="71"/>
      <c r="M56" s="71"/>
    </row>
    <row r="57" spans="1:13">
      <c r="A57" s="66"/>
      <c r="B57" s="69"/>
      <c r="C57" s="68"/>
      <c r="D57" s="84"/>
      <c r="E57" s="71"/>
      <c r="F57" s="71"/>
      <c r="G57" s="71"/>
      <c r="H57" s="71"/>
      <c r="I57" s="71"/>
      <c r="J57" s="71"/>
      <c r="K57" s="71"/>
      <c r="L57" s="71"/>
      <c r="M57" s="71"/>
    </row>
    <row r="58" spans="1:13">
      <c r="A58" s="66"/>
      <c r="B58" s="69"/>
      <c r="C58" s="66" t="s">
        <v>4</v>
      </c>
      <c r="D58" s="66"/>
      <c r="E58" s="67"/>
      <c r="F58" s="67"/>
      <c r="G58" s="67"/>
      <c r="H58" s="67"/>
      <c r="I58" s="67"/>
      <c r="J58" s="67"/>
      <c r="K58" s="67"/>
      <c r="L58" s="67"/>
      <c r="M58" s="67"/>
    </row>
    <row r="59" spans="1:13">
      <c r="A59" s="97"/>
      <c r="B59" s="51"/>
      <c r="C59" s="98"/>
      <c r="D59" s="51"/>
      <c r="E59" s="51"/>
      <c r="F59" s="51"/>
      <c r="G59" s="51"/>
      <c r="H59" s="51"/>
      <c r="I59" s="51"/>
      <c r="J59" s="51"/>
      <c r="K59" s="51"/>
      <c r="L59" s="51"/>
      <c r="M59" s="99"/>
    </row>
    <row r="60" spans="1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>
      <c r="B61" s="57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>
      <c r="B62" s="57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8"/>
    </row>
    <row r="63" spans="1:13">
      <c r="B63" s="57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8"/>
    </row>
    <row r="64" spans="1:13">
      <c r="B64" s="57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2:13">
      <c r="B65" s="57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8"/>
    </row>
    <row r="66" spans="2:13">
      <c r="B66" s="5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8"/>
    </row>
    <row r="67" spans="2:13">
      <c r="B67" s="57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8"/>
    </row>
    <row r="68" spans="2:13">
      <c r="B68" s="57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2:13">
      <c r="B69" s="57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2:13">
      <c r="B70" s="57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2:13">
      <c r="B71" s="57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2:13">
      <c r="B72" s="57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8"/>
    </row>
    <row r="73" spans="2:13">
      <c r="B73" s="57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2:13">
      <c r="B74" s="57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2:13">
      <c r="B75" s="57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2:13">
      <c r="B76" s="57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2:13">
      <c r="B77" s="57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2:13">
      <c r="B78" s="57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8"/>
    </row>
    <row r="79" spans="2:13">
      <c r="B79" s="57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8"/>
    </row>
    <row r="80" spans="2:13">
      <c r="B80" s="57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2:13">
      <c r="B81" s="57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8"/>
    </row>
    <row r="82" spans="2:13">
      <c r="B82" s="57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2:13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9"/>
    </row>
    <row r="84" spans="2:13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9"/>
    </row>
    <row r="85" spans="2:13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</row>
    <row r="86" spans="2:13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9"/>
    </row>
    <row r="87" spans="2:13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9"/>
    </row>
    <row r="88" spans="2:13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9"/>
    </row>
    <row r="89" spans="2:13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9"/>
    </row>
    <row r="90" spans="2:13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9"/>
    </row>
    <row r="91" spans="2:13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9"/>
    </row>
    <row r="92" spans="2:13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9"/>
    </row>
    <row r="93" spans="2:13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9"/>
    </row>
    <row r="94" spans="2:13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9"/>
    </row>
    <row r="95" spans="2:13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N125"/>
  <sheetViews>
    <sheetView tabSelected="1" view="pageBreakPreview" topLeftCell="A70" zoomScaleNormal="60" zoomScaleSheetLayoutView="100" workbookViewId="0">
      <selection activeCell="J23" sqref="J23"/>
    </sheetView>
  </sheetViews>
  <sheetFormatPr defaultRowHeight="12.75"/>
  <cols>
    <col min="1" max="1" width="5.28515625" style="55" bestFit="1" customWidth="1"/>
    <col min="2" max="2" width="12.42578125" style="55" customWidth="1"/>
    <col min="3" max="3" width="61.7109375" style="55" customWidth="1"/>
    <col min="4" max="4" width="10.85546875" style="55" customWidth="1"/>
    <col min="5" max="10" width="10.28515625" style="55" customWidth="1"/>
    <col min="11" max="12" width="10.85546875" style="55" customWidth="1"/>
    <col min="13" max="13" width="12.28515625" style="60" customWidth="1"/>
    <col min="14" max="14" width="8.7109375" style="52" bestFit="1" customWidth="1"/>
    <col min="15" max="16" width="20.7109375" style="52" customWidth="1"/>
    <col min="17" max="16384" width="9.140625" style="52"/>
  </cols>
  <sheetData>
    <row r="1" spans="1:14" s="41" customFormat="1">
      <c r="A1" s="42" t="s">
        <v>329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43" customFormat="1" ht="25.5" customHeight="1">
      <c r="A3" s="158" t="s">
        <v>353</v>
      </c>
      <c r="B3" s="162" t="s">
        <v>354</v>
      </c>
      <c r="C3" s="162" t="s">
        <v>355</v>
      </c>
      <c r="D3" s="162" t="s">
        <v>356</v>
      </c>
      <c r="E3" s="158" t="s">
        <v>357</v>
      </c>
      <c r="F3" s="158"/>
      <c r="G3" s="162" t="s">
        <v>358</v>
      </c>
      <c r="H3" s="162"/>
      <c r="I3" s="162" t="s">
        <v>6</v>
      </c>
      <c r="J3" s="162"/>
      <c r="K3" s="158" t="s">
        <v>359</v>
      </c>
      <c r="L3" s="158"/>
      <c r="M3" s="158" t="s">
        <v>4</v>
      </c>
    </row>
    <row r="4" spans="1:14" s="43" customFormat="1">
      <c r="A4" s="158"/>
      <c r="B4" s="162"/>
      <c r="C4" s="162"/>
      <c r="D4" s="162"/>
      <c r="E4" s="63" t="s">
        <v>360</v>
      </c>
      <c r="F4" s="63" t="s">
        <v>285</v>
      </c>
      <c r="G4" s="63" t="s">
        <v>360</v>
      </c>
      <c r="H4" s="63" t="s">
        <v>285</v>
      </c>
      <c r="I4" s="63" t="s">
        <v>360</v>
      </c>
      <c r="J4" s="63" t="s">
        <v>285</v>
      </c>
      <c r="K4" s="63" t="s">
        <v>360</v>
      </c>
      <c r="L4" s="63" t="s">
        <v>285</v>
      </c>
      <c r="M4" s="158"/>
    </row>
    <row r="5" spans="1:14" s="43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4" s="43" customFormat="1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</row>
    <row r="7" spans="1:14" s="43" customForma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4" s="43" customFormat="1" ht="25.5">
      <c r="A8" s="44"/>
      <c r="B8" s="47"/>
      <c r="C8" s="46" t="s">
        <v>108</v>
      </c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4" s="43" customFormat="1">
      <c r="A9" s="44"/>
      <c r="B9" s="61"/>
      <c r="C9" s="46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4">
      <c r="A10" s="68">
        <v>1.1000000000000001</v>
      </c>
      <c r="B10" s="69" t="s">
        <v>126</v>
      </c>
      <c r="C10" s="70" t="s">
        <v>127</v>
      </c>
      <c r="D10" s="68" t="s">
        <v>361</v>
      </c>
      <c r="E10" s="71"/>
      <c r="F10" s="71">
        <v>80</v>
      </c>
      <c r="G10" s="71"/>
      <c r="H10" s="71"/>
      <c r="I10" s="71"/>
      <c r="J10" s="71"/>
      <c r="K10" s="71"/>
      <c r="L10" s="71"/>
      <c r="M10" s="72"/>
      <c r="N10" s="51" t="s">
        <v>60</v>
      </c>
    </row>
    <row r="11" spans="1:14">
      <c r="A11" s="68"/>
      <c r="B11" s="69"/>
      <c r="C11" s="70"/>
      <c r="D11" s="68" t="s">
        <v>362</v>
      </c>
      <c r="E11" s="71"/>
      <c r="F11" s="73">
        <f>F10/10000</f>
        <v>8.0000000000000002E-3</v>
      </c>
      <c r="G11" s="71"/>
      <c r="H11" s="71"/>
      <c r="I11" s="71"/>
      <c r="J11" s="71"/>
      <c r="K11" s="71"/>
      <c r="L11" s="71"/>
      <c r="M11" s="71"/>
    </row>
    <row r="12" spans="1:14">
      <c r="A12" s="68" t="s">
        <v>0</v>
      </c>
      <c r="B12" s="69"/>
      <c r="C12" s="70" t="s">
        <v>15</v>
      </c>
      <c r="D12" s="68" t="s">
        <v>1</v>
      </c>
      <c r="E12" s="71">
        <v>0.31</v>
      </c>
      <c r="F12" s="71">
        <f>E12*F11</f>
        <v>2.48E-3</v>
      </c>
      <c r="G12" s="71"/>
      <c r="H12" s="71"/>
      <c r="I12" s="71"/>
      <c r="J12" s="71"/>
      <c r="K12" s="71"/>
      <c r="L12" s="71"/>
      <c r="M12" s="71"/>
    </row>
    <row r="13" spans="1:14">
      <c r="A13" s="68" t="s">
        <v>209</v>
      </c>
      <c r="B13" s="74" t="s">
        <v>363</v>
      </c>
      <c r="C13" s="75" t="s">
        <v>74</v>
      </c>
      <c r="D13" s="68" t="s">
        <v>24</v>
      </c>
      <c r="E13" s="71">
        <v>1.1200000000000001</v>
      </c>
      <c r="F13" s="71">
        <f>E13*F11</f>
        <v>8.9600000000000009E-3</v>
      </c>
      <c r="G13" s="71"/>
      <c r="H13" s="71"/>
      <c r="I13" s="71"/>
      <c r="J13" s="71"/>
      <c r="K13" s="76"/>
      <c r="L13" s="71"/>
      <c r="M13" s="71"/>
    </row>
    <row r="14" spans="1:14">
      <c r="A14" s="68"/>
      <c r="B14" s="69"/>
      <c r="C14" s="70"/>
      <c r="D14" s="68"/>
      <c r="E14" s="71"/>
      <c r="F14" s="71"/>
      <c r="G14" s="71"/>
      <c r="H14" s="71"/>
      <c r="I14" s="71"/>
      <c r="J14" s="71"/>
      <c r="K14" s="71"/>
      <c r="L14" s="71"/>
      <c r="M14" s="71"/>
    </row>
    <row r="15" spans="1:14">
      <c r="A15" s="68">
        <v>1.2</v>
      </c>
      <c r="B15" s="69" t="s">
        <v>364</v>
      </c>
      <c r="C15" s="70" t="s">
        <v>119</v>
      </c>
      <c r="D15" s="68" t="s">
        <v>365</v>
      </c>
      <c r="E15" s="71"/>
      <c r="F15" s="71">
        <v>60</v>
      </c>
      <c r="G15" s="71"/>
      <c r="H15" s="71"/>
      <c r="I15" s="71"/>
      <c r="J15" s="71"/>
      <c r="K15" s="71"/>
      <c r="L15" s="71"/>
      <c r="M15" s="72"/>
    </row>
    <row r="16" spans="1:14">
      <c r="A16" s="68"/>
      <c r="B16" s="69"/>
      <c r="C16" s="75"/>
      <c r="D16" s="68" t="s">
        <v>366</v>
      </c>
      <c r="E16" s="71"/>
      <c r="F16" s="71">
        <f>F15/100</f>
        <v>0.6</v>
      </c>
      <c r="G16" s="71"/>
      <c r="H16" s="71"/>
      <c r="I16" s="71"/>
      <c r="J16" s="71"/>
      <c r="K16" s="71"/>
      <c r="L16" s="71"/>
      <c r="M16" s="71"/>
    </row>
    <row r="17" spans="1:13">
      <c r="A17" s="68" t="s">
        <v>21</v>
      </c>
      <c r="B17" s="69"/>
      <c r="C17" s="75" t="s">
        <v>15</v>
      </c>
      <c r="D17" s="68" t="s">
        <v>1</v>
      </c>
      <c r="E17" s="71">
        <v>15</v>
      </c>
      <c r="F17" s="71">
        <f>E17*F16</f>
        <v>9</v>
      </c>
      <c r="G17" s="71"/>
      <c r="H17" s="71"/>
      <c r="I17" s="71"/>
      <c r="J17" s="71"/>
      <c r="K17" s="71"/>
      <c r="L17" s="71"/>
      <c r="M17" s="71"/>
    </row>
    <row r="18" spans="1:13">
      <c r="A18" s="68" t="s">
        <v>35</v>
      </c>
      <c r="B18" s="74" t="s">
        <v>363</v>
      </c>
      <c r="C18" s="75" t="s">
        <v>74</v>
      </c>
      <c r="D18" s="68" t="s">
        <v>24</v>
      </c>
      <c r="E18" s="71">
        <v>2.16</v>
      </c>
      <c r="F18" s="71">
        <f>E18*F16</f>
        <v>1.296</v>
      </c>
      <c r="G18" s="71"/>
      <c r="H18" s="71"/>
      <c r="I18" s="71"/>
      <c r="J18" s="71"/>
      <c r="K18" s="76"/>
      <c r="L18" s="71"/>
      <c r="M18" s="71"/>
    </row>
    <row r="19" spans="1:13">
      <c r="A19" s="68" t="s">
        <v>36</v>
      </c>
      <c r="B19" s="74" t="s">
        <v>367</v>
      </c>
      <c r="C19" s="75" t="s">
        <v>90</v>
      </c>
      <c r="D19" s="68" t="s">
        <v>24</v>
      </c>
      <c r="E19" s="71">
        <v>2.73</v>
      </c>
      <c r="F19" s="71">
        <f>E19*F16</f>
        <v>1.6379999999999999</v>
      </c>
      <c r="G19" s="71"/>
      <c r="H19" s="71"/>
      <c r="I19" s="71"/>
      <c r="J19" s="71"/>
      <c r="K19" s="76"/>
      <c r="L19" s="71"/>
      <c r="M19" s="71"/>
    </row>
    <row r="20" spans="1:13">
      <c r="A20" s="68" t="s">
        <v>37</v>
      </c>
      <c r="B20" s="74" t="s">
        <v>368</v>
      </c>
      <c r="C20" s="75" t="s">
        <v>75</v>
      </c>
      <c r="D20" s="68" t="s">
        <v>24</v>
      </c>
      <c r="E20" s="71">
        <v>0.97</v>
      </c>
      <c r="F20" s="71">
        <f>E20*F16</f>
        <v>0.58199999999999996</v>
      </c>
      <c r="G20" s="71"/>
      <c r="H20" s="71"/>
      <c r="I20" s="71"/>
      <c r="J20" s="71"/>
      <c r="K20" s="76"/>
      <c r="L20" s="71"/>
      <c r="M20" s="71"/>
    </row>
    <row r="21" spans="1:13">
      <c r="A21" s="68" t="s">
        <v>38</v>
      </c>
      <c r="B21" s="69"/>
      <c r="C21" s="75" t="s">
        <v>76</v>
      </c>
      <c r="D21" s="68" t="s">
        <v>365</v>
      </c>
      <c r="E21" s="71">
        <v>7</v>
      </c>
      <c r="F21" s="71">
        <f>E21*F16</f>
        <v>4.2</v>
      </c>
      <c r="G21" s="71"/>
      <c r="H21" s="71"/>
      <c r="I21" s="71"/>
      <c r="J21" s="71"/>
      <c r="K21" s="71"/>
      <c r="L21" s="71"/>
      <c r="M21" s="71"/>
    </row>
    <row r="22" spans="1:13">
      <c r="A22" s="68" t="s">
        <v>39</v>
      </c>
      <c r="B22" s="74" t="s">
        <v>369</v>
      </c>
      <c r="C22" s="75" t="s">
        <v>170</v>
      </c>
      <c r="D22" s="68" t="s">
        <v>365</v>
      </c>
      <c r="E22" s="71">
        <v>122</v>
      </c>
      <c r="F22" s="71">
        <f>E22*F16</f>
        <v>73.2</v>
      </c>
      <c r="G22" s="71"/>
      <c r="H22" s="71"/>
      <c r="I22" s="71"/>
      <c r="J22" s="71"/>
      <c r="K22" s="71"/>
      <c r="L22" s="71"/>
      <c r="M22" s="71"/>
    </row>
    <row r="23" spans="1:13">
      <c r="A23" s="68"/>
      <c r="B23" s="69"/>
      <c r="C23" s="70"/>
      <c r="D23" s="68"/>
      <c r="E23" s="71"/>
      <c r="F23" s="71"/>
      <c r="G23" s="71"/>
      <c r="H23" s="71"/>
      <c r="I23" s="71"/>
      <c r="J23" s="71"/>
      <c r="K23" s="71"/>
      <c r="L23" s="71"/>
      <c r="M23" s="72"/>
    </row>
    <row r="24" spans="1:13">
      <c r="A24" s="68">
        <v>1.3</v>
      </c>
      <c r="B24" s="69" t="s">
        <v>370</v>
      </c>
      <c r="C24" s="70" t="s">
        <v>281</v>
      </c>
      <c r="D24" s="68" t="s">
        <v>361</v>
      </c>
      <c r="E24" s="71"/>
      <c r="F24" s="71">
        <v>75</v>
      </c>
      <c r="G24" s="71"/>
      <c r="H24" s="71"/>
      <c r="I24" s="71"/>
      <c r="J24" s="71"/>
      <c r="K24" s="71"/>
      <c r="L24" s="71"/>
      <c r="M24" s="72"/>
    </row>
    <row r="25" spans="1:13">
      <c r="A25" s="68"/>
      <c r="B25" s="69"/>
      <c r="C25" s="70"/>
      <c r="D25" s="68" t="s">
        <v>371</v>
      </c>
      <c r="E25" s="71"/>
      <c r="F25" s="71">
        <f>F24/1000</f>
        <v>7.4999999999999997E-2</v>
      </c>
      <c r="G25" s="71"/>
      <c r="H25" s="71"/>
      <c r="I25" s="71"/>
      <c r="J25" s="71"/>
      <c r="K25" s="71"/>
      <c r="L25" s="71"/>
      <c r="M25" s="72"/>
    </row>
    <row r="26" spans="1:13">
      <c r="A26" s="68" t="s">
        <v>30</v>
      </c>
      <c r="B26" s="69"/>
      <c r="C26" s="70" t="s">
        <v>40</v>
      </c>
      <c r="D26" s="68" t="s">
        <v>1</v>
      </c>
      <c r="E26" s="71">
        <f>33</f>
        <v>33</v>
      </c>
      <c r="F26" s="71">
        <f>E26*F25</f>
        <v>2.4750000000000001</v>
      </c>
      <c r="G26" s="71"/>
      <c r="H26" s="71"/>
      <c r="I26" s="71"/>
      <c r="J26" s="71"/>
      <c r="K26" s="71"/>
      <c r="L26" s="71"/>
      <c r="M26" s="72"/>
    </row>
    <row r="27" spans="1:13">
      <c r="A27" s="68" t="s">
        <v>45</v>
      </c>
      <c r="B27" s="74" t="s">
        <v>363</v>
      </c>
      <c r="C27" s="70" t="s">
        <v>124</v>
      </c>
      <c r="D27" s="68" t="s">
        <v>24</v>
      </c>
      <c r="E27" s="71">
        <f>1.91</f>
        <v>1.91</v>
      </c>
      <c r="F27" s="71">
        <f>E27*F25</f>
        <v>0.14324999999999999</v>
      </c>
      <c r="G27" s="71"/>
      <c r="H27" s="71"/>
      <c r="I27" s="71"/>
      <c r="J27" s="71"/>
      <c r="K27" s="76"/>
      <c r="L27" s="71"/>
      <c r="M27" s="72"/>
    </row>
    <row r="28" spans="1:13">
      <c r="A28" s="68" t="s">
        <v>46</v>
      </c>
      <c r="B28" s="74" t="s">
        <v>372</v>
      </c>
      <c r="C28" s="70" t="s">
        <v>86</v>
      </c>
      <c r="D28" s="68" t="s">
        <v>24</v>
      </c>
      <c r="E28" s="71">
        <v>2.58</v>
      </c>
      <c r="F28" s="71">
        <f>E28*F25</f>
        <v>0.19350000000000001</v>
      </c>
      <c r="G28" s="71"/>
      <c r="H28" s="71"/>
      <c r="I28" s="71"/>
      <c r="J28" s="71"/>
      <c r="K28" s="76"/>
      <c r="L28" s="71"/>
      <c r="M28" s="72"/>
    </row>
    <row r="29" spans="1:13">
      <c r="A29" s="68" t="s">
        <v>47</v>
      </c>
      <c r="B29" s="74" t="s">
        <v>373</v>
      </c>
      <c r="C29" s="70" t="s">
        <v>123</v>
      </c>
      <c r="D29" s="68" t="s">
        <v>24</v>
      </c>
      <c r="E29" s="71">
        <f>11.2</f>
        <v>11.2</v>
      </c>
      <c r="F29" s="71">
        <f>E29*F25</f>
        <v>0.84</v>
      </c>
      <c r="G29" s="71"/>
      <c r="H29" s="71"/>
      <c r="I29" s="71"/>
      <c r="J29" s="71"/>
      <c r="K29" s="76"/>
      <c r="L29" s="71"/>
      <c r="M29" s="72"/>
    </row>
    <row r="30" spans="1:13">
      <c r="A30" s="68" t="s">
        <v>225</v>
      </c>
      <c r="B30" s="74" t="s">
        <v>374</v>
      </c>
      <c r="C30" s="70" t="s">
        <v>122</v>
      </c>
      <c r="D30" s="68" t="s">
        <v>24</v>
      </c>
      <c r="E30" s="71">
        <f>24.8</f>
        <v>24.8</v>
      </c>
      <c r="F30" s="71">
        <f>E30*F25</f>
        <v>1.8599999999999999</v>
      </c>
      <c r="G30" s="71"/>
      <c r="H30" s="71"/>
      <c r="I30" s="71"/>
      <c r="J30" s="71"/>
      <c r="K30" s="76"/>
      <c r="L30" s="71"/>
      <c r="M30" s="72"/>
    </row>
    <row r="31" spans="1:13">
      <c r="A31" s="68" t="s">
        <v>226</v>
      </c>
      <c r="B31" s="74" t="s">
        <v>368</v>
      </c>
      <c r="C31" s="70" t="s">
        <v>121</v>
      </c>
      <c r="D31" s="68" t="s">
        <v>24</v>
      </c>
      <c r="E31" s="71">
        <f>4.14</f>
        <v>4.1399999999999997</v>
      </c>
      <c r="F31" s="71">
        <f>E31*F25</f>
        <v>0.31049999999999994</v>
      </c>
      <c r="G31" s="71"/>
      <c r="H31" s="71"/>
      <c r="I31" s="71"/>
      <c r="J31" s="71"/>
      <c r="K31" s="76"/>
      <c r="L31" s="71"/>
      <c r="M31" s="72"/>
    </row>
    <row r="32" spans="1:13">
      <c r="A32" s="68" t="s">
        <v>227</v>
      </c>
      <c r="B32" s="74" t="s">
        <v>375</v>
      </c>
      <c r="C32" s="70" t="s">
        <v>93</v>
      </c>
      <c r="D32" s="68" t="s">
        <v>24</v>
      </c>
      <c r="E32" s="71">
        <v>0.53</v>
      </c>
      <c r="F32" s="71">
        <f>E32*F25</f>
        <v>3.9750000000000001E-2</v>
      </c>
      <c r="G32" s="71"/>
      <c r="H32" s="71"/>
      <c r="I32" s="71"/>
      <c r="J32" s="71"/>
      <c r="K32" s="76"/>
      <c r="L32" s="71"/>
      <c r="M32" s="72"/>
    </row>
    <row r="33" spans="1:13">
      <c r="A33" s="68" t="s">
        <v>255</v>
      </c>
      <c r="B33" s="53"/>
      <c r="C33" s="70" t="s">
        <v>120</v>
      </c>
      <c r="D33" s="68" t="s">
        <v>365</v>
      </c>
      <c r="E33" s="71">
        <f>30</f>
        <v>30</v>
      </c>
      <c r="F33" s="71">
        <f>E33*F25</f>
        <v>2.25</v>
      </c>
      <c r="G33" s="71"/>
      <c r="H33" s="71"/>
      <c r="I33" s="71"/>
      <c r="J33" s="71"/>
      <c r="K33" s="71"/>
      <c r="L33" s="71"/>
      <c r="M33" s="72"/>
    </row>
    <row r="34" spans="1:13">
      <c r="A34" s="68" t="s">
        <v>280</v>
      </c>
      <c r="B34" s="74" t="s">
        <v>376</v>
      </c>
      <c r="C34" s="70" t="s">
        <v>146</v>
      </c>
      <c r="D34" s="68" t="s">
        <v>365</v>
      </c>
      <c r="E34" s="71">
        <f>204-12.5*5</f>
        <v>141.5</v>
      </c>
      <c r="F34" s="71">
        <f>E34*F25</f>
        <v>10.612499999999999</v>
      </c>
      <c r="G34" s="71"/>
      <c r="H34" s="71"/>
      <c r="I34" s="71"/>
      <c r="J34" s="71"/>
      <c r="K34" s="71"/>
      <c r="L34" s="71"/>
      <c r="M34" s="72"/>
    </row>
    <row r="35" spans="1:13">
      <c r="A35" s="68"/>
      <c r="B35" s="69"/>
      <c r="C35" s="70"/>
      <c r="D35" s="68"/>
      <c r="E35" s="71"/>
      <c r="F35" s="71"/>
      <c r="G35" s="71"/>
      <c r="H35" s="71"/>
      <c r="I35" s="71"/>
      <c r="J35" s="71"/>
      <c r="K35" s="71"/>
      <c r="L35" s="71"/>
      <c r="M35" s="72"/>
    </row>
    <row r="36" spans="1:13">
      <c r="A36" s="68">
        <v>1.4</v>
      </c>
      <c r="B36" s="69" t="s">
        <v>88</v>
      </c>
      <c r="C36" s="70" t="s">
        <v>87</v>
      </c>
      <c r="D36" s="68" t="s">
        <v>23</v>
      </c>
      <c r="E36" s="71"/>
      <c r="F36" s="73">
        <f>75*0.7/1000</f>
        <v>5.2499999999999998E-2</v>
      </c>
      <c r="G36" s="71"/>
      <c r="H36" s="71"/>
      <c r="I36" s="71"/>
      <c r="J36" s="71"/>
      <c r="K36" s="71"/>
      <c r="L36" s="71"/>
      <c r="M36" s="72"/>
    </row>
    <row r="37" spans="1:13">
      <c r="A37" s="68"/>
      <c r="B37" s="69"/>
      <c r="C37" s="70"/>
      <c r="D37" s="68" t="s">
        <v>112</v>
      </c>
      <c r="E37" s="71"/>
      <c r="F37" s="71">
        <f>F36</f>
        <v>5.2499999999999998E-2</v>
      </c>
      <c r="G37" s="71"/>
      <c r="H37" s="71"/>
      <c r="I37" s="71"/>
      <c r="J37" s="71"/>
      <c r="K37" s="71"/>
      <c r="L37" s="71"/>
      <c r="M37" s="71"/>
    </row>
    <row r="38" spans="1:13">
      <c r="A38" s="68" t="s">
        <v>22</v>
      </c>
      <c r="B38" s="74" t="s">
        <v>377</v>
      </c>
      <c r="C38" s="70" t="s">
        <v>89</v>
      </c>
      <c r="D38" s="68" t="s">
        <v>24</v>
      </c>
      <c r="E38" s="76">
        <v>0.3</v>
      </c>
      <c r="F38" s="71">
        <f>ROUND(E38*F37,1)</f>
        <v>0</v>
      </c>
      <c r="G38" s="71"/>
      <c r="H38" s="71"/>
      <c r="I38" s="71"/>
      <c r="J38" s="71"/>
      <c r="K38" s="76"/>
      <c r="L38" s="71"/>
      <c r="M38" s="71"/>
    </row>
    <row r="39" spans="1:13">
      <c r="A39" s="68" t="s">
        <v>245</v>
      </c>
      <c r="B39" s="74" t="s">
        <v>378</v>
      </c>
      <c r="C39" s="77" t="s">
        <v>94</v>
      </c>
      <c r="D39" s="68" t="s">
        <v>23</v>
      </c>
      <c r="E39" s="71">
        <v>1.03</v>
      </c>
      <c r="F39" s="71">
        <f>ROUND(E39*F37,2)</f>
        <v>0.05</v>
      </c>
      <c r="G39" s="76"/>
      <c r="H39" s="71"/>
      <c r="I39" s="71"/>
      <c r="J39" s="71"/>
      <c r="K39" s="71"/>
      <c r="L39" s="71"/>
      <c r="M39" s="71"/>
    </row>
    <row r="40" spans="1:13">
      <c r="A40" s="68"/>
      <c r="B40" s="69"/>
      <c r="C40" s="70"/>
      <c r="D40" s="68"/>
      <c r="E40" s="71"/>
      <c r="F40" s="71"/>
      <c r="G40" s="71"/>
      <c r="H40" s="71"/>
      <c r="I40" s="71"/>
      <c r="J40" s="71"/>
      <c r="K40" s="71"/>
      <c r="L40" s="71"/>
      <c r="M40" s="72"/>
    </row>
    <row r="41" spans="1:13" ht="38.25">
      <c r="A41" s="68">
        <v>1.5</v>
      </c>
      <c r="B41" s="78" t="s">
        <v>379</v>
      </c>
      <c r="C41" s="70" t="s">
        <v>278</v>
      </c>
      <c r="D41" s="68" t="s">
        <v>361</v>
      </c>
      <c r="E41" s="71"/>
      <c r="F41" s="71">
        <v>75</v>
      </c>
      <c r="G41" s="71"/>
      <c r="H41" s="71"/>
      <c r="I41" s="71"/>
      <c r="J41" s="71"/>
      <c r="K41" s="71"/>
      <c r="L41" s="71"/>
      <c r="M41" s="72"/>
    </row>
    <row r="42" spans="1:13">
      <c r="A42" s="68"/>
      <c r="B42" s="78"/>
      <c r="C42" s="70"/>
      <c r="D42" s="68" t="s">
        <v>371</v>
      </c>
      <c r="E42" s="71"/>
      <c r="F42" s="73">
        <v>0.90300000000000002</v>
      </c>
      <c r="G42" s="71"/>
      <c r="H42" s="71"/>
      <c r="I42" s="71"/>
      <c r="J42" s="71"/>
      <c r="K42" s="71"/>
      <c r="L42" s="71"/>
      <c r="M42" s="71"/>
    </row>
    <row r="43" spans="1:13">
      <c r="A43" s="68" t="s">
        <v>212</v>
      </c>
      <c r="B43" s="78"/>
      <c r="C43" s="70" t="s">
        <v>15</v>
      </c>
      <c r="D43" s="68" t="s">
        <v>1</v>
      </c>
      <c r="E43" s="79">
        <f>37.5+4*0.07</f>
        <v>37.78</v>
      </c>
      <c r="F43" s="71">
        <f>E43*F42</f>
        <v>34.115340000000003</v>
      </c>
      <c r="G43" s="71"/>
      <c r="H43" s="71"/>
      <c r="I43" s="71"/>
      <c r="J43" s="71"/>
      <c r="K43" s="71"/>
      <c r="L43" s="71"/>
      <c r="M43" s="71"/>
    </row>
    <row r="44" spans="1:13">
      <c r="A44" s="68" t="s">
        <v>213</v>
      </c>
      <c r="B44" s="80" t="s">
        <v>373</v>
      </c>
      <c r="C44" s="70" t="s">
        <v>91</v>
      </c>
      <c r="D44" s="68" t="s">
        <v>24</v>
      </c>
      <c r="E44" s="81">
        <v>3.7</v>
      </c>
      <c r="F44" s="71">
        <f>E44*F42</f>
        <v>3.3411000000000004</v>
      </c>
      <c r="G44" s="71"/>
      <c r="H44" s="71"/>
      <c r="I44" s="71"/>
      <c r="J44" s="71"/>
      <c r="K44" s="76"/>
      <c r="L44" s="71"/>
      <c r="M44" s="71"/>
    </row>
    <row r="45" spans="1:13">
      <c r="A45" s="68" t="s">
        <v>214</v>
      </c>
      <c r="B45" s="80" t="s">
        <v>374</v>
      </c>
      <c r="C45" s="70" t="s">
        <v>92</v>
      </c>
      <c r="D45" s="68" t="s">
        <v>24</v>
      </c>
      <c r="E45" s="81">
        <v>11.1</v>
      </c>
      <c r="F45" s="71">
        <f>E45*F42</f>
        <v>10.023300000000001</v>
      </c>
      <c r="G45" s="71"/>
      <c r="H45" s="71"/>
      <c r="I45" s="71"/>
      <c r="J45" s="71"/>
      <c r="K45" s="76"/>
      <c r="L45" s="71"/>
      <c r="M45" s="71"/>
    </row>
    <row r="46" spans="1:13">
      <c r="A46" s="68" t="s">
        <v>215</v>
      </c>
      <c r="B46" s="80" t="s">
        <v>380</v>
      </c>
      <c r="C46" s="70" t="s">
        <v>95</v>
      </c>
      <c r="D46" s="68" t="s">
        <v>24</v>
      </c>
      <c r="E46" s="81">
        <v>3.02</v>
      </c>
      <c r="F46" s="71">
        <f>E46*F42</f>
        <v>2.7270600000000003</v>
      </c>
      <c r="G46" s="71"/>
      <c r="H46" s="71"/>
      <c r="I46" s="71"/>
      <c r="J46" s="71"/>
      <c r="K46" s="76"/>
      <c r="L46" s="71"/>
      <c r="M46" s="71"/>
    </row>
    <row r="47" spans="1:13">
      <c r="A47" s="68" t="s">
        <v>228</v>
      </c>
      <c r="B47" s="78"/>
      <c r="C47" s="70" t="s">
        <v>13</v>
      </c>
      <c r="D47" s="68" t="s">
        <v>25</v>
      </c>
      <c r="E47" s="81">
        <v>2.2999999999999998</v>
      </c>
      <c r="F47" s="71">
        <f>E47*F42</f>
        <v>2.0768999999999997</v>
      </c>
      <c r="G47" s="71"/>
      <c r="H47" s="71"/>
      <c r="I47" s="71"/>
      <c r="J47" s="71"/>
      <c r="K47" s="71"/>
      <c r="L47" s="71"/>
      <c r="M47" s="71"/>
    </row>
    <row r="48" spans="1:13">
      <c r="A48" s="68" t="s">
        <v>229</v>
      </c>
      <c r="B48" s="80" t="s">
        <v>381</v>
      </c>
      <c r="C48" s="70" t="s">
        <v>382</v>
      </c>
      <c r="D48" s="68" t="s">
        <v>23</v>
      </c>
      <c r="E48" s="79">
        <f>97.4+4*12.1</f>
        <v>145.80000000000001</v>
      </c>
      <c r="F48" s="71">
        <f>E48*F42</f>
        <v>131.65740000000002</v>
      </c>
      <c r="G48" s="76"/>
      <c r="H48" s="71"/>
      <c r="I48" s="71"/>
      <c r="J48" s="71"/>
      <c r="K48" s="71"/>
      <c r="L48" s="71"/>
      <c r="M48" s="71"/>
    </row>
    <row r="49" spans="1:14">
      <c r="A49" s="68" t="s">
        <v>254</v>
      </c>
      <c r="B49" s="78"/>
      <c r="C49" s="70" t="s">
        <v>14</v>
      </c>
      <c r="D49" s="68" t="s">
        <v>25</v>
      </c>
      <c r="E49" s="81">
        <f>14.5+4*0.2</f>
        <v>15.3</v>
      </c>
      <c r="F49" s="71">
        <f>E49*F42</f>
        <v>13.815900000000001</v>
      </c>
      <c r="G49" s="71"/>
      <c r="H49" s="71"/>
      <c r="I49" s="71"/>
      <c r="J49" s="71"/>
      <c r="K49" s="71"/>
      <c r="L49" s="71"/>
      <c r="M49" s="71"/>
    </row>
    <row r="50" spans="1:14" ht="12.75" customHeight="1">
      <c r="A50" s="68"/>
      <c r="B50" s="78"/>
      <c r="C50" s="70"/>
      <c r="D50" s="68"/>
      <c r="E50" s="71"/>
      <c r="F50" s="71"/>
      <c r="G50" s="71"/>
      <c r="H50" s="71"/>
      <c r="I50" s="71"/>
      <c r="J50" s="71"/>
      <c r="K50" s="71"/>
      <c r="L50" s="71"/>
      <c r="M50" s="72"/>
    </row>
    <row r="51" spans="1:14">
      <c r="A51" s="68">
        <v>1.6</v>
      </c>
      <c r="B51" s="69" t="s">
        <v>88</v>
      </c>
      <c r="C51" s="70" t="s">
        <v>87</v>
      </c>
      <c r="D51" s="68" t="s">
        <v>23</v>
      </c>
      <c r="E51" s="71"/>
      <c r="F51" s="73">
        <f>75*0.7/1000*0.5</f>
        <v>2.6249999999999999E-2</v>
      </c>
      <c r="G51" s="71"/>
      <c r="H51" s="71"/>
      <c r="I51" s="71"/>
      <c r="J51" s="71"/>
      <c r="K51" s="71"/>
      <c r="L51" s="71"/>
      <c r="M51" s="72"/>
    </row>
    <row r="52" spans="1:14">
      <c r="A52" s="68"/>
      <c r="B52" s="69"/>
      <c r="C52" s="70"/>
      <c r="D52" s="68" t="s">
        <v>112</v>
      </c>
      <c r="E52" s="71"/>
      <c r="F52" s="71">
        <f>F51</f>
        <v>2.6249999999999999E-2</v>
      </c>
      <c r="G52" s="71"/>
      <c r="H52" s="71"/>
      <c r="I52" s="71"/>
      <c r="J52" s="71"/>
      <c r="K52" s="71"/>
      <c r="L52" s="71"/>
      <c r="M52" s="71"/>
    </row>
    <row r="53" spans="1:14">
      <c r="A53" s="68" t="s">
        <v>61</v>
      </c>
      <c r="B53" s="74" t="s">
        <v>377</v>
      </c>
      <c r="C53" s="70" t="s">
        <v>89</v>
      </c>
      <c r="D53" s="68" t="s">
        <v>24</v>
      </c>
      <c r="E53" s="76">
        <v>0.3</v>
      </c>
      <c r="F53" s="73">
        <f>E53*F52</f>
        <v>7.8750000000000001E-3</v>
      </c>
      <c r="G53" s="71"/>
      <c r="H53" s="71"/>
      <c r="I53" s="71"/>
      <c r="J53" s="71"/>
      <c r="K53" s="76"/>
      <c r="L53" s="71"/>
      <c r="M53" s="71"/>
    </row>
    <row r="54" spans="1:14">
      <c r="A54" s="68" t="s">
        <v>62</v>
      </c>
      <c r="B54" s="74" t="s">
        <v>378</v>
      </c>
      <c r="C54" s="77" t="s">
        <v>94</v>
      </c>
      <c r="D54" s="68" t="s">
        <v>23</v>
      </c>
      <c r="E54" s="71">
        <v>1.03</v>
      </c>
      <c r="F54" s="71">
        <f>ROUND(E54*F52,2)</f>
        <v>0.03</v>
      </c>
      <c r="G54" s="76"/>
      <c r="H54" s="71"/>
      <c r="I54" s="71"/>
      <c r="J54" s="71"/>
      <c r="K54" s="71"/>
      <c r="L54" s="71"/>
      <c r="M54" s="71"/>
    </row>
    <row r="55" spans="1:14">
      <c r="A55" s="68"/>
      <c r="B55" s="69"/>
      <c r="C55" s="70"/>
      <c r="D55" s="68"/>
      <c r="E55" s="71"/>
      <c r="F55" s="71"/>
      <c r="G55" s="71"/>
      <c r="H55" s="71"/>
      <c r="I55" s="71"/>
      <c r="J55" s="71"/>
      <c r="K55" s="71"/>
      <c r="L55" s="71"/>
      <c r="M55" s="72"/>
    </row>
    <row r="56" spans="1:14" ht="25.5">
      <c r="A56" s="68">
        <v>1.7</v>
      </c>
      <c r="B56" s="78" t="s">
        <v>379</v>
      </c>
      <c r="C56" s="70" t="s">
        <v>282</v>
      </c>
      <c r="D56" s="68" t="s">
        <v>361</v>
      </c>
      <c r="E56" s="71"/>
      <c r="F56" s="71">
        <f>F41</f>
        <v>75</v>
      </c>
      <c r="G56" s="71"/>
      <c r="H56" s="71"/>
      <c r="I56" s="71"/>
      <c r="J56" s="71"/>
      <c r="K56" s="71"/>
      <c r="L56" s="71"/>
      <c r="M56" s="72"/>
    </row>
    <row r="57" spans="1:14">
      <c r="A57" s="68"/>
      <c r="B57" s="78"/>
      <c r="C57" s="70"/>
      <c r="D57" s="68" t="s">
        <v>383</v>
      </c>
      <c r="E57" s="71"/>
      <c r="F57" s="73">
        <f>F42</f>
        <v>0.90300000000000002</v>
      </c>
      <c r="G57" s="71"/>
      <c r="H57" s="71"/>
      <c r="I57" s="71"/>
      <c r="J57" s="71"/>
      <c r="K57" s="71"/>
      <c r="L57" s="71"/>
      <c r="M57" s="71"/>
    </row>
    <row r="58" spans="1:14">
      <c r="A58" s="68" t="s">
        <v>63</v>
      </c>
      <c r="B58" s="78"/>
      <c r="C58" s="70" t="s">
        <v>15</v>
      </c>
      <c r="D58" s="68" t="s">
        <v>1</v>
      </c>
      <c r="E58" s="81">
        <f>37.5-2*0.07</f>
        <v>37.36</v>
      </c>
      <c r="F58" s="71">
        <f>E58*F57</f>
        <v>33.736080000000001</v>
      </c>
      <c r="G58" s="71"/>
      <c r="H58" s="71"/>
      <c r="I58" s="71"/>
      <c r="J58" s="71"/>
      <c r="K58" s="71"/>
      <c r="L58" s="71"/>
      <c r="M58" s="71"/>
    </row>
    <row r="59" spans="1:14">
      <c r="A59" s="68" t="s">
        <v>64</v>
      </c>
      <c r="B59" s="80" t="s">
        <v>373</v>
      </c>
      <c r="C59" s="70" t="s">
        <v>91</v>
      </c>
      <c r="D59" s="68" t="s">
        <v>24</v>
      </c>
      <c r="E59" s="81">
        <v>3.7</v>
      </c>
      <c r="F59" s="71">
        <f>E59*F57</f>
        <v>3.3411000000000004</v>
      </c>
      <c r="G59" s="71"/>
      <c r="H59" s="71"/>
      <c r="I59" s="71"/>
      <c r="J59" s="71"/>
      <c r="K59" s="76"/>
      <c r="L59" s="71"/>
      <c r="M59" s="71"/>
      <c r="N59" s="51" t="s">
        <v>60</v>
      </c>
    </row>
    <row r="60" spans="1:14">
      <c r="A60" s="68" t="s">
        <v>218</v>
      </c>
      <c r="B60" s="80" t="s">
        <v>374</v>
      </c>
      <c r="C60" s="70" t="s">
        <v>92</v>
      </c>
      <c r="D60" s="68" t="s">
        <v>24</v>
      </c>
      <c r="E60" s="81">
        <v>11.1</v>
      </c>
      <c r="F60" s="71">
        <f>E60*F57</f>
        <v>10.023300000000001</v>
      </c>
      <c r="G60" s="71"/>
      <c r="H60" s="71"/>
      <c r="I60" s="71"/>
      <c r="J60" s="71"/>
      <c r="K60" s="76"/>
      <c r="L60" s="71"/>
      <c r="M60" s="71"/>
    </row>
    <row r="61" spans="1:14">
      <c r="A61" s="68" t="s">
        <v>219</v>
      </c>
      <c r="B61" s="80" t="s">
        <v>380</v>
      </c>
      <c r="C61" s="70" t="s">
        <v>95</v>
      </c>
      <c r="D61" s="68" t="s">
        <v>24</v>
      </c>
      <c r="E61" s="81">
        <v>3.02</v>
      </c>
      <c r="F61" s="71">
        <f>E61*F57</f>
        <v>2.7270600000000003</v>
      </c>
      <c r="G61" s="71"/>
      <c r="H61" s="71"/>
      <c r="I61" s="71"/>
      <c r="J61" s="71"/>
      <c r="K61" s="76"/>
      <c r="L61" s="71"/>
      <c r="M61" s="71"/>
    </row>
    <row r="62" spans="1:14">
      <c r="A62" s="68" t="s">
        <v>220</v>
      </c>
      <c r="B62" s="78"/>
      <c r="C62" s="70" t="s">
        <v>13</v>
      </c>
      <c r="D62" s="68" t="s">
        <v>25</v>
      </c>
      <c r="E62" s="81">
        <v>2.2999999999999998</v>
      </c>
      <c r="F62" s="71">
        <f>E62*F57</f>
        <v>2.0768999999999997</v>
      </c>
      <c r="G62" s="71"/>
      <c r="H62" s="71"/>
      <c r="I62" s="71"/>
      <c r="J62" s="71"/>
      <c r="K62" s="71"/>
      <c r="L62" s="71"/>
      <c r="M62" s="71"/>
    </row>
    <row r="63" spans="1:14">
      <c r="A63" s="68" t="s">
        <v>221</v>
      </c>
      <c r="B63" s="80" t="s">
        <v>384</v>
      </c>
      <c r="C63" s="70" t="s">
        <v>279</v>
      </c>
      <c r="D63" s="68" t="s">
        <v>23</v>
      </c>
      <c r="E63" s="79">
        <f>97.4-2*12.1</f>
        <v>73.2</v>
      </c>
      <c r="F63" s="71">
        <f>E63*F57</f>
        <v>66.099600000000009</v>
      </c>
      <c r="G63" s="71"/>
      <c r="H63" s="71"/>
      <c r="I63" s="71"/>
      <c r="J63" s="71"/>
      <c r="K63" s="71"/>
      <c r="L63" s="71"/>
      <c r="M63" s="71"/>
    </row>
    <row r="64" spans="1:14">
      <c r="A64" s="68" t="s">
        <v>222</v>
      </c>
      <c r="B64" s="78"/>
      <c r="C64" s="70" t="s">
        <v>14</v>
      </c>
      <c r="D64" s="68" t="s">
        <v>25</v>
      </c>
      <c r="E64" s="81">
        <f>14.5-2*0.2</f>
        <v>14.1</v>
      </c>
      <c r="F64" s="71">
        <f>E64*F57</f>
        <v>12.7323</v>
      </c>
      <c r="G64" s="71"/>
      <c r="H64" s="71"/>
      <c r="I64" s="71"/>
      <c r="J64" s="71"/>
      <c r="K64" s="71"/>
      <c r="L64" s="71"/>
      <c r="M64" s="71"/>
    </row>
    <row r="65" spans="1:13" ht="12" customHeight="1">
      <c r="A65" s="68"/>
      <c r="B65" s="78"/>
      <c r="C65" s="70"/>
      <c r="D65" s="68"/>
      <c r="E65" s="71"/>
      <c r="F65" s="71"/>
      <c r="G65" s="71"/>
      <c r="H65" s="71"/>
      <c r="I65" s="71"/>
      <c r="J65" s="71"/>
      <c r="K65" s="71"/>
      <c r="L65" s="71"/>
      <c r="M65" s="72"/>
    </row>
    <row r="66" spans="1:13" ht="12" customHeight="1">
      <c r="A66" s="68">
        <v>1.8</v>
      </c>
      <c r="B66" s="69" t="s">
        <v>364</v>
      </c>
      <c r="C66" s="70" t="s">
        <v>256</v>
      </c>
      <c r="D66" s="68" t="s">
        <v>365</v>
      </c>
      <c r="E66" s="71"/>
      <c r="F66" s="71">
        <v>3</v>
      </c>
      <c r="G66" s="71"/>
      <c r="H66" s="71"/>
      <c r="I66" s="71"/>
      <c r="J66" s="71"/>
      <c r="K66" s="71"/>
      <c r="L66" s="71"/>
      <c r="M66" s="72"/>
    </row>
    <row r="67" spans="1:13" s="54" customFormat="1">
      <c r="A67" s="68"/>
      <c r="B67" s="69"/>
      <c r="C67" s="75"/>
      <c r="D67" s="68" t="s">
        <v>366</v>
      </c>
      <c r="E67" s="71"/>
      <c r="F67" s="71">
        <f>F66/100</f>
        <v>0.03</v>
      </c>
      <c r="G67" s="71"/>
      <c r="H67" s="71"/>
      <c r="I67" s="71"/>
      <c r="J67" s="71"/>
      <c r="K67" s="71"/>
      <c r="L67" s="71"/>
      <c r="M67" s="71"/>
    </row>
    <row r="68" spans="1:13" s="54" customFormat="1">
      <c r="A68" s="68" t="s">
        <v>65</v>
      </c>
      <c r="B68" s="69"/>
      <c r="C68" s="75" t="s">
        <v>15</v>
      </c>
      <c r="D68" s="68" t="s">
        <v>1</v>
      </c>
      <c r="E68" s="71">
        <v>15</v>
      </c>
      <c r="F68" s="71">
        <f>E68*F67</f>
        <v>0.44999999999999996</v>
      </c>
      <c r="G68" s="71"/>
      <c r="H68" s="71"/>
      <c r="I68" s="71"/>
      <c r="J68" s="71"/>
      <c r="K68" s="71"/>
      <c r="L68" s="71"/>
      <c r="M68" s="71"/>
    </row>
    <row r="69" spans="1:13" s="54" customFormat="1">
      <c r="A69" s="68" t="s">
        <v>66</v>
      </c>
      <c r="B69" s="74" t="s">
        <v>363</v>
      </c>
      <c r="C69" s="75" t="s">
        <v>74</v>
      </c>
      <c r="D69" s="68" t="s">
        <v>24</v>
      </c>
      <c r="E69" s="71">
        <v>2.16</v>
      </c>
      <c r="F69" s="71">
        <f>E69*F67</f>
        <v>6.4799999999999996E-2</v>
      </c>
      <c r="G69" s="71"/>
      <c r="H69" s="71"/>
      <c r="I69" s="71"/>
      <c r="J69" s="71"/>
      <c r="K69" s="76"/>
      <c r="L69" s="71"/>
      <c r="M69" s="71"/>
    </row>
    <row r="70" spans="1:13" s="54" customFormat="1">
      <c r="A70" s="68" t="s">
        <v>234</v>
      </c>
      <c r="B70" s="74" t="s">
        <v>367</v>
      </c>
      <c r="C70" s="75" t="s">
        <v>90</v>
      </c>
      <c r="D70" s="68" t="s">
        <v>24</v>
      </c>
      <c r="E70" s="71">
        <v>2.73</v>
      </c>
      <c r="F70" s="71">
        <f>E70*F67</f>
        <v>8.1900000000000001E-2</v>
      </c>
      <c r="G70" s="71"/>
      <c r="H70" s="71"/>
      <c r="I70" s="71"/>
      <c r="J70" s="71"/>
      <c r="K70" s="76"/>
      <c r="L70" s="71"/>
      <c r="M70" s="71"/>
    </row>
    <row r="71" spans="1:13" s="54" customFormat="1">
      <c r="A71" s="68" t="s">
        <v>235</v>
      </c>
      <c r="B71" s="74" t="s">
        <v>368</v>
      </c>
      <c r="C71" s="75" t="s">
        <v>75</v>
      </c>
      <c r="D71" s="68" t="s">
        <v>24</v>
      </c>
      <c r="E71" s="71">
        <v>0.97</v>
      </c>
      <c r="F71" s="71">
        <f>E71*F67</f>
        <v>2.9099999999999997E-2</v>
      </c>
      <c r="G71" s="71"/>
      <c r="H71" s="71"/>
      <c r="I71" s="71"/>
      <c r="J71" s="71"/>
      <c r="K71" s="76"/>
      <c r="L71" s="71"/>
      <c r="M71" s="71"/>
    </row>
    <row r="72" spans="1:13">
      <c r="A72" s="68" t="s">
        <v>236</v>
      </c>
      <c r="B72" s="69"/>
      <c r="C72" s="75" t="s">
        <v>76</v>
      </c>
      <c r="D72" s="68" t="s">
        <v>365</v>
      </c>
      <c r="E72" s="71">
        <v>7</v>
      </c>
      <c r="F72" s="71">
        <f>E72*F67</f>
        <v>0.21</v>
      </c>
      <c r="G72" s="71"/>
      <c r="H72" s="71"/>
      <c r="I72" s="71"/>
      <c r="J72" s="71"/>
      <c r="K72" s="71"/>
      <c r="L72" s="71"/>
      <c r="M72" s="71"/>
    </row>
    <row r="73" spans="1:13">
      <c r="A73" s="68" t="s">
        <v>283</v>
      </c>
      <c r="B73" s="74" t="s">
        <v>369</v>
      </c>
      <c r="C73" s="75" t="s">
        <v>170</v>
      </c>
      <c r="D73" s="68" t="s">
        <v>365</v>
      </c>
      <c r="E73" s="71">
        <v>122</v>
      </c>
      <c r="F73" s="71">
        <f>E73*F67</f>
        <v>3.6599999999999997</v>
      </c>
      <c r="G73" s="71"/>
      <c r="H73" s="71"/>
      <c r="I73" s="71"/>
      <c r="J73" s="71"/>
      <c r="K73" s="71"/>
      <c r="L73" s="71"/>
      <c r="M73" s="71"/>
    </row>
    <row r="74" spans="1:13">
      <c r="A74" s="68"/>
      <c r="B74" s="82"/>
      <c r="C74" s="70"/>
      <c r="D74" s="68"/>
      <c r="E74" s="71"/>
      <c r="F74" s="71"/>
      <c r="G74" s="71"/>
      <c r="H74" s="71"/>
      <c r="I74" s="71"/>
      <c r="J74" s="71"/>
      <c r="K74" s="71"/>
      <c r="L74" s="71"/>
      <c r="M74" s="72"/>
    </row>
    <row r="75" spans="1:13">
      <c r="A75" s="68"/>
      <c r="B75" s="82"/>
      <c r="C75" s="70"/>
      <c r="D75" s="68"/>
      <c r="E75" s="71"/>
      <c r="F75" s="71"/>
      <c r="G75" s="71"/>
      <c r="H75" s="71"/>
      <c r="I75" s="71"/>
      <c r="J75" s="71"/>
      <c r="K75" s="71"/>
      <c r="L75" s="71"/>
      <c r="M75" s="72"/>
    </row>
    <row r="76" spans="1:13">
      <c r="A76" s="66"/>
      <c r="B76" s="83"/>
      <c r="C76" s="66" t="s">
        <v>4</v>
      </c>
      <c r="D76" s="66"/>
      <c r="E76" s="67"/>
      <c r="F76" s="67"/>
      <c r="G76" s="67"/>
      <c r="H76" s="67"/>
      <c r="I76" s="67"/>
      <c r="J76" s="67"/>
      <c r="K76" s="67"/>
      <c r="L76" s="67"/>
      <c r="M76" s="67"/>
    </row>
    <row r="77" spans="1:13">
      <c r="A77" s="66"/>
      <c r="B77" s="69"/>
      <c r="C77" s="68"/>
      <c r="D77" s="68"/>
      <c r="E77" s="71"/>
      <c r="F77" s="71"/>
      <c r="G77" s="71"/>
      <c r="H77" s="71"/>
      <c r="I77" s="71"/>
      <c r="J77" s="71"/>
      <c r="K77" s="71"/>
      <c r="L77" s="71"/>
      <c r="M77" s="71"/>
    </row>
    <row r="78" spans="1:13">
      <c r="A78" s="66"/>
      <c r="B78" s="69"/>
      <c r="C78" s="68" t="s">
        <v>10</v>
      </c>
      <c r="D78" s="84">
        <v>0.1</v>
      </c>
      <c r="E78" s="71"/>
      <c r="F78" s="71"/>
      <c r="G78" s="71"/>
      <c r="H78" s="71"/>
      <c r="I78" s="71"/>
      <c r="J78" s="71"/>
      <c r="K78" s="71"/>
      <c r="L78" s="71"/>
      <c r="M78" s="71"/>
    </row>
    <row r="79" spans="1:13">
      <c r="A79" s="66"/>
      <c r="B79" s="69"/>
      <c r="C79" s="68" t="s">
        <v>4</v>
      </c>
      <c r="D79" s="84"/>
      <c r="E79" s="71"/>
      <c r="F79" s="71"/>
      <c r="G79" s="71"/>
      <c r="H79" s="71"/>
      <c r="I79" s="71"/>
      <c r="J79" s="71"/>
      <c r="K79" s="71"/>
      <c r="L79" s="71"/>
      <c r="M79" s="71"/>
    </row>
    <row r="80" spans="1:13">
      <c r="A80" s="66"/>
      <c r="B80" s="69"/>
      <c r="C80" s="68" t="s">
        <v>11</v>
      </c>
      <c r="D80" s="84">
        <v>0.08</v>
      </c>
      <c r="E80" s="71"/>
      <c r="F80" s="71"/>
      <c r="G80" s="71"/>
      <c r="H80" s="71"/>
      <c r="I80" s="71"/>
      <c r="J80" s="71"/>
      <c r="K80" s="71"/>
      <c r="L80" s="71"/>
      <c r="M80" s="71"/>
    </row>
    <row r="81" spans="1:13">
      <c r="A81" s="66"/>
      <c r="B81" s="69"/>
      <c r="C81" s="68"/>
      <c r="D81" s="84"/>
      <c r="E81" s="71"/>
      <c r="F81" s="71"/>
      <c r="G81" s="71"/>
      <c r="H81" s="71"/>
      <c r="I81" s="71"/>
      <c r="J81" s="71"/>
      <c r="K81" s="71"/>
      <c r="L81" s="71"/>
      <c r="M81" s="71"/>
    </row>
    <row r="82" spans="1:13">
      <c r="A82" s="85"/>
      <c r="B82" s="86"/>
      <c r="C82" s="66" t="s">
        <v>4</v>
      </c>
      <c r="D82" s="66"/>
      <c r="E82" s="67"/>
      <c r="F82" s="67"/>
      <c r="G82" s="67"/>
      <c r="H82" s="67"/>
      <c r="I82" s="67"/>
      <c r="J82" s="67"/>
      <c r="K82" s="67"/>
      <c r="L82" s="67"/>
      <c r="M82" s="67"/>
    </row>
    <row r="83" spans="1:13">
      <c r="B83" s="57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8"/>
    </row>
    <row r="84" spans="1:13">
      <c r="B84" s="57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8"/>
    </row>
    <row r="85" spans="1:13">
      <c r="B85" s="57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8"/>
    </row>
    <row r="86" spans="1:13">
      <c r="B86" s="57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8"/>
    </row>
    <row r="87" spans="1:13">
      <c r="B87" s="57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1:13">
      <c r="B88" s="57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>
      <c r="B89" s="57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>
      <c r="B90" s="57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>
      <c r="B91" s="57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>
      <c r="B92" s="57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8"/>
    </row>
    <row r="93" spans="1:13">
      <c r="B93" s="57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8"/>
    </row>
    <row r="94" spans="1:13">
      <c r="B94" s="57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>
      <c r="B95" s="57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>
      <c r="B96" s="57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2:13">
      <c r="B97" s="57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2:13">
      <c r="B98" s="57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8"/>
    </row>
    <row r="99" spans="2:13">
      <c r="B99" s="57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8"/>
    </row>
    <row r="100" spans="2:13">
      <c r="B100" s="57"/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2:13">
      <c r="B101" s="57"/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>
      <c r="B102" s="57"/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2:13">
      <c r="B103" s="57"/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2:13">
      <c r="B104" s="57"/>
      <c r="C104" s="56"/>
      <c r="D104" s="57"/>
      <c r="E104" s="57"/>
      <c r="F104" s="57"/>
      <c r="G104" s="57"/>
      <c r="H104" s="57"/>
      <c r="I104" s="57"/>
      <c r="J104" s="57"/>
      <c r="K104" s="57"/>
      <c r="L104" s="57"/>
      <c r="M104" s="58"/>
    </row>
    <row r="105" spans="2:13">
      <c r="B105" s="57"/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8"/>
    </row>
    <row r="106" spans="2:13">
      <c r="B106" s="57"/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2:13">
      <c r="B107" s="57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2:13">
      <c r="B108" s="57"/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2:13">
      <c r="B109" s="57"/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2:13">
      <c r="B110" s="57"/>
      <c r="C110" s="56"/>
      <c r="D110" s="57"/>
      <c r="E110" s="57"/>
      <c r="F110" s="57"/>
      <c r="G110" s="57"/>
      <c r="H110" s="57"/>
      <c r="I110" s="57"/>
      <c r="J110" s="57"/>
      <c r="K110" s="57"/>
      <c r="L110" s="57"/>
      <c r="M110" s="58"/>
    </row>
    <row r="111" spans="2:13">
      <c r="B111" s="57"/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8"/>
    </row>
    <row r="112" spans="2:13">
      <c r="B112" s="57"/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2:13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9"/>
    </row>
    <row r="114" spans="2:13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9"/>
    </row>
    <row r="115" spans="2:13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9"/>
    </row>
    <row r="116" spans="2:13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9"/>
    </row>
    <row r="117" spans="2:13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9"/>
    </row>
    <row r="118" spans="2:13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9"/>
    </row>
    <row r="119" spans="2:13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9"/>
    </row>
    <row r="120" spans="2:13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9"/>
    </row>
    <row r="121" spans="2:13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9"/>
    </row>
    <row r="122" spans="2:13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9"/>
    </row>
    <row r="123" spans="2:13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9"/>
    </row>
    <row r="124" spans="2:13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9"/>
    </row>
    <row r="125" spans="2:13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9"/>
    </row>
  </sheetData>
  <mergeCells count="9"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110</vt:i4>
      </vt:variant>
    </vt:vector>
  </HeadingPairs>
  <TitlesOfParts>
    <vt:vector size="122" baseType="lpstr">
      <vt:lpstr>კრებსითი</vt:lpstr>
      <vt:lpstr>1-1</vt:lpstr>
      <vt:lpstr>2-1</vt:lpstr>
      <vt:lpstr>3-1</vt:lpstr>
      <vt:lpstr>3-2</vt:lpstr>
      <vt:lpstr>3-3</vt:lpstr>
      <vt:lpstr>4-1</vt:lpstr>
      <vt:lpstr>4-2</vt:lpstr>
      <vt:lpstr>5-1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'3-2'!Область_печати</vt:lpstr>
      <vt:lpstr>'3-3'!Область_печати</vt:lpstr>
      <vt:lpstr>'4-1'!Область_печати</vt:lpstr>
      <vt:lpstr>'4-2'!Область_печати</vt:lpstr>
      <vt:lpstr>'5-1'!Область_печати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2018-09-12T14:10:10Z</dcterms:modified>
</cp:coreProperties>
</file>