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8"/>
  </bookViews>
  <sheets>
    <sheet name="კრებსითი" sheetId="4" r:id="rId1"/>
    <sheet name="1-1" sheetId="5" r:id="rId2"/>
    <sheet name="2-1" sheetId="9" r:id="rId3"/>
    <sheet name="3-1" sheetId="15" r:id="rId4"/>
    <sheet name="3-2" sheetId="33" r:id="rId5"/>
    <sheet name="4-1" sheetId="32" r:id="rId6"/>
    <sheet name="სატენდერო კრებსითი" sheetId="31" r:id="rId7"/>
    <sheet name="სატენდერო" sheetId="30" r:id="rId8"/>
    <sheet name="ტრანსპორტირება" sheetId="29" r:id="rId9"/>
  </sheets>
  <definedNames>
    <definedName name="_xlnm._FilterDatabase" localSheetId="3" hidden="1">'3-1'!$A$1:$M$161</definedName>
    <definedName name="_xlnm._FilterDatabase" localSheetId="4" hidden="1">'3-2'!$A$1:$M$181</definedName>
    <definedName name="_xlnm._FilterDatabase" localSheetId="5" hidden="1">'4-1'!$A$1:$M$126</definedName>
    <definedName name="_xlnm.Print_Area" localSheetId="1">'1-1'!$A$1:$M$29</definedName>
    <definedName name="_xlnm.Print_Area" localSheetId="2">'2-1'!$A$1:$M$55</definedName>
    <definedName name="_xlnm.Print_Area" localSheetId="3">'3-1'!$A$2:$M$109</definedName>
    <definedName name="_xlnm.Print_Area" localSheetId="4">'3-2'!$A$2:$M$133</definedName>
    <definedName name="_xlnm.Print_Area" localSheetId="5">'4-1'!$A$2:$M$76</definedName>
    <definedName name="_xlnm.Print_Area" localSheetId="0">კრებსითი!$A$1:$G$49</definedName>
    <definedName name="_xlnm.Print_Area" localSheetId="6">'სატენდერო კრებსითი'!$A$1:$D$31</definedName>
    <definedName name="_xlnm.Print_Area" localSheetId="8">ტრანსპორტირება!$A$1:$L$70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2"/>
  <c r="F62" l="1"/>
  <c r="F61"/>
  <c r="F60"/>
  <c r="E59"/>
  <c r="F59" s="1"/>
  <c r="F58"/>
  <c r="F57"/>
  <c r="E53"/>
  <c r="E52"/>
  <c r="F46"/>
  <c r="F38"/>
  <c r="F37"/>
  <c r="F33"/>
  <c r="F35" s="1"/>
  <c r="F25"/>
  <c r="F24"/>
  <c r="F20"/>
  <c r="F22" s="1"/>
  <c r="F11"/>
  <c r="F17" s="1"/>
  <c r="F53" l="1"/>
  <c r="F14"/>
  <c r="F49"/>
  <c r="F52"/>
  <c r="F15"/>
  <c r="F47"/>
  <c r="F51"/>
  <c r="F50"/>
  <c r="F48"/>
  <c r="F34"/>
  <c r="F40"/>
  <c r="F42"/>
  <c r="F36"/>
  <c r="F39"/>
  <c r="F41"/>
  <c r="F21"/>
  <c r="F27"/>
  <c r="F29"/>
  <c r="F23"/>
  <c r="F26"/>
  <c r="F28"/>
  <c r="F13"/>
  <c r="F12"/>
  <c r="F16"/>
  <c r="F118" i="33" l="1"/>
  <c r="E114"/>
  <c r="F110"/>
  <c r="F111" s="1"/>
  <c r="F112" s="1"/>
  <c r="F104"/>
  <c r="F106" s="1"/>
  <c r="F97"/>
  <c r="F101" s="1"/>
  <c r="F92"/>
  <c r="F94" s="1"/>
  <c r="F86"/>
  <c r="F88" s="1"/>
  <c r="E82"/>
  <c r="F81"/>
  <c r="F77"/>
  <c r="F74"/>
  <c r="F78" s="1"/>
  <c r="E68"/>
  <c r="F62"/>
  <c r="F69" s="1"/>
  <c r="F52"/>
  <c r="F53" s="1"/>
  <c r="F45"/>
  <c r="F48" s="1"/>
  <c r="F38"/>
  <c r="F41" s="1"/>
  <c r="F34"/>
  <c r="F35" s="1"/>
  <c r="F26"/>
  <c r="F27" s="1"/>
  <c r="F24"/>
  <c r="F21"/>
  <c r="F22" s="1"/>
  <c r="E19"/>
  <c r="F19" s="1"/>
  <c r="F11"/>
  <c r="F13" s="1"/>
  <c r="F82" l="1"/>
  <c r="F105"/>
  <c r="F29"/>
  <c r="F28"/>
  <c r="F30"/>
  <c r="F31"/>
  <c r="F114"/>
  <c r="F113"/>
  <c r="F107"/>
  <c r="F108"/>
  <c r="F99"/>
  <c r="F98"/>
  <c r="F93"/>
  <c r="F87"/>
  <c r="F89"/>
  <c r="F83"/>
  <c r="F76"/>
  <c r="F75"/>
  <c r="F68"/>
  <c r="F63"/>
  <c r="F65"/>
  <c r="F70"/>
  <c r="F71"/>
  <c r="F64"/>
  <c r="F67"/>
  <c r="F58"/>
  <c r="F55"/>
  <c r="F59"/>
  <c r="F57"/>
  <c r="F54"/>
  <c r="F46"/>
  <c r="F49"/>
  <c r="F47"/>
  <c r="F42"/>
  <c r="F40"/>
  <c r="F39"/>
  <c r="F12"/>
  <c r="F15"/>
  <c r="F14"/>
  <c r="F93" i="15"/>
  <c r="F86"/>
  <c r="F88" s="1"/>
  <c r="F83"/>
  <c r="F82"/>
  <c r="F81"/>
  <c r="F80"/>
  <c r="E75"/>
  <c r="F74"/>
  <c r="F70"/>
  <c r="F67"/>
  <c r="F71" s="1"/>
  <c r="E61"/>
  <c r="F55"/>
  <c r="F64" s="1"/>
  <c r="F48"/>
  <c r="F51" s="1"/>
  <c r="F41"/>
  <c r="F44" s="1"/>
  <c r="F33"/>
  <c r="F34" s="1"/>
  <c r="F38" s="1"/>
  <c r="F31"/>
  <c r="F75" l="1"/>
  <c r="F62"/>
  <c r="F63"/>
  <c r="F57"/>
  <c r="F58"/>
  <c r="F60"/>
  <c r="F61"/>
  <c r="F94"/>
  <c r="F96"/>
  <c r="F97"/>
  <c r="F95"/>
  <c r="F87"/>
  <c r="F90"/>
  <c r="F89"/>
  <c r="F76"/>
  <c r="F69"/>
  <c r="F68"/>
  <c r="F56"/>
  <c r="F50"/>
  <c r="F49"/>
  <c r="F52"/>
  <c r="F45"/>
  <c r="F43"/>
  <c r="F42"/>
  <c r="F35"/>
  <c r="F37"/>
  <c r="F36"/>
  <c r="F18"/>
  <c r="F22" s="1"/>
  <c r="F11"/>
  <c r="E15"/>
  <c r="E14"/>
  <c r="E13"/>
  <c r="E12"/>
  <c r="F25"/>
  <c r="F45" i="9"/>
  <c r="F42"/>
  <c r="F41"/>
  <c r="F40"/>
  <c r="F38"/>
  <c r="F32"/>
  <c r="F36" s="1"/>
  <c r="F25"/>
  <c r="F29" s="1"/>
  <c r="F22"/>
  <c r="F19"/>
  <c r="F16"/>
  <c r="F20" s="1"/>
  <c r="F9"/>
  <c r="F13" s="1"/>
  <c r="E18" i="5"/>
  <c r="F12" i="15" l="1"/>
  <c r="F15"/>
  <c r="F13"/>
  <c r="F21"/>
  <c r="F20"/>
  <c r="F19"/>
  <c r="F14"/>
  <c r="F35" i="9"/>
  <c r="F34"/>
  <c r="F33"/>
  <c r="F26"/>
  <c r="F28"/>
  <c r="F27"/>
  <c r="F18"/>
  <c r="F17"/>
  <c r="F12"/>
  <c r="F10"/>
  <c r="F11"/>
  <c r="J31" i="29" l="1"/>
  <c r="J29"/>
  <c r="J28"/>
  <c r="J27"/>
  <c r="B30" i="4" l="1"/>
  <c r="I79" i="30"/>
  <c r="D79"/>
  <c r="C79"/>
  <c r="E79" s="1"/>
  <c r="A79"/>
  <c r="B79"/>
  <c r="I78"/>
  <c r="I77"/>
  <c r="I76"/>
  <c r="I75"/>
  <c r="I74"/>
  <c r="I73"/>
  <c r="I72"/>
  <c r="I71"/>
  <c r="I70"/>
  <c r="I69"/>
  <c r="I68"/>
  <c r="I67"/>
  <c r="I66"/>
  <c r="I65"/>
  <c r="I64"/>
  <c r="I63"/>
  <c r="I62"/>
  <c r="D77"/>
  <c r="D76"/>
  <c r="D75"/>
  <c r="D74"/>
  <c r="D73"/>
  <c r="D72"/>
  <c r="D71"/>
  <c r="D70"/>
  <c r="D69"/>
  <c r="D68"/>
  <c r="D67"/>
  <c r="D63"/>
  <c r="D62"/>
  <c r="C78"/>
  <c r="E78" s="1"/>
  <c r="C77"/>
  <c r="E77" s="1"/>
  <c r="C76"/>
  <c r="E76" s="1"/>
  <c r="C75"/>
  <c r="E75" s="1"/>
  <c r="C74"/>
  <c r="E74" s="1"/>
  <c r="C73"/>
  <c r="E73" s="1"/>
  <c r="C72"/>
  <c r="E72" s="1"/>
  <c r="C71"/>
  <c r="C70"/>
  <c r="E70" s="1"/>
  <c r="C69"/>
  <c r="E69" s="1"/>
  <c r="C68"/>
  <c r="E68" s="1"/>
  <c r="C67"/>
  <c r="E67" s="1"/>
  <c r="C66"/>
  <c r="E66" s="1"/>
  <c r="C65"/>
  <c r="E65" s="1"/>
  <c r="C64"/>
  <c r="E64" s="1"/>
  <c r="C63"/>
  <c r="E63" s="1"/>
  <c r="C62"/>
  <c r="E62" s="1"/>
  <c r="A78"/>
  <c r="A77"/>
  <c r="A76"/>
  <c r="A75"/>
  <c r="A74"/>
  <c r="A73"/>
  <c r="A72"/>
  <c r="A71"/>
  <c r="A70"/>
  <c r="A69"/>
  <c r="A68"/>
  <c r="A67"/>
  <c r="A66"/>
  <c r="A65"/>
  <c r="A64"/>
  <c r="A63"/>
  <c r="A62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24" i="31" s="1"/>
  <c r="F117" i="33"/>
  <c r="H67" i="30"/>
  <c r="D64"/>
  <c r="H63"/>
  <c r="H64" l="1"/>
  <c r="H79"/>
  <c r="D78"/>
  <c r="F78" s="1"/>
  <c r="F71"/>
  <c r="F79"/>
  <c r="F64"/>
  <c r="F63"/>
  <c r="G63" s="1"/>
  <c r="F75"/>
  <c r="E71"/>
  <c r="F77"/>
  <c r="F68"/>
  <c r="H65"/>
  <c r="F72"/>
  <c r="F70"/>
  <c r="F76"/>
  <c r="F74"/>
  <c r="F67"/>
  <c r="G67" s="1"/>
  <c r="F62"/>
  <c r="F69"/>
  <c r="F73"/>
  <c r="H62"/>
  <c r="D66"/>
  <c r="F66" s="1"/>
  <c r="H73"/>
  <c r="H77"/>
  <c r="H76"/>
  <c r="H74"/>
  <c r="G77" l="1"/>
  <c r="H75"/>
  <c r="G75" s="1"/>
  <c r="D65"/>
  <c r="F65" s="1"/>
  <c r="G65" s="1"/>
  <c r="H78"/>
  <c r="G78" s="1"/>
  <c r="G64"/>
  <c r="H66"/>
  <c r="G66" s="1"/>
  <c r="G73"/>
  <c r="G62"/>
  <c r="H68"/>
  <c r="G68" s="1"/>
  <c r="H69"/>
  <c r="G69" s="1"/>
  <c r="H70"/>
  <c r="G70" s="1"/>
  <c r="G79"/>
  <c r="G76"/>
  <c r="G74"/>
  <c r="H72"/>
  <c r="G72" s="1"/>
  <c r="H71"/>
  <c r="G71" s="1"/>
  <c r="H80" l="1"/>
  <c r="H81" s="1"/>
  <c r="H82" s="1"/>
  <c r="H83" s="1"/>
  <c r="H84" s="1"/>
  <c r="D24" i="31" s="1"/>
  <c r="I88" i="30" l="1"/>
  <c r="I87"/>
  <c r="D88"/>
  <c r="D87"/>
  <c r="C88"/>
  <c r="E88" s="1"/>
  <c r="C87"/>
  <c r="E87" s="1"/>
  <c r="A88"/>
  <c r="A87"/>
  <c r="B88"/>
  <c r="B87"/>
  <c r="I35"/>
  <c r="I34"/>
  <c r="I33"/>
  <c r="I32"/>
  <c r="I31"/>
  <c r="I30"/>
  <c r="I29"/>
  <c r="I28"/>
  <c r="D35"/>
  <c r="D32"/>
  <c r="D29"/>
  <c r="D28"/>
  <c r="C35"/>
  <c r="E35" s="1"/>
  <c r="C34"/>
  <c r="E34" s="1"/>
  <c r="C33"/>
  <c r="C32"/>
  <c r="E32" s="1"/>
  <c r="C31"/>
  <c r="C30"/>
  <c r="E30" s="1"/>
  <c r="C29"/>
  <c r="F29" s="1"/>
  <c r="C28"/>
  <c r="E28" s="1"/>
  <c r="A35"/>
  <c r="A34"/>
  <c r="A33"/>
  <c r="A32"/>
  <c r="A31"/>
  <c r="A30"/>
  <c r="A29"/>
  <c r="A28"/>
  <c r="B35"/>
  <c r="B34"/>
  <c r="B33"/>
  <c r="B32"/>
  <c r="B31"/>
  <c r="B30"/>
  <c r="B29"/>
  <c r="B28"/>
  <c r="F24" i="9"/>
  <c r="D30" i="30"/>
  <c r="F47" i="9"/>
  <c r="F46"/>
  <c r="H35" i="30" s="1"/>
  <c r="D34"/>
  <c r="H33"/>
  <c r="H30"/>
  <c r="F33" l="1"/>
  <c r="G33" s="1"/>
  <c r="D33"/>
  <c r="D31"/>
  <c r="F31" s="1"/>
  <c r="F34"/>
  <c r="F88"/>
  <c r="E33"/>
  <c r="F87"/>
  <c r="E31"/>
  <c r="E29"/>
  <c r="F35"/>
  <c r="G35" s="1"/>
  <c r="F32"/>
  <c r="F30"/>
  <c r="G30" s="1"/>
  <c r="F28"/>
  <c r="H88"/>
  <c r="H34"/>
  <c r="H32"/>
  <c r="G88" l="1"/>
  <c r="G34"/>
  <c r="G32"/>
  <c r="H87"/>
  <c r="G87" s="1"/>
  <c r="H29"/>
  <c r="G29" s="1"/>
  <c r="H28"/>
  <c r="H31"/>
  <c r="G31" s="1"/>
  <c r="H36" l="1"/>
  <c r="G28"/>
  <c r="I55"/>
  <c r="I54"/>
  <c r="I53"/>
  <c r="I52"/>
  <c r="I51"/>
  <c r="I50"/>
  <c r="I49"/>
  <c r="I48"/>
  <c r="I47"/>
  <c r="I46"/>
  <c r="I45"/>
  <c r="I44"/>
  <c r="I43"/>
  <c r="I42"/>
  <c r="D55"/>
  <c r="D54"/>
  <c r="D53"/>
  <c r="D52"/>
  <c r="D51"/>
  <c r="D50"/>
  <c r="D49"/>
  <c r="D48"/>
  <c r="D44"/>
  <c r="D43"/>
  <c r="D42"/>
  <c r="C55"/>
  <c r="E55" s="1"/>
  <c r="C54"/>
  <c r="E54" s="1"/>
  <c r="C53"/>
  <c r="E53" s="1"/>
  <c r="C52"/>
  <c r="E52" s="1"/>
  <c r="C51"/>
  <c r="E51" s="1"/>
  <c r="C50"/>
  <c r="E50" s="1"/>
  <c r="C49"/>
  <c r="E49" s="1"/>
  <c r="C48"/>
  <c r="E48" s="1"/>
  <c r="C47"/>
  <c r="E47" s="1"/>
  <c r="C46"/>
  <c r="E46" s="1"/>
  <c r="C45"/>
  <c r="E45" s="1"/>
  <c r="C44"/>
  <c r="E44" s="1"/>
  <c r="C43"/>
  <c r="E43" s="1"/>
  <c r="C42"/>
  <c r="A55"/>
  <c r="A54"/>
  <c r="A53"/>
  <c r="A52"/>
  <c r="A51"/>
  <c r="A50"/>
  <c r="A49"/>
  <c r="A48"/>
  <c r="A47"/>
  <c r="A46"/>
  <c r="A45"/>
  <c r="A44"/>
  <c r="A43"/>
  <c r="A42"/>
  <c r="B55"/>
  <c r="B54"/>
  <c r="B53"/>
  <c r="B52"/>
  <c r="B51"/>
  <c r="B50"/>
  <c r="B49"/>
  <c r="B48"/>
  <c r="B47"/>
  <c r="B46"/>
  <c r="B45"/>
  <c r="B44"/>
  <c r="B43"/>
  <c r="B42"/>
  <c r="F28" i="15"/>
  <c r="H46" i="30" s="1"/>
  <c r="E26" i="15"/>
  <c r="F26" s="1"/>
  <c r="H44" i="30" l="1"/>
  <c r="F42"/>
  <c r="F49"/>
  <c r="F53"/>
  <c r="D46"/>
  <c r="F46" s="1"/>
  <c r="G46" s="1"/>
  <c r="D45"/>
  <c r="F45" s="1"/>
  <c r="D47"/>
  <c r="F47" s="1"/>
  <c r="E42"/>
  <c r="F54"/>
  <c r="F50"/>
  <c r="F55"/>
  <c r="F51"/>
  <c r="F43"/>
  <c r="F52"/>
  <c r="F48"/>
  <c r="F44"/>
  <c r="H43"/>
  <c r="H51"/>
  <c r="H54"/>
  <c r="F29" i="15"/>
  <c r="H45" i="30" s="1"/>
  <c r="H42"/>
  <c r="G44" l="1"/>
  <c r="H52"/>
  <c r="G52" s="1"/>
  <c r="H55"/>
  <c r="G55" s="1"/>
  <c r="H48"/>
  <c r="G48" s="1"/>
  <c r="G42"/>
  <c r="G51"/>
  <c r="G45"/>
  <c r="G54"/>
  <c r="H49"/>
  <c r="G49" s="1"/>
  <c r="G43"/>
  <c r="H53"/>
  <c r="G53" s="1"/>
  <c r="H50" l="1"/>
  <c r="G50" s="1"/>
  <c r="H47"/>
  <c r="G47" s="1"/>
  <c r="I93" l="1"/>
  <c r="I92"/>
  <c r="I91"/>
  <c r="I90"/>
  <c r="I89"/>
  <c r="I86"/>
  <c r="D93"/>
  <c r="D92"/>
  <c r="D91"/>
  <c r="D90"/>
  <c r="D89"/>
  <c r="D86"/>
  <c r="C93"/>
  <c r="E93" s="1"/>
  <c r="C92"/>
  <c r="C91"/>
  <c r="E91" s="1"/>
  <c r="C90"/>
  <c r="E90" s="1"/>
  <c r="C89"/>
  <c r="E89" s="1"/>
  <c r="C86"/>
  <c r="A93"/>
  <c r="A92"/>
  <c r="A91"/>
  <c r="A90"/>
  <c r="A89"/>
  <c r="A86"/>
  <c r="B93"/>
  <c r="B92"/>
  <c r="B91"/>
  <c r="B90"/>
  <c r="B89"/>
  <c r="B86"/>
  <c r="B85"/>
  <c r="B26" i="31" s="1"/>
  <c r="F86" i="30" l="1"/>
  <c r="F92"/>
  <c r="F91"/>
  <c r="F90"/>
  <c r="F93"/>
  <c r="E86"/>
  <c r="F89"/>
  <c r="E92"/>
  <c r="B34" i="4" l="1"/>
  <c r="G70" i="29"/>
  <c r="K70" s="1"/>
  <c r="H92" i="30" l="1"/>
  <c r="G92" s="1"/>
  <c r="H93" l="1"/>
  <c r="G93" s="1"/>
  <c r="H90" l="1"/>
  <c r="G90" s="1"/>
  <c r="H89"/>
  <c r="H91" l="1"/>
  <c r="G91" s="1"/>
  <c r="G89"/>
  <c r="H86" l="1"/>
  <c r="G86" l="1"/>
  <c r="H94"/>
  <c r="H95" s="1"/>
  <c r="H96" s="1"/>
  <c r="H97" s="1"/>
  <c r="H98" s="1"/>
  <c r="D26" i="31" s="1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B41" i="30" l="1"/>
  <c r="B23" i="31" s="1"/>
  <c r="B27" i="30"/>
  <c r="B21" i="31" s="1"/>
  <c r="B20" i="30"/>
  <c r="B19" i="31" s="1"/>
  <c r="I21" i="30"/>
  <c r="D21"/>
  <c r="C21"/>
  <c r="A21"/>
  <c r="B21"/>
  <c r="A13"/>
  <c r="A3"/>
  <c r="A3" i="31" s="1"/>
  <c r="A7" i="30"/>
  <c r="A7" i="31" s="1"/>
  <c r="F21" i="30" l="1"/>
  <c r="E21"/>
  <c r="K69" i="29" l="1"/>
  <c r="A22"/>
  <c r="K68" l="1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A3"/>
  <c r="A7" l="1"/>
  <c r="H56" i="30" l="1"/>
  <c r="H57" s="1"/>
  <c r="H58" s="1"/>
  <c r="H59" s="1"/>
  <c r="H60" s="1"/>
  <c r="D23" i="31" s="1"/>
  <c r="B28" i="4"/>
  <c r="B24"/>
  <c r="B20" l="1"/>
  <c r="F18" i="5" l="1"/>
  <c r="H21" i="30" l="1"/>
  <c r="H22" l="1"/>
  <c r="H23" s="1"/>
  <c r="H24" s="1"/>
  <c r="H25" s="1"/>
  <c r="H26" s="1"/>
  <c r="D19" i="31" s="1"/>
  <c r="G21" i="30"/>
  <c r="H37"/>
  <c r="H38" s="1"/>
  <c r="H39" s="1"/>
  <c r="H40" s="1"/>
  <c r="D21" i="31" s="1"/>
  <c r="D20" i="4"/>
  <c r="D27" i="31" l="1"/>
  <c r="D28" s="1"/>
  <c r="D29" s="1"/>
  <c r="D30" s="1"/>
  <c r="D31" s="1"/>
  <c r="G38" i="4" l="1"/>
  <c r="G39" s="1"/>
  <c r="G40" s="1"/>
  <c r="G41" s="1"/>
  <c r="G42" s="1"/>
  <c r="G43" s="1"/>
  <c r="G44" s="1"/>
  <c r="G46" s="1"/>
</calcChain>
</file>

<file path=xl/sharedStrings.xml><?xml version="1.0" encoding="utf-8"?>
<sst xmlns="http://schemas.openxmlformats.org/spreadsheetml/2006/main" count="1262" uniqueCount="421">
  <si>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</si>
  <si>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</si>
  <si>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</si>
  <si>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</si>
  <si>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</si>
  <si>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</si>
  <si>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</si>
  <si>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</si>
  <si>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</si>
  <si>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</si>
  <si>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</si>
  <si>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</si>
  <si>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</si>
  <si>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</si>
  <si>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</si>
  <si>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</si>
  <si>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</si>
  <si>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</si>
  <si>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</si>
  <si>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</si>
  <si>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</si>
  <si>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</si>
  <si>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</si>
  <si>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</si>
  <si>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</si>
  <si>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</si>
  <si>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</si>
  <si>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</si>
  <si>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</si>
  <si>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</si>
  <si>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</si>
  <si>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</si>
  <si>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</si>
  <si>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</si>
  <si>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</si>
  <si>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</si>
  <si>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</si>
  <si>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</si>
  <si>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</si>
  <si>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</si>
  <si>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</si>
  <si>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</si>
  <si>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</si>
  <si>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</si>
  <si>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</si>
  <si>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</si>
  <si>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</si>
  <si>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</si>
  <si>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</si>
  <si>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</si>
  <si>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</si>
  <si>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</si>
  <si>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</si>
  <si>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</si>
  <si>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მიწის ვაკისი</t>
  </si>
  <si>
    <t xml:space="preserve">ხარჯთაღმრიცხველი: 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</si>
  <si>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</si>
  <si>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</si>
  <si>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</si>
  <si>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</si>
  <si>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</si>
  <si>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</si>
  <si>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</si>
  <si>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</si>
  <si>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</si>
  <si>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</si>
  <si>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</si>
  <si>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</si>
  <si>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</si>
  <si>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</si>
  <si>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</si>
  <si>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</si>
  <si>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</si>
  <si>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</si>
  <si>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</si>
  <si>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</si>
  <si>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</si>
  <si>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თვითმავალი სატკეპნი საგზაო, პნევმოსვლით 18 ტ</t>
  </si>
  <si>
    <t>ბიტუმის ემულსია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</si>
  <si>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</si>
  <si>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</si>
  <si>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</si>
  <si>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საპრ.</t>
  </si>
  <si>
    <t>შრომითი დანახარჯი</t>
  </si>
  <si>
    <t>საბაზრო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</si>
  <si>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</si>
  <si>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</si>
  <si>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</si>
  <si>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</si>
  <si>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</si>
  <si>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</si>
  <si>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</si>
  <si>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</si>
  <si>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</si>
  <si>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</si>
  <si>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</si>
  <si>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</si>
  <si>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</si>
  <si>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</si>
  <si>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</si>
  <si>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</si>
  <si>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</si>
  <si>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</si>
  <si>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</si>
  <si>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</si>
  <si>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</si>
  <si>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</si>
  <si>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</si>
  <si>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</si>
  <si>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</si>
  <si>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</si>
  <si>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</si>
  <si>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</si>
  <si>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</si>
  <si>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</si>
  <si>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</si>
  <si>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</si>
  <si>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</si>
  <si>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</si>
  <si>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</si>
  <si>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</si>
  <si>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</si>
  <si>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</si>
  <si>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</si>
  <si>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</si>
  <si>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</si>
  <si>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</si>
  <si>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</si>
  <si>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</si>
  <si>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</si>
  <si>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</si>
  <si>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</si>
  <si>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</si>
  <si>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</si>
  <si>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</si>
  <si>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</si>
  <si>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</si>
  <si>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</si>
  <si>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</si>
  <si>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</si>
  <si>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</si>
  <si>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</si>
  <si>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</si>
  <si>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</si>
  <si>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</si>
  <si>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</si>
  <si>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</si>
  <si>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</si>
  <si>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</si>
  <si>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</si>
  <si>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</si>
  <si>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</si>
  <si>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</si>
  <si>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</si>
  <si>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</si>
  <si>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</si>
  <si>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</si>
  <si>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</si>
  <si>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</si>
  <si>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</si>
  <si>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</si>
  <si>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</si>
  <si>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</si>
  <si>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</si>
  <si>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</si>
  <si>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</si>
  <si>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</si>
  <si>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</si>
  <si>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</si>
  <si>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</si>
  <si>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</si>
  <si>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</si>
  <si>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1-22-14</t>
  </si>
  <si>
    <t>3-1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</si>
  <si>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</si>
  <si>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</si>
  <si>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</si>
  <si>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</si>
  <si>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</si>
  <si>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</si>
  <si>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</si>
  <si>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</si>
  <si>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</si>
  <si>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1.11.2</t>
  </si>
  <si>
    <t>1.14.1</t>
  </si>
  <si>
    <t>1.6.3</t>
  </si>
  <si>
    <t>1.6.4</t>
  </si>
  <si>
    <t>1.6.5</t>
  </si>
  <si>
    <t>1.6.6</t>
  </si>
  <si>
    <t>1.6.7</t>
  </si>
  <si>
    <t>1.8.3</t>
  </si>
  <si>
    <t>1.8.4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</si>
  <si>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</si>
  <si>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</si>
  <si>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</si>
  <si>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</si>
  <si>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</si>
  <si>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</si>
  <si>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</si>
  <si>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</si>
  <si>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</si>
  <si>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</si>
  <si>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</si>
  <si>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</si>
  <si>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1.14.3</t>
  </si>
  <si>
    <t>1.2.7</t>
  </si>
  <si>
    <t>1.4.5</t>
  </si>
  <si>
    <t>1.4.6</t>
  </si>
  <si>
    <t>1.4.7</t>
  </si>
  <si>
    <t>1.9.7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</si>
  <si>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</si>
  <si>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</si>
  <si>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</si>
  <si>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</si>
  <si>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</si>
  <si>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</si>
  <si>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</si>
  <si>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</si>
  <si>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</si>
  <si>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</si>
  <si>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</si>
  <si>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</si>
  <si>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</si>
  <si>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</si>
  <si>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</si>
  <si>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</si>
  <si>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</si>
  <si>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1.9.8</t>
  </si>
  <si>
    <t>1.9.9</t>
  </si>
  <si>
    <t>რკინაბეტონის ანაკრები მილი d-1500 მმ L-1000 მმ</t>
  </si>
  <si>
    <t>ერთ. ფასი</t>
  </si>
  <si>
    <t>სულ</t>
  </si>
  <si>
    <t>ქარხანა</t>
  </si>
  <si>
    <t>ქუთაისი</t>
  </si>
  <si>
    <t>რ/ბ  სარტყელის  მოწყობა</t>
  </si>
  <si>
    <t>საფუძვლის ფენის მოწყობა ქვიშა-ცემენტის 5% ნარევით</t>
  </si>
  <si>
    <t>ცემენტი მ400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</si>
  <si>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</si>
  <si>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</si>
  <si>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</si>
  <si>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 შავი</t>
  </si>
  <si>
    <t xml:space="preserve">ქვესაგები ფენის მოწყობა ქვიშახრეშოვანი ნარევით </t>
  </si>
  <si>
    <t>არსებული ღობის დემონტაჟი</t>
  </si>
  <si>
    <t>ამწე საავტომობილო სვლაზე 6,3ტ</t>
  </si>
  <si>
    <t xml:space="preserve">მე-3 კატეგორიის გრუნტის ფენის დამუშავება ხელით 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</si>
  <si>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</si>
  <si>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</si>
  <si>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</si>
  <si>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</si>
  <si>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>1.13.3</t>
  </si>
  <si>
    <t>1.13.4</t>
  </si>
  <si>
    <t xml:space="preserve"> წასაცხები ჰიდროიზოლაციის მოწყობა, 2 ფენა</t>
  </si>
  <si>
    <t>1.14.5</t>
  </si>
  <si>
    <t>ღობის მოწყობის სამუშაოები</t>
  </si>
  <si>
    <t>საგზაო სამოსი</t>
  </si>
  <si>
    <t>დაბა მესტიაში ჩართონალის ქუჩა სარეაბილიტაციო სამუშაოების ლოკალურ-რესურსული ხარჯთაღრიცხვა</t>
  </si>
  <si>
    <t xml:space="preserve">კიუვეტის მოსაწყობად მე-3 კატეგორიის გრუნტის დამუშავება  და დატვირთვა ექსკავატორით ავტოთვითმცლელზე </t>
  </si>
  <si>
    <t xml:space="preserve">ხრეშოვანი გრუნტის დატვირთვა კარიერში ექსკავატორით ავტოთვითმცლელზე </t>
  </si>
  <si>
    <t>1.7.3</t>
  </si>
  <si>
    <t>1.7.4</t>
  </si>
  <si>
    <t>გრუნტის ტრანსპორტირება კარიერიდან 15 კმ მანძილზე</t>
  </si>
  <si>
    <t>შემოტანილი გრუნტის მოსწორება ბულდოზერით</t>
  </si>
  <si>
    <t>რ/ბ  ღარის  მოწყობა</t>
  </si>
  <si>
    <t>1.7.5</t>
  </si>
  <si>
    <t xml:space="preserve">მე-4 კატეგორიის გრუნტის დამუშავება და დატვირთვა ექსკავატორით ავტოთვითმცლელზე </t>
  </si>
  <si>
    <t>1-22-16</t>
  </si>
  <si>
    <t xml:space="preserve">მე-4 კატეგორიის გრუნტის ფენის დამუშავება ხელით სიღრმით 2 მ-მდე </t>
  </si>
  <si>
    <t>მე-4 კატეგორიის გრუნტის ფერდობების მოშანდაკება ხელით</t>
  </si>
  <si>
    <t>1-64-8</t>
  </si>
  <si>
    <t>რ/ბ კედლის ფუნდამენტის მოწყობა</t>
  </si>
  <si>
    <t>1.10.5</t>
  </si>
  <si>
    <t>1.10.8</t>
  </si>
  <si>
    <t>1.10.9</t>
  </si>
  <si>
    <t>კედლის უკანა ზედაპირზე ბიტუმის წასმა 2 ჯერ</t>
  </si>
  <si>
    <t>1.11.3</t>
  </si>
  <si>
    <t>1.11.5</t>
  </si>
  <si>
    <t>გეოტექსტილის ჰიდროიზოლაციის მოწყობა</t>
  </si>
  <si>
    <t>1.12.3</t>
  </si>
  <si>
    <t>გეოტექსტილი</t>
  </si>
  <si>
    <t>1.12.4</t>
  </si>
  <si>
    <t>გეომემბრანის ჰიდროიზოლაციის მოწყობა</t>
  </si>
  <si>
    <t>გეომემბრანა 2 მმ</t>
  </si>
  <si>
    <t>სადრენაჟო ფენის მოწყობა ფრაქციული ღორღისგან</t>
  </si>
  <si>
    <t>1.15.1</t>
  </si>
  <si>
    <t>1.15.2</t>
  </si>
  <si>
    <t>1.15.3</t>
  </si>
  <si>
    <t>1.15.4</t>
  </si>
  <si>
    <t>1.16.1</t>
  </si>
  <si>
    <t>1.16.2</t>
  </si>
  <si>
    <t>1.16.3</t>
  </si>
  <si>
    <t>1.16.4</t>
  </si>
  <si>
    <t>გრუნტის დატკეპნა ფენებად</t>
  </si>
  <si>
    <t>1-118-11</t>
  </si>
  <si>
    <t>1.17.1</t>
  </si>
  <si>
    <t>1.17.2</t>
  </si>
  <si>
    <t>პნევმატური დამტკეპნი მომუშავე მოძრავ კომპრესორზე</t>
  </si>
  <si>
    <t>1.17.3</t>
  </si>
  <si>
    <t>სადეფორმაციო ნაკერების მოწყობა პენოპლასტით</t>
  </si>
  <si>
    <t>1.18.1</t>
  </si>
  <si>
    <t>1.18.2</t>
  </si>
  <si>
    <t>პენოპლასტი 2 სმ</t>
  </si>
  <si>
    <t>რ/ბ კედლის მოწყობის სამუშაოები</t>
  </si>
  <si>
    <t>3-2</t>
  </si>
  <si>
    <t>პროექტის კოდი: CHART-BoQ</t>
  </si>
  <si>
    <t xml:space="preserve">ფასთა კრებული: 2017 წლის მე-4 კვარტალი </t>
  </si>
  <si>
    <t>ვალუტა: ლარი ₾</t>
  </si>
  <si>
    <t>შესრულების თარიღი: 13/06/2019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</si>
  <si>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</si>
  <si>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</si>
  <si>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</si>
  <si>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</si>
  <si>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</si>
  <si>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</si>
  <si>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</si>
  <si>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</si>
  <si>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</si>
  <si>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</si>
  <si>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</si>
  <si>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</si>
  <si>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</si>
  <si>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</si>
  <si>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მ3</t>
  </si>
  <si>
    <t>15-ტრ-3</t>
  </si>
  <si>
    <r>
      <t>მე</t>
    </r>
    <r>
      <rPr>
        <sz val="10"/>
        <color rgb="FFFF0000"/>
        <rFont val="Arial"/>
        <family val="2"/>
        <charset val="204"/>
      </rPr>
      <t>-</t>
    </r>
    <r>
      <rPr>
        <b/>
        <sz val="10"/>
        <color rgb="FFFF0000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კატეგორიის გრუნტის დამუშავება ნაყარში</t>
    </r>
  </si>
  <si>
    <t>14-1-142</t>
  </si>
  <si>
    <t>15-ტრ-15</t>
  </si>
  <si>
    <r>
      <t xml:space="preserve">1-29-6 </t>
    </r>
    <r>
      <rPr>
        <b/>
        <strike/>
        <sz val="10"/>
        <color rgb="FFFF0000"/>
        <rFont val="Arial"/>
        <family val="2"/>
        <charset val="204"/>
      </rPr>
      <t xml:space="preserve"> -10</t>
    </r>
  </si>
  <si>
    <t>14-1-143</t>
  </si>
  <si>
    <t>ბულდოზერი 96 კვტ (130 ც.ძ.)</t>
  </si>
  <si>
    <t>მ2</t>
  </si>
  <si>
    <t>10 000 მ2</t>
  </si>
  <si>
    <t>14-1-200</t>
  </si>
  <si>
    <t>100 მ³</t>
  </si>
  <si>
    <t>1-22-15.</t>
  </si>
  <si>
    <t>100 მ3</t>
  </si>
  <si>
    <t>1-80-3</t>
  </si>
  <si>
    <t>კ=1.2</t>
  </si>
  <si>
    <t>27-50-9.</t>
  </si>
  <si>
    <t>ტ.ნ. პ. 2.6</t>
  </si>
  <si>
    <t>კ=0.6</t>
  </si>
  <si>
    <t>14-1-043</t>
  </si>
  <si>
    <t>კ=0.7</t>
  </si>
  <si>
    <t>კ=0.5</t>
  </si>
  <si>
    <t>პ. 3.105</t>
  </si>
  <si>
    <t>Е1-22/1-а</t>
  </si>
  <si>
    <t>ЕНиР</t>
  </si>
  <si>
    <t>8-3-2.</t>
  </si>
  <si>
    <t>1 მ3</t>
  </si>
  <si>
    <t>4-1-228</t>
  </si>
  <si>
    <t>6-1-1.</t>
  </si>
  <si>
    <t>4-1-339</t>
  </si>
  <si>
    <t>ბეტონი B 7.5</t>
  </si>
  <si>
    <t>6-11-7.</t>
  </si>
  <si>
    <r>
      <t xml:space="preserve">რ/ბ </t>
    </r>
    <r>
      <rPr>
        <b/>
        <sz val="10"/>
        <color rgb="FFFF0000"/>
        <rFont val="Arial"/>
        <family val="2"/>
        <charset val="204"/>
      </rPr>
      <t>საყრდენი</t>
    </r>
    <r>
      <rPr>
        <sz val="10"/>
        <color theme="1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</si>
  <si>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</si>
  <si>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4-1-357</t>
  </si>
  <si>
    <t>1-1-012</t>
  </si>
  <si>
    <t>5-1-132</t>
  </si>
  <si>
    <t>ფარი ყალიბის სისქით 18 მმ</t>
  </si>
  <si>
    <t>5-1-022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</si>
  <si>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</si>
  <si>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1-10-014</t>
  </si>
  <si>
    <t>ელექტროდი შედუღების</t>
  </si>
  <si>
    <t>კგ</t>
  </si>
  <si>
    <t>1-10-017</t>
  </si>
  <si>
    <t>სამშენებლო ჭანჭიკი</t>
  </si>
  <si>
    <t>1.9.10</t>
  </si>
  <si>
    <t>1.9.11</t>
  </si>
  <si>
    <t>1.9.12</t>
  </si>
  <si>
    <t>27-5-3.</t>
  </si>
  <si>
    <r>
      <t xml:space="preserve">პოლიეთილენის </t>
    </r>
    <r>
      <rPr>
        <b/>
        <sz val="10"/>
        <color rgb="FFFF0000"/>
        <rFont val="Arial"/>
        <family val="2"/>
        <charset val="204"/>
      </rPr>
      <t>სადრენაჟე</t>
    </r>
    <r>
      <rPr>
        <sz val="10"/>
        <color theme="1"/>
        <rFont val="Arial"/>
        <family val="2"/>
        <charset val="204"/>
      </rPr>
      <t xml:space="preserve"> მილის მონტაჟი</t>
    </r>
  </si>
  <si>
    <t>2-11-001</t>
  </si>
  <si>
    <t>გოფრირებული მილი სადრენაჟო Ø150 მმ</t>
  </si>
  <si>
    <t>პროექტი</t>
  </si>
  <si>
    <t>1-31-6; -16</t>
  </si>
  <si>
    <t>4-1-232</t>
  </si>
  <si>
    <t>8-4-8.</t>
  </si>
  <si>
    <t>4-1-216</t>
  </si>
  <si>
    <t>8-4-7.</t>
  </si>
  <si>
    <t>100 მ2</t>
  </si>
  <si>
    <t>4-1-539</t>
  </si>
  <si>
    <t>მასტიკა ბიტუმ-ზეთოვანი</t>
  </si>
  <si>
    <r>
      <rPr>
        <b/>
        <sz val="10"/>
        <color rgb="FFFF0000"/>
        <rFont val="Arial"/>
        <family val="2"/>
        <charset val="204"/>
      </rPr>
      <t>პ.3-107</t>
    </r>
    <r>
      <rPr>
        <sz val="10"/>
        <color theme="1"/>
        <rFont val="Arial"/>
        <family val="2"/>
        <charset val="204"/>
      </rPr>
      <t>, კ=1.2</t>
    </r>
  </si>
  <si>
    <t>1-80-4</t>
  </si>
  <si>
    <r>
      <rPr>
        <b/>
        <strike/>
        <sz val="10"/>
        <color rgb="FFFF0000"/>
        <rFont val="Arial"/>
        <family val="2"/>
        <charset val="204"/>
      </rPr>
      <t>მე-4</t>
    </r>
    <r>
      <rPr>
        <sz val="10"/>
        <color theme="1"/>
        <rFont val="Arial"/>
        <family val="2"/>
        <charset val="204"/>
      </rPr>
      <t xml:space="preserve">  III კატეგორიის გრუნტის დამუშავება ნაყარში</t>
    </r>
  </si>
  <si>
    <t>1000 მ2</t>
  </si>
  <si>
    <t>4-1-341</t>
  </si>
  <si>
    <t>6-1-16.</t>
  </si>
  <si>
    <t>1.10.10</t>
  </si>
  <si>
    <t>1.10.11</t>
  </si>
  <si>
    <t>1.10.12</t>
  </si>
  <si>
    <t>26-01-055-01;-02</t>
  </si>
  <si>
    <t>ГЭСН</t>
  </si>
  <si>
    <t>4-1-429</t>
  </si>
  <si>
    <t>Е3-2/1 ЕНиР</t>
  </si>
  <si>
    <t>4-1-441</t>
  </si>
  <si>
    <t>4-1-442</t>
  </si>
  <si>
    <t>გამაგრების დიუბელი</t>
  </si>
  <si>
    <t>ც</t>
  </si>
  <si>
    <t>10 მ3</t>
  </si>
  <si>
    <t>14-1-338</t>
  </si>
  <si>
    <t>14-1-113</t>
  </si>
  <si>
    <t>კომპრესორი მობილური შიდა წვის ძრავაზე,  7 ატმ 9 მ3/წთ</t>
  </si>
  <si>
    <t>4-1-492</t>
  </si>
  <si>
    <t>27-7-2.</t>
  </si>
  <si>
    <t>27-20-3.</t>
  </si>
  <si>
    <t>14-1-222</t>
  </si>
  <si>
    <t>14-1-228</t>
  </si>
  <si>
    <t>6-15-9.</t>
  </si>
  <si>
    <t>4-1-355</t>
  </si>
  <si>
    <t>1-1-010</t>
  </si>
  <si>
    <t>არმატურა A-I კლასი</t>
  </si>
  <si>
    <r>
      <t>ფიცარი ჩამოგანილი სისქით</t>
    </r>
    <r>
      <rPr>
        <sz val="10"/>
        <color theme="1"/>
        <rFont val="Arial"/>
        <family val="2"/>
        <charset val="204"/>
      </rPr>
      <t xml:space="preserve"> 40-60 მმ, III ხარისხის</t>
    </r>
  </si>
  <si>
    <t>4-1-226</t>
  </si>
  <si>
    <t>4-1-177</t>
  </si>
  <si>
    <t>4-1-071</t>
  </si>
  <si>
    <t>ბეტონის ქვაფენილი 20x10x5.5 სმ</t>
  </si>
  <si>
    <t>4-1-378</t>
  </si>
  <si>
    <t>ქვიშა</t>
  </si>
  <si>
    <t xml:space="preserve">                  ფასთა კრებული: 2018 წლის II კვარტალი </t>
  </si>
  <si>
    <t>23-1-2.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</si>
</sst>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4" fillId="0" borderId="0"/>
    <xf numFmtId="0" fontId="15" fillId="0" borderId="0"/>
    <xf numFmtId="164" fontId="10" fillId="0" borderId="0" applyFont="0" applyFill="0" applyBorder="0" applyAlignment="0" applyProtection="0"/>
    <xf numFmtId="0" fontId="15" fillId="0" borderId="0"/>
    <xf numFmtId="0" fontId="13" fillId="0" borderId="0"/>
  </cellStyleXfs>
  <cellXfs count="198"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0" fillId="2" borderId="0" xfId="0" applyNumberForma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9" fontId="6" fillId="2" borderId="1" xfId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9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4" fontId="3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4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2" borderId="0" xfId="0" applyNumberFormat="1" applyFont="1" applyFill="1"/>
    <xf numFmtId="0" fontId="16" fillId="2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6" fillId="3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/>
    </xf>
    <xf numFmtId="4" fontId="13" fillId="2" borderId="1" xfId="3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1" xfId="2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2" applyNumberFormat="1" applyFont="1" applyFill="1" applyBorder="1" applyAlignment="1">
      <alignment horizontal="center" vertical="center"/>
    </xf>
    <xf numFmtId="166" fontId="13" fillId="2" borderId="1" xfId="2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3" fillId="0" borderId="1" xfId="8" applyNumberFormat="1" applyFont="1" applyFill="1" applyBorder="1" applyAlignment="1" applyProtection="1">
      <alignment horizontal="center" vertical="center"/>
    </xf>
    <xf numFmtId="166" fontId="13" fillId="0" borderId="1" xfId="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6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9" fontId="2" fillId="2" borderId="1" xfId="1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16" fillId="2" borderId="0" xfId="0" applyFont="1" applyFill="1"/>
    <xf numFmtId="0" fontId="16" fillId="0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3"/>
  <sheetViews>
    <sheetView view="pageBreakPreview" topLeftCell="A22" zoomScaleNormal="55" zoomScaleSheetLayoutView="100" workbookViewId="0">
      <selection activeCell="F46" sqref="F46"/>
    </sheetView>
  </sheetViews>
  <sheetFormatPr defaultRowHeight="12.75"/>
  <cols>
    <col min="1" max="1" width="3.7109375" style="85" bestFit="1" customWidth="1"/>
    <col min="2" max="2" width="45.5703125" style="85" bestFit="1" customWidth="1"/>
    <col min="3" max="3" width="6.7109375" style="85" customWidth="1"/>
    <col min="4" max="4" width="25.42578125" style="85" customWidth="1"/>
    <col min="5" max="7" width="23.42578125" style="85" customWidth="1"/>
    <col min="8" max="8" width="20.7109375" style="85" customWidth="1"/>
    <col min="9" max="10" width="20.7109375" style="77" customWidth="1"/>
    <col min="11" max="16384" width="9.140625" style="77"/>
  </cols>
  <sheetData>
    <row r="1" spans="1:8">
      <c r="A1" s="167"/>
      <c r="B1" s="167"/>
      <c r="C1" s="133"/>
      <c r="D1" s="133"/>
      <c r="E1" s="133"/>
      <c r="F1" s="133"/>
      <c r="G1" s="133"/>
    </row>
    <row r="2" spans="1:8">
      <c r="A2" s="167"/>
      <c r="B2" s="167"/>
      <c r="C2" s="133"/>
      <c r="D2" s="133"/>
      <c r="E2" s="133"/>
      <c r="F2" s="133"/>
      <c r="G2" s="133"/>
    </row>
    <row r="3" spans="1:8">
      <c r="A3" s="160"/>
      <c r="B3" s="160"/>
      <c r="C3" s="133"/>
      <c r="D3" s="133"/>
      <c r="E3" s="133"/>
      <c r="F3" s="161" t="s">
        <v>17</v>
      </c>
      <c r="G3" s="160"/>
    </row>
    <row r="4" spans="1:8">
      <c r="A4" s="160"/>
      <c r="B4" s="160"/>
      <c r="C4" s="133"/>
      <c r="D4" s="133"/>
      <c r="E4" s="133"/>
      <c r="F4" s="161"/>
      <c r="G4" s="160"/>
    </row>
    <row r="5" spans="1:8">
      <c r="A5" s="166" t="s">
        <v>419</v>
      </c>
      <c r="B5" s="166"/>
      <c r="C5" s="133"/>
      <c r="D5" s="133"/>
      <c r="E5" s="133"/>
      <c r="F5" s="135" t="s">
        <v>18</v>
      </c>
      <c r="G5" s="134"/>
    </row>
    <row r="6" spans="1:8">
      <c r="A6" s="160"/>
      <c r="B6" s="160"/>
      <c r="C6" s="133"/>
      <c r="D6" s="133"/>
      <c r="E6" s="133"/>
      <c r="F6" s="161" t="s">
        <v>55</v>
      </c>
      <c r="G6" s="160" t="s">
        <v>20</v>
      </c>
    </row>
    <row r="7" spans="1:8">
      <c r="A7" s="160"/>
      <c r="B7" s="160"/>
      <c r="C7" s="133"/>
      <c r="D7" s="133"/>
      <c r="E7" s="133"/>
      <c r="F7" s="161"/>
      <c r="G7" s="160"/>
    </row>
    <row r="8" spans="1:8">
      <c r="A8" s="160" t="s">
        <v>29</v>
      </c>
      <c r="B8" s="160"/>
      <c r="C8" s="133"/>
      <c r="D8" s="133"/>
      <c r="E8" s="133"/>
      <c r="F8" s="161" t="s">
        <v>19</v>
      </c>
      <c r="G8" s="160"/>
    </row>
    <row r="9" spans="1:8">
      <c r="A9" s="160"/>
      <c r="B9" s="160"/>
      <c r="C9" s="132"/>
      <c r="D9" s="133"/>
      <c r="E9" s="133"/>
      <c r="F9" s="161"/>
      <c r="G9" s="160"/>
    </row>
    <row r="10" spans="1:8">
      <c r="A10" s="160"/>
      <c r="B10" s="160"/>
      <c r="C10" s="133"/>
      <c r="D10" s="133"/>
      <c r="E10" s="161"/>
      <c r="F10" s="161"/>
      <c r="G10" s="160"/>
    </row>
    <row r="11" spans="1:8">
      <c r="A11" s="160"/>
      <c r="B11" s="160"/>
      <c r="C11" s="133"/>
      <c r="D11" s="133"/>
      <c r="E11" s="161"/>
      <c r="F11" s="161"/>
      <c r="G11" s="160"/>
    </row>
    <row r="12" spans="1:8" s="128" customFormat="1">
      <c r="A12" s="162" t="s">
        <v>45</v>
      </c>
      <c r="B12" s="163"/>
      <c r="C12" s="163"/>
      <c r="D12" s="163"/>
      <c r="E12" s="163"/>
      <c r="F12" s="163"/>
      <c r="G12" s="163"/>
      <c r="H12" s="85"/>
    </row>
    <row r="13" spans="1:8" s="128" customFormat="1">
      <c r="A13" s="164" t="s">
        <v>2</v>
      </c>
      <c r="B13" s="164" t="s">
        <v>3</v>
      </c>
      <c r="C13" s="164" t="s">
        <v>12</v>
      </c>
      <c r="D13" s="165" t="s">
        <v>46</v>
      </c>
      <c r="E13" s="165" t="s">
        <v>47</v>
      </c>
      <c r="F13" s="165" t="s">
        <v>48</v>
      </c>
      <c r="G13" s="165" t="s">
        <v>49</v>
      </c>
      <c r="H13" s="85"/>
    </row>
    <row r="14" spans="1:8" s="128" customFormat="1">
      <c r="A14" s="164"/>
      <c r="B14" s="164"/>
      <c r="C14" s="164"/>
      <c r="D14" s="165"/>
      <c r="E14" s="165"/>
      <c r="F14" s="165"/>
      <c r="G14" s="165"/>
      <c r="H14" s="85"/>
    </row>
    <row r="15" spans="1:8" s="128" customFormat="1">
      <c r="A15" s="164"/>
      <c r="B15" s="164"/>
      <c r="C15" s="164"/>
      <c r="D15" s="165"/>
      <c r="E15" s="165"/>
      <c r="F15" s="165"/>
      <c r="G15" s="165"/>
      <c r="H15" s="85"/>
    </row>
    <row r="16" spans="1:8" s="128" customFormat="1">
      <c r="A16" s="43">
        <v>1</v>
      </c>
      <c r="B16" s="43">
        <v>2</v>
      </c>
      <c r="C16" s="43">
        <v>3</v>
      </c>
      <c r="D16" s="43">
        <v>4</v>
      </c>
      <c r="E16" s="43">
        <v>5</v>
      </c>
      <c r="F16" s="43">
        <v>6</v>
      </c>
      <c r="G16" s="43">
        <v>7</v>
      </c>
      <c r="H16" s="85"/>
    </row>
    <row r="17" spans="1:8" s="128" customFormat="1">
      <c r="A17" s="52"/>
      <c r="B17" s="52"/>
      <c r="C17" s="52"/>
      <c r="D17" s="52"/>
      <c r="E17" s="52"/>
      <c r="F17" s="52"/>
      <c r="G17" s="52"/>
      <c r="H17" s="85"/>
    </row>
    <row r="18" spans="1:8" s="128" customFormat="1">
      <c r="A18" s="47"/>
      <c r="B18" s="47"/>
      <c r="C18" s="47"/>
      <c r="D18" s="47" t="s">
        <v>50</v>
      </c>
      <c r="E18" s="47"/>
      <c r="F18" s="47"/>
      <c r="G18" s="47"/>
      <c r="H18" s="85"/>
    </row>
    <row r="19" spans="1:8" s="128" customFormat="1">
      <c r="A19" s="47"/>
      <c r="B19" s="47"/>
      <c r="C19" s="47"/>
      <c r="D19" s="47"/>
      <c r="E19" s="47"/>
      <c r="F19" s="47"/>
      <c r="G19" s="47"/>
      <c r="H19" s="85"/>
    </row>
    <row r="20" spans="1:8" s="128" customFormat="1">
      <c r="A20" s="70" t="s">
        <v>136</v>
      </c>
      <c r="B20" s="52" t="str">
        <f>'1-1'!C14</f>
        <v>მოსამზადებელი სამუშაოები</v>
      </c>
      <c r="C20" s="52"/>
      <c r="D20" s="64">
        <f>'1-1'!H26</f>
        <v>0</v>
      </c>
      <c r="E20" s="64"/>
      <c r="F20" s="64"/>
      <c r="G20" s="64"/>
      <c r="H20" s="85"/>
    </row>
    <row r="21" spans="1:8" s="128" customFormat="1">
      <c r="A21" s="70"/>
      <c r="B21" s="52"/>
      <c r="C21" s="52"/>
      <c r="D21" s="64"/>
      <c r="E21" s="64"/>
      <c r="F21" s="64"/>
      <c r="G21" s="64"/>
      <c r="H21" s="85"/>
    </row>
    <row r="22" spans="1:8" s="128" customFormat="1">
      <c r="A22" s="47"/>
      <c r="B22" s="47"/>
      <c r="C22" s="47"/>
      <c r="D22" s="47" t="s">
        <v>51</v>
      </c>
      <c r="E22" s="47"/>
      <c r="F22" s="47"/>
      <c r="G22" s="47"/>
      <c r="H22" s="85"/>
    </row>
    <row r="23" spans="1:8" s="128" customFormat="1">
      <c r="A23" s="47"/>
      <c r="B23" s="47"/>
      <c r="C23" s="47"/>
      <c r="D23" s="47"/>
      <c r="E23" s="47"/>
      <c r="F23" s="47"/>
      <c r="G23" s="47"/>
      <c r="H23" s="85"/>
    </row>
    <row r="24" spans="1:8" s="128" customFormat="1">
      <c r="A24" s="70" t="s">
        <v>149</v>
      </c>
      <c r="B24" s="52" t="str">
        <f>'2-1'!C7</f>
        <v>მიწის ვაკისი</v>
      </c>
      <c r="C24" s="52"/>
      <c r="D24" s="64"/>
      <c r="E24" s="64"/>
      <c r="F24" s="64"/>
      <c r="G24" s="64"/>
      <c r="H24" s="85"/>
    </row>
    <row r="25" spans="1:8" s="128" customFormat="1">
      <c r="A25" s="70"/>
      <c r="B25" s="52"/>
      <c r="C25" s="52"/>
      <c r="D25" s="64"/>
      <c r="E25" s="64"/>
      <c r="F25" s="64"/>
      <c r="G25" s="64"/>
      <c r="H25" s="85"/>
    </row>
    <row r="26" spans="1:8" s="128" customFormat="1">
      <c r="A26" s="47"/>
      <c r="B26" s="47"/>
      <c r="C26" s="47"/>
      <c r="D26" s="47" t="s">
        <v>52</v>
      </c>
      <c r="E26" s="47"/>
      <c r="F26" s="47"/>
      <c r="G26" s="47"/>
      <c r="H26" s="85"/>
    </row>
    <row r="27" spans="1:8" s="128" customFormat="1">
      <c r="A27" s="47"/>
      <c r="B27" s="47"/>
      <c r="C27" s="47"/>
      <c r="D27" s="47"/>
      <c r="E27" s="47"/>
      <c r="F27" s="47"/>
      <c r="G27" s="47"/>
      <c r="H27" s="85"/>
    </row>
    <row r="28" spans="1:8" s="128" customFormat="1">
      <c r="A28" s="70" t="s">
        <v>173</v>
      </c>
      <c r="B28" s="52" t="str">
        <f>'3-1'!C8</f>
        <v>ღობის მოწყობის სამუშაოები</v>
      </c>
      <c r="C28" s="52"/>
      <c r="D28" s="64"/>
      <c r="E28" s="64"/>
      <c r="F28" s="64"/>
      <c r="G28" s="64"/>
      <c r="H28" s="85"/>
    </row>
    <row r="29" spans="1:8" s="128" customFormat="1">
      <c r="A29" s="70"/>
      <c r="B29" s="52"/>
      <c r="C29" s="52"/>
      <c r="D29" s="64"/>
      <c r="E29" s="64"/>
      <c r="F29" s="64"/>
      <c r="G29" s="64"/>
      <c r="H29" s="85"/>
    </row>
    <row r="30" spans="1:8" s="128" customFormat="1">
      <c r="A30" s="70" t="s">
        <v>302</v>
      </c>
      <c r="B30" s="52" t="str">
        <f>'3-2'!C8</f>
        <v>რ/ბ კედლის მოწყობის სამუშაოები</v>
      </c>
      <c r="C30" s="52"/>
      <c r="D30" s="64"/>
      <c r="E30" s="64"/>
      <c r="F30" s="64"/>
      <c r="G30" s="64"/>
      <c r="H30" s="85"/>
    </row>
    <row r="31" spans="1:8" s="128" customFormat="1">
      <c r="A31" s="70"/>
      <c r="B31" s="52"/>
      <c r="C31" s="52"/>
      <c r="D31" s="64"/>
      <c r="E31" s="64"/>
      <c r="F31" s="64"/>
      <c r="G31" s="64"/>
      <c r="H31" s="85"/>
    </row>
    <row r="32" spans="1:8" s="128" customFormat="1">
      <c r="A32" s="47"/>
      <c r="B32" s="47"/>
      <c r="C32" s="47"/>
      <c r="D32" s="47" t="s">
        <v>53</v>
      </c>
      <c r="E32" s="47"/>
      <c r="F32" s="47"/>
      <c r="G32" s="47"/>
      <c r="H32" s="85"/>
    </row>
    <row r="33" spans="1:8" s="128" customFormat="1">
      <c r="A33" s="47"/>
      <c r="B33" s="47"/>
      <c r="C33" s="47"/>
      <c r="D33" s="47"/>
      <c r="E33" s="47"/>
      <c r="F33" s="47"/>
      <c r="G33" s="47"/>
      <c r="H33" s="85"/>
    </row>
    <row r="34" spans="1:8" s="128" customFormat="1">
      <c r="A34" s="70" t="s">
        <v>163</v>
      </c>
      <c r="B34" s="52" t="str">
        <f>'4-1'!C8</f>
        <v>საგზაო სამოსი</v>
      </c>
      <c r="C34" s="52"/>
      <c r="D34" s="64"/>
      <c r="E34" s="64"/>
      <c r="F34" s="64"/>
      <c r="G34" s="64"/>
      <c r="H34" s="85"/>
    </row>
    <row r="35" spans="1:8" s="128" customFormat="1">
      <c r="A35" s="70"/>
      <c r="B35" s="52"/>
      <c r="C35" s="52"/>
      <c r="D35" s="64"/>
      <c r="E35" s="64"/>
      <c r="F35" s="64"/>
      <c r="G35" s="64"/>
      <c r="H35" s="85"/>
    </row>
    <row r="36" spans="1:8" s="158" customFormat="1">
      <c r="A36" s="52"/>
      <c r="B36" s="52" t="s">
        <v>4</v>
      </c>
      <c r="C36" s="52"/>
      <c r="D36" s="64"/>
      <c r="E36" s="64"/>
      <c r="F36" s="64"/>
      <c r="G36" s="64"/>
      <c r="H36" s="157"/>
    </row>
    <row r="37" spans="1:8" s="128" customFormat="1">
      <c r="A37" s="140"/>
      <c r="B37" s="151"/>
      <c r="C37" s="152"/>
      <c r="D37" s="142"/>
      <c r="E37" s="142"/>
      <c r="F37" s="142"/>
      <c r="G37" s="142"/>
      <c r="H37" s="85"/>
    </row>
    <row r="38" spans="1:8" s="128" customFormat="1">
      <c r="A38" s="140"/>
      <c r="B38" s="151" t="s">
        <v>10</v>
      </c>
      <c r="C38" s="152">
        <v>0.1</v>
      </c>
      <c r="D38" s="142"/>
      <c r="E38" s="142"/>
      <c r="F38" s="142"/>
      <c r="G38" s="142">
        <f>G36*C38</f>
        <v>0</v>
      </c>
      <c r="H38" s="85"/>
    </row>
    <row r="39" spans="1:8" s="128" customFormat="1">
      <c r="A39" s="140"/>
      <c r="B39" s="153" t="s">
        <v>4</v>
      </c>
      <c r="C39" s="152"/>
      <c r="D39" s="142"/>
      <c r="E39" s="142"/>
      <c r="F39" s="142"/>
      <c r="G39" s="142">
        <f>SUM(G36:G38)</f>
        <v>0</v>
      </c>
      <c r="H39" s="85"/>
    </row>
    <row r="40" spans="1:8" s="128" customFormat="1">
      <c r="A40" s="140"/>
      <c r="B40" s="151" t="s">
        <v>11</v>
      </c>
      <c r="C40" s="152">
        <v>0.08</v>
      </c>
      <c r="D40" s="142"/>
      <c r="E40" s="142"/>
      <c r="F40" s="142"/>
      <c r="G40" s="142">
        <f>G39*C40</f>
        <v>0</v>
      </c>
      <c r="H40" s="85"/>
    </row>
    <row r="41" spans="1:8">
      <c r="A41" s="139"/>
      <c r="B41" s="153" t="s">
        <v>4</v>
      </c>
      <c r="C41" s="152"/>
      <c r="D41" s="142"/>
      <c r="E41" s="142"/>
      <c r="F41" s="142"/>
      <c r="G41" s="142">
        <f>SUM(G39:G40)</f>
        <v>0</v>
      </c>
    </row>
    <row r="42" spans="1:8">
      <c r="A42" s="154"/>
      <c r="B42" s="151" t="s">
        <v>26</v>
      </c>
      <c r="C42" s="155">
        <v>0.05</v>
      </c>
      <c r="D42" s="142"/>
      <c r="E42" s="142"/>
      <c r="F42" s="142"/>
      <c r="G42" s="142">
        <f>G41*C42</f>
        <v>0</v>
      </c>
    </row>
    <row r="43" spans="1:8">
      <c r="A43" s="154"/>
      <c r="B43" s="153" t="s">
        <v>4</v>
      </c>
      <c r="C43" s="152"/>
      <c r="D43" s="142"/>
      <c r="E43" s="142"/>
      <c r="F43" s="142"/>
      <c r="G43" s="142">
        <f>SUM(G41:G42)</f>
        <v>0</v>
      </c>
    </row>
    <row r="44" spans="1:8">
      <c r="A44" s="154"/>
      <c r="B44" s="151" t="s">
        <v>27</v>
      </c>
      <c r="C44" s="155">
        <v>0.18</v>
      </c>
      <c r="D44" s="142"/>
      <c r="E44" s="142"/>
      <c r="F44" s="142"/>
      <c r="G44" s="142">
        <f>G43*C44</f>
        <v>0</v>
      </c>
    </row>
    <row r="45" spans="1:8">
      <c r="A45" s="154"/>
      <c r="B45" s="151"/>
      <c r="C45" s="156"/>
      <c r="D45" s="142"/>
      <c r="E45" s="142"/>
      <c r="F45" s="142"/>
      <c r="G45" s="142"/>
    </row>
    <row r="46" spans="1:8">
      <c r="A46" s="52"/>
      <c r="B46" s="52" t="s">
        <v>4</v>
      </c>
      <c r="C46" s="52"/>
      <c r="D46" s="64"/>
      <c r="E46" s="64"/>
      <c r="F46" s="64"/>
      <c r="G46" s="64">
        <f>SUM(G43:G45)</f>
        <v>0</v>
      </c>
    </row>
    <row r="47" spans="1:8">
      <c r="B47" s="86"/>
      <c r="C47" s="87"/>
      <c r="D47" s="87"/>
      <c r="E47" s="87"/>
      <c r="F47" s="87"/>
      <c r="G47" s="87"/>
    </row>
    <row r="48" spans="1:8">
      <c r="B48" s="86"/>
      <c r="C48" s="87"/>
      <c r="D48" s="87"/>
      <c r="E48" s="87"/>
      <c r="F48" s="87"/>
      <c r="G48" s="87"/>
    </row>
    <row r="49" spans="2:7">
      <c r="B49" s="86"/>
      <c r="C49" s="87"/>
      <c r="D49" s="87"/>
      <c r="E49" s="87"/>
      <c r="F49" s="87"/>
      <c r="G49" s="87"/>
    </row>
    <row r="50" spans="2:7">
      <c r="B50" s="86"/>
      <c r="C50" s="87"/>
      <c r="D50" s="87"/>
      <c r="E50" s="87"/>
      <c r="F50" s="87"/>
      <c r="G50" s="87"/>
    </row>
    <row r="51" spans="2:7">
      <c r="B51" s="86"/>
      <c r="C51" s="87"/>
      <c r="D51" s="87"/>
      <c r="E51" s="87"/>
      <c r="F51" s="87"/>
      <c r="G51" s="87"/>
    </row>
    <row r="52" spans="2:7">
      <c r="B52" s="86"/>
      <c r="C52" s="87"/>
      <c r="D52" s="87"/>
      <c r="E52" s="87"/>
      <c r="F52" s="87"/>
      <c r="G52" s="87"/>
    </row>
    <row r="53" spans="2:7">
      <c r="B53" s="86"/>
      <c r="C53" s="87"/>
      <c r="D53" s="87"/>
      <c r="E53" s="87"/>
      <c r="F53" s="87"/>
      <c r="G53" s="87"/>
    </row>
    <row r="54" spans="2:7">
      <c r="B54" s="86"/>
      <c r="C54" s="87"/>
      <c r="D54" s="87"/>
      <c r="E54" s="87"/>
      <c r="F54" s="87"/>
      <c r="G54" s="87"/>
    </row>
    <row r="55" spans="2:7">
      <c r="B55" s="86"/>
      <c r="C55" s="87"/>
      <c r="D55" s="87"/>
      <c r="E55" s="87"/>
      <c r="F55" s="87"/>
      <c r="G55" s="87"/>
    </row>
    <row r="56" spans="2:7">
      <c r="B56" s="86"/>
      <c r="C56" s="87"/>
      <c r="D56" s="87"/>
      <c r="E56" s="87"/>
      <c r="F56" s="87"/>
      <c r="G56" s="87"/>
    </row>
    <row r="57" spans="2:7">
      <c r="B57" s="86"/>
      <c r="C57" s="87"/>
      <c r="D57" s="87"/>
      <c r="E57" s="87"/>
      <c r="F57" s="87"/>
      <c r="G57" s="87"/>
    </row>
    <row r="58" spans="2:7">
      <c r="B58" s="86"/>
      <c r="C58" s="87"/>
      <c r="D58" s="87"/>
      <c r="E58" s="87"/>
      <c r="F58" s="87"/>
      <c r="G58" s="87"/>
    </row>
    <row r="59" spans="2:7">
      <c r="B59" s="86"/>
      <c r="C59" s="87"/>
      <c r="D59" s="87"/>
      <c r="E59" s="87"/>
      <c r="F59" s="87"/>
      <c r="G59" s="87"/>
    </row>
    <row r="60" spans="2:7">
      <c r="B60" s="86"/>
      <c r="C60" s="87"/>
      <c r="D60" s="87"/>
      <c r="E60" s="87"/>
      <c r="F60" s="87"/>
      <c r="G60" s="87"/>
    </row>
    <row r="61" spans="2:7">
      <c r="B61" s="86"/>
      <c r="C61" s="87"/>
      <c r="D61" s="87"/>
      <c r="E61" s="87"/>
      <c r="F61" s="87"/>
      <c r="G61" s="87"/>
    </row>
    <row r="62" spans="2:7">
      <c r="B62" s="86"/>
      <c r="C62" s="87"/>
      <c r="D62" s="87"/>
      <c r="E62" s="87"/>
      <c r="F62" s="87"/>
      <c r="G62" s="87"/>
    </row>
    <row r="63" spans="2:7">
      <c r="B63" s="86"/>
      <c r="C63" s="87"/>
      <c r="D63" s="87"/>
      <c r="E63" s="87"/>
      <c r="F63" s="87"/>
      <c r="G63" s="87"/>
    </row>
    <row r="64" spans="2:7">
      <c r="B64" s="86"/>
      <c r="C64" s="87"/>
      <c r="D64" s="87"/>
      <c r="E64" s="87"/>
      <c r="F64" s="87"/>
      <c r="G64" s="87"/>
    </row>
    <row r="65" spans="2:7">
      <c r="B65" s="86"/>
      <c r="C65" s="87"/>
      <c r="D65" s="87"/>
      <c r="E65" s="87"/>
      <c r="F65" s="87"/>
      <c r="G65" s="87"/>
    </row>
    <row r="66" spans="2:7">
      <c r="B66" s="86"/>
      <c r="C66" s="87"/>
      <c r="D66" s="87"/>
      <c r="E66" s="87"/>
      <c r="F66" s="87"/>
      <c r="G66" s="87"/>
    </row>
    <row r="67" spans="2:7">
      <c r="B67" s="86"/>
      <c r="C67" s="87"/>
      <c r="D67" s="87"/>
      <c r="E67" s="87"/>
      <c r="F67" s="87"/>
      <c r="G67" s="87"/>
    </row>
    <row r="68" spans="2:7">
      <c r="B68" s="86"/>
      <c r="C68" s="87"/>
      <c r="D68" s="87"/>
      <c r="E68" s="87"/>
      <c r="F68" s="87"/>
      <c r="G68" s="87"/>
    </row>
    <row r="69" spans="2:7">
      <c r="B69" s="86"/>
      <c r="C69" s="87"/>
      <c r="D69" s="87"/>
      <c r="E69" s="87"/>
      <c r="F69" s="87"/>
      <c r="G69" s="87"/>
    </row>
    <row r="70" spans="2:7">
      <c r="B70" s="86"/>
      <c r="C70" s="87"/>
      <c r="D70" s="87"/>
      <c r="E70" s="87"/>
      <c r="F70" s="87"/>
      <c r="G70" s="87"/>
    </row>
    <row r="71" spans="2:7">
      <c r="B71" s="86"/>
      <c r="C71" s="87"/>
      <c r="D71" s="87"/>
      <c r="E71" s="87"/>
      <c r="F71" s="87"/>
      <c r="G71" s="87"/>
    </row>
    <row r="72" spans="2:7">
      <c r="B72" s="86"/>
      <c r="C72" s="87"/>
      <c r="D72" s="87"/>
      <c r="E72" s="87"/>
      <c r="F72" s="87"/>
      <c r="G72" s="87"/>
    </row>
    <row r="73" spans="2:7">
      <c r="B73" s="86"/>
      <c r="C73" s="87"/>
      <c r="D73" s="87"/>
      <c r="E73" s="87"/>
      <c r="F73" s="87"/>
      <c r="G73" s="87"/>
    </row>
    <row r="74" spans="2:7">
      <c r="B74" s="86"/>
      <c r="C74" s="87"/>
      <c r="D74" s="87"/>
      <c r="E74" s="87"/>
      <c r="F74" s="87"/>
      <c r="G74" s="87"/>
    </row>
    <row r="75" spans="2:7">
      <c r="B75" s="86"/>
      <c r="C75" s="87"/>
      <c r="D75" s="87"/>
      <c r="E75" s="87"/>
      <c r="F75" s="87"/>
      <c r="G75" s="87"/>
    </row>
    <row r="76" spans="2:7">
      <c r="B76" s="86"/>
      <c r="C76" s="87"/>
      <c r="D76" s="87"/>
      <c r="E76" s="87"/>
      <c r="F76" s="87"/>
      <c r="G76" s="87"/>
    </row>
    <row r="77" spans="2:7">
      <c r="B77" s="86"/>
      <c r="C77" s="87"/>
      <c r="D77" s="87"/>
      <c r="E77" s="87"/>
      <c r="F77" s="87"/>
      <c r="G77" s="87"/>
    </row>
    <row r="78" spans="2:7">
      <c r="B78" s="86"/>
      <c r="C78" s="87"/>
      <c r="D78" s="87"/>
      <c r="E78" s="87"/>
      <c r="F78" s="87"/>
      <c r="G78" s="87"/>
    </row>
    <row r="79" spans="2:7">
      <c r="B79" s="86"/>
      <c r="C79" s="87"/>
      <c r="D79" s="87"/>
      <c r="E79" s="87"/>
      <c r="F79" s="87"/>
      <c r="G79" s="87"/>
    </row>
    <row r="80" spans="2:7">
      <c r="B80" s="86"/>
      <c r="C80" s="87"/>
      <c r="D80" s="87"/>
      <c r="E80" s="87"/>
      <c r="F80" s="87"/>
      <c r="G80" s="87"/>
    </row>
    <row r="81" spans="2:7">
      <c r="B81" s="86"/>
      <c r="C81" s="86"/>
      <c r="D81" s="86"/>
      <c r="E81" s="86"/>
      <c r="F81" s="86"/>
      <c r="G81" s="86"/>
    </row>
    <row r="82" spans="2:7">
      <c r="B82" s="86"/>
      <c r="C82" s="86"/>
      <c r="D82" s="86"/>
      <c r="E82" s="86"/>
      <c r="F82" s="86"/>
      <c r="G82" s="86"/>
    </row>
    <row r="83" spans="2:7">
      <c r="B83" s="86"/>
      <c r="C83" s="86"/>
      <c r="D83" s="86"/>
      <c r="E83" s="86"/>
      <c r="F83" s="86"/>
      <c r="G83" s="86"/>
    </row>
    <row r="84" spans="2:7">
      <c r="B84" s="86"/>
      <c r="C84" s="86"/>
      <c r="D84" s="86"/>
      <c r="E84" s="86"/>
      <c r="F84" s="86"/>
      <c r="G84" s="86"/>
    </row>
    <row r="85" spans="2:7">
      <c r="B85" s="86"/>
      <c r="C85" s="86"/>
      <c r="D85" s="86"/>
      <c r="E85" s="86"/>
      <c r="F85" s="86"/>
      <c r="G85" s="86"/>
    </row>
    <row r="86" spans="2:7">
      <c r="B86" s="86"/>
      <c r="C86" s="86"/>
      <c r="D86" s="86"/>
      <c r="E86" s="86"/>
      <c r="F86" s="86"/>
      <c r="G86" s="86"/>
    </row>
    <row r="87" spans="2:7">
      <c r="B87" s="86"/>
      <c r="C87" s="86"/>
      <c r="D87" s="86"/>
      <c r="E87" s="86"/>
      <c r="F87" s="86"/>
      <c r="G87" s="86"/>
    </row>
    <row r="88" spans="2:7">
      <c r="B88" s="86"/>
      <c r="C88" s="86"/>
      <c r="D88" s="86"/>
      <c r="E88" s="86"/>
      <c r="F88" s="86"/>
      <c r="G88" s="86"/>
    </row>
    <row r="89" spans="2:7">
      <c r="B89" s="86"/>
      <c r="C89" s="86"/>
      <c r="D89" s="86"/>
      <c r="E89" s="86"/>
      <c r="F89" s="86"/>
      <c r="G89" s="86"/>
    </row>
    <row r="90" spans="2:7">
      <c r="B90" s="86"/>
      <c r="C90" s="86"/>
      <c r="D90" s="86"/>
      <c r="E90" s="86"/>
      <c r="F90" s="86"/>
      <c r="G90" s="86"/>
    </row>
    <row r="91" spans="2:7">
      <c r="B91" s="86"/>
      <c r="C91" s="86"/>
      <c r="D91" s="86"/>
      <c r="E91" s="86"/>
      <c r="F91" s="86"/>
      <c r="G91" s="86"/>
    </row>
    <row r="92" spans="2:7">
      <c r="B92" s="86"/>
      <c r="C92" s="86"/>
      <c r="D92" s="86"/>
      <c r="E92" s="86"/>
      <c r="F92" s="86"/>
      <c r="G92" s="86"/>
    </row>
    <row r="93" spans="2:7">
      <c r="B93" s="86"/>
      <c r="C93" s="86"/>
      <c r="D93" s="86"/>
      <c r="E93" s="86"/>
      <c r="F93" s="86"/>
      <c r="G93" s="86"/>
    </row>
  </sheetData>
  <mergeCells count="23">
    <mergeCell ref="A1:B1"/>
    <mergeCell ref="A2:B2"/>
    <mergeCell ref="A3:B4"/>
    <mergeCell ref="F3:F4"/>
    <mergeCell ref="G3:G4"/>
    <mergeCell ref="A5:B5"/>
    <mergeCell ref="A6:B7"/>
    <mergeCell ref="F6:F7"/>
    <mergeCell ref="G6:G7"/>
    <mergeCell ref="A8:B9"/>
    <mergeCell ref="F8:F9"/>
    <mergeCell ref="G8:G9"/>
    <mergeCell ref="A10:B11"/>
    <mergeCell ref="E10:F11"/>
    <mergeCell ref="G10:G11"/>
    <mergeCell ref="A12:G12"/>
    <mergeCell ref="A13:A15"/>
    <mergeCell ref="B13:B15"/>
    <mergeCell ref="C13:C15"/>
    <mergeCell ref="D13:D15"/>
    <mergeCell ref="E13:E15"/>
    <mergeCell ref="F13:F15"/>
    <mergeCell ref="G13:G15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67"/>
  <sheetViews>
    <sheetView view="pageBreakPreview" topLeftCell="A7" zoomScaleNormal="60" zoomScaleSheetLayoutView="100" workbookViewId="0">
      <selection activeCell="G13" sqref="G13:M26"/>
    </sheetView>
  </sheetViews>
  <sheetFormatPr defaultColWidth="7.28515625" defaultRowHeight="12.75"/>
  <cols>
    <col min="1" max="1" width="7.28515625" style="48"/>
    <col min="2" max="2" width="13" style="48" customWidth="1"/>
    <col min="3" max="3" width="46.7109375" style="48" customWidth="1"/>
    <col min="4" max="4" width="8.28515625" style="48" customWidth="1"/>
    <col min="5" max="12" width="9.140625" style="48" customWidth="1"/>
    <col min="13" max="13" width="11.42578125" style="51" customWidth="1"/>
    <col min="14" max="16384" width="7.28515625" style="55"/>
  </cols>
  <sheetData>
    <row r="1" spans="1:13">
      <c r="A1" s="41"/>
      <c r="B1" s="53"/>
      <c r="C1" s="41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>
      <c r="A2" s="41"/>
      <c r="B2" s="53"/>
      <c r="C2" s="41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>
      <c r="A3" s="59"/>
      <c r="B3" s="59" t="s">
        <v>303</v>
      </c>
      <c r="C3" s="42"/>
      <c r="D3" s="53"/>
      <c r="E3" s="53"/>
      <c r="F3" s="53"/>
      <c r="G3" s="60" t="s">
        <v>17</v>
      </c>
      <c r="H3" s="60"/>
      <c r="I3" s="60"/>
      <c r="J3" s="60"/>
      <c r="K3" s="53"/>
      <c r="L3" s="53"/>
      <c r="M3" s="53"/>
    </row>
    <row r="4" spans="1:13">
      <c r="A4" s="59"/>
      <c r="B4" s="59" t="s">
        <v>304</v>
      </c>
      <c r="C4" s="42"/>
      <c r="D4" s="53"/>
      <c r="E4" s="53"/>
      <c r="F4" s="53"/>
      <c r="G4" s="53" t="s">
        <v>18</v>
      </c>
      <c r="H4" s="53"/>
      <c r="I4" s="53"/>
      <c r="J4" s="53"/>
      <c r="K4" s="53"/>
      <c r="L4" s="53"/>
      <c r="M4" s="53"/>
    </row>
    <row r="5" spans="1:13">
      <c r="A5" s="59"/>
      <c r="B5" s="59" t="s">
        <v>306</v>
      </c>
      <c r="C5" s="42"/>
      <c r="D5" s="53"/>
      <c r="E5" s="53"/>
      <c r="F5" s="53"/>
      <c r="G5" s="53" t="s">
        <v>55</v>
      </c>
      <c r="H5" s="53"/>
      <c r="I5" s="53"/>
      <c r="J5" s="53"/>
      <c r="K5" s="53" t="s">
        <v>20</v>
      </c>
      <c r="L5" s="53"/>
      <c r="M5" s="53"/>
    </row>
    <row r="6" spans="1:13">
      <c r="A6" s="59"/>
      <c r="B6" s="59" t="s">
        <v>305</v>
      </c>
      <c r="C6" s="42"/>
      <c r="D6" s="53"/>
      <c r="E6" s="53"/>
      <c r="F6" s="53"/>
      <c r="G6" s="53" t="s">
        <v>19</v>
      </c>
      <c r="H6" s="53"/>
      <c r="I6" s="53"/>
      <c r="J6" s="53"/>
      <c r="K6" s="53"/>
      <c r="L6" s="53"/>
      <c r="M6" s="53"/>
    </row>
    <row r="7" spans="1:13">
      <c r="A7" s="42"/>
      <c r="B7" s="53"/>
      <c r="C7" s="42"/>
      <c r="D7" s="41"/>
      <c r="E7" s="41"/>
      <c r="F7" s="53"/>
      <c r="G7" s="53"/>
      <c r="H7" s="53"/>
      <c r="I7" s="53"/>
      <c r="J7" s="53"/>
      <c r="K7" s="53"/>
      <c r="L7" s="53"/>
      <c r="M7" s="53"/>
    </row>
    <row r="8" spans="1:13" s="58" customFormat="1">
      <c r="A8" s="171" t="s">
        <v>255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s="58" customForma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56" customFormat="1" ht="12.75" customHeight="1">
      <c r="A10" s="172" t="s">
        <v>307</v>
      </c>
      <c r="B10" s="173" t="s">
        <v>308</v>
      </c>
      <c r="C10" s="173" t="s">
        <v>309</v>
      </c>
      <c r="D10" s="173" t="s">
        <v>310</v>
      </c>
      <c r="E10" s="172" t="s">
        <v>311</v>
      </c>
      <c r="F10" s="172"/>
      <c r="G10" s="173" t="s">
        <v>312</v>
      </c>
      <c r="H10" s="173"/>
      <c r="I10" s="173" t="s">
        <v>6</v>
      </c>
      <c r="J10" s="173"/>
      <c r="K10" s="172" t="s">
        <v>313</v>
      </c>
      <c r="L10" s="172"/>
      <c r="M10" s="172" t="s">
        <v>4</v>
      </c>
    </row>
    <row r="11" spans="1:13" s="56" customFormat="1" ht="12.75" customHeight="1">
      <c r="A11" s="172"/>
      <c r="B11" s="173"/>
      <c r="C11" s="173"/>
      <c r="D11" s="173"/>
      <c r="E11" s="61" t="s">
        <v>314</v>
      </c>
      <c r="F11" s="61" t="s">
        <v>231</v>
      </c>
      <c r="G11" s="61" t="s">
        <v>314</v>
      </c>
      <c r="H11" s="61" t="s">
        <v>231</v>
      </c>
      <c r="I11" s="61" t="s">
        <v>314</v>
      </c>
      <c r="J11" s="61" t="s">
        <v>231</v>
      </c>
      <c r="K11" s="61" t="s">
        <v>314</v>
      </c>
      <c r="L11" s="61" t="s">
        <v>231</v>
      </c>
      <c r="M11" s="172"/>
    </row>
    <row r="12" spans="1:13" s="56" customFormat="1">
      <c r="A12" s="61">
        <v>1</v>
      </c>
      <c r="B12" s="61">
        <v>2</v>
      </c>
      <c r="C12" s="62">
        <v>3</v>
      </c>
      <c r="D12" s="61">
        <v>4</v>
      </c>
      <c r="E12" s="61">
        <v>5</v>
      </c>
      <c r="F12" s="61">
        <v>6</v>
      </c>
      <c r="G12" s="61">
        <v>7</v>
      </c>
      <c r="H12" s="63">
        <v>8</v>
      </c>
      <c r="I12" s="61">
        <v>9</v>
      </c>
      <c r="J12" s="63">
        <v>10</v>
      </c>
      <c r="K12" s="61">
        <v>11</v>
      </c>
      <c r="L12" s="63">
        <v>12</v>
      </c>
      <c r="M12" s="63">
        <v>13</v>
      </c>
    </row>
    <row r="13" spans="1:13" s="56" customFormat="1">
      <c r="A13" s="43"/>
      <c r="B13" s="43"/>
      <c r="C13" s="43"/>
      <c r="D13" s="43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56" customFormat="1">
      <c r="A14" s="43"/>
      <c r="B14" s="45"/>
      <c r="C14" s="44" t="s">
        <v>32</v>
      </c>
      <c r="D14" s="45"/>
      <c r="E14" s="65"/>
      <c r="F14" s="65"/>
      <c r="G14" s="65"/>
      <c r="H14" s="65"/>
      <c r="I14" s="65"/>
      <c r="J14" s="65"/>
      <c r="K14" s="65"/>
      <c r="L14" s="65"/>
      <c r="M14" s="65"/>
    </row>
    <row r="15" spans="1:13" s="56" customFormat="1">
      <c r="A15" s="43"/>
      <c r="B15" s="45"/>
      <c r="C15" s="44"/>
      <c r="D15" s="4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2.75" customHeight="1">
      <c r="A16" s="45">
        <v>1.1000000000000001</v>
      </c>
      <c r="B16" s="168" t="s">
        <v>315</v>
      </c>
      <c r="C16" s="46" t="s">
        <v>33</v>
      </c>
      <c r="D16" s="45" t="s">
        <v>34</v>
      </c>
      <c r="E16" s="65"/>
      <c r="F16" s="65">
        <v>0.49</v>
      </c>
      <c r="G16" s="65"/>
      <c r="H16" s="65"/>
      <c r="I16" s="65"/>
      <c r="J16" s="65"/>
      <c r="K16" s="65"/>
      <c r="L16" s="65"/>
      <c r="M16" s="65"/>
    </row>
    <row r="17" spans="1:13" ht="12.75" customHeight="1">
      <c r="A17" s="45"/>
      <c r="B17" s="169"/>
      <c r="C17" s="46"/>
      <c r="D17" s="45"/>
      <c r="E17" s="65"/>
      <c r="F17" s="65"/>
      <c r="G17" s="65"/>
      <c r="H17" s="65"/>
      <c r="I17" s="65"/>
      <c r="J17" s="65"/>
      <c r="K17" s="65"/>
      <c r="L17" s="65"/>
      <c r="M17" s="65"/>
    </row>
    <row r="18" spans="1:13">
      <c r="A18" s="45" t="s">
        <v>0</v>
      </c>
      <c r="B18" s="169"/>
      <c r="C18" s="74" t="s">
        <v>15</v>
      </c>
      <c r="D18" s="45" t="s">
        <v>1</v>
      </c>
      <c r="E18" s="75">
        <f>1.1*1.13*(127+67)</f>
        <v>241.14199999999997</v>
      </c>
      <c r="F18" s="65">
        <f>E18*F16</f>
        <v>118.15957999999998</v>
      </c>
      <c r="G18" s="65"/>
      <c r="H18" s="65"/>
      <c r="I18" s="76"/>
      <c r="J18" s="65"/>
      <c r="K18" s="65"/>
      <c r="L18" s="65"/>
      <c r="M18" s="65"/>
    </row>
    <row r="19" spans="1:13">
      <c r="A19" s="45"/>
      <c r="B19" s="170"/>
      <c r="C19" s="46"/>
      <c r="D19" s="45"/>
      <c r="E19" s="65"/>
      <c r="F19" s="65"/>
      <c r="G19" s="65"/>
      <c r="H19" s="65"/>
      <c r="I19" s="65"/>
      <c r="J19" s="65"/>
      <c r="K19" s="65"/>
      <c r="L19" s="65"/>
      <c r="M19" s="65"/>
    </row>
    <row r="20" spans="1:13" s="72" customFormat="1">
      <c r="A20" s="43"/>
      <c r="B20" s="70"/>
      <c r="C20" s="43" t="s">
        <v>4</v>
      </c>
      <c r="D20" s="43"/>
      <c r="E20" s="64"/>
      <c r="F20" s="64"/>
      <c r="G20" s="64"/>
      <c r="H20" s="64"/>
      <c r="I20" s="64"/>
      <c r="J20" s="64"/>
      <c r="K20" s="64"/>
      <c r="L20" s="64"/>
      <c r="M20" s="64"/>
    </row>
    <row r="21" spans="1:13" s="69" customFormat="1">
      <c r="A21" s="66"/>
      <c r="B21" s="67"/>
      <c r="C21" s="66"/>
      <c r="D21" s="66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69" customFormat="1">
      <c r="A22" s="66"/>
      <c r="B22" s="67"/>
      <c r="C22" s="66" t="s">
        <v>10</v>
      </c>
      <c r="D22" s="73">
        <v>0.1</v>
      </c>
      <c r="E22" s="68"/>
      <c r="F22" s="68"/>
      <c r="G22" s="68"/>
      <c r="H22" s="68"/>
      <c r="I22" s="68"/>
      <c r="J22" s="68"/>
      <c r="K22" s="68"/>
      <c r="L22" s="68"/>
      <c r="M22" s="68"/>
    </row>
    <row r="23" spans="1:13" s="69" customFormat="1">
      <c r="A23" s="66"/>
      <c r="B23" s="67"/>
      <c r="C23" s="66" t="s">
        <v>4</v>
      </c>
      <c r="D23" s="73"/>
      <c r="E23" s="68"/>
      <c r="F23" s="68"/>
      <c r="G23" s="68"/>
      <c r="H23" s="68"/>
      <c r="I23" s="68"/>
      <c r="J23" s="68"/>
      <c r="K23" s="68"/>
      <c r="L23" s="68"/>
      <c r="M23" s="68"/>
    </row>
    <row r="24" spans="1:13" s="69" customFormat="1">
      <c r="A24" s="66"/>
      <c r="B24" s="67"/>
      <c r="C24" s="66" t="s">
        <v>11</v>
      </c>
      <c r="D24" s="73">
        <v>0.08</v>
      </c>
      <c r="E24" s="68"/>
      <c r="F24" s="68"/>
      <c r="G24" s="68"/>
      <c r="H24" s="68"/>
      <c r="I24" s="68"/>
      <c r="J24" s="68"/>
      <c r="K24" s="68"/>
      <c r="L24" s="68"/>
      <c r="M24" s="68"/>
    </row>
    <row r="25" spans="1:13" s="69" customFormat="1">
      <c r="A25" s="66"/>
      <c r="B25" s="67"/>
      <c r="C25" s="66"/>
      <c r="D25" s="73"/>
      <c r="E25" s="68"/>
      <c r="F25" s="68"/>
      <c r="G25" s="68"/>
      <c r="H25" s="68"/>
      <c r="I25" s="68"/>
      <c r="J25" s="68"/>
      <c r="K25" s="68"/>
      <c r="L25" s="68"/>
      <c r="M25" s="68"/>
    </row>
    <row r="26" spans="1:13" s="71" customFormat="1">
      <c r="A26" s="43"/>
      <c r="B26" s="70"/>
      <c r="C26" s="43" t="s">
        <v>4</v>
      </c>
      <c r="D26" s="43"/>
      <c r="E26" s="64"/>
      <c r="F26" s="64"/>
      <c r="G26" s="64"/>
      <c r="H26" s="64"/>
      <c r="I26" s="64"/>
      <c r="J26" s="64"/>
      <c r="K26" s="64"/>
      <c r="L26" s="64"/>
      <c r="M26" s="64"/>
    </row>
    <row r="27" spans="1:13">
      <c r="B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>
      <c r="B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3">
      <c r="B29" s="49"/>
      <c r="D29" s="49"/>
      <c r="E29" s="49"/>
      <c r="F29" s="49"/>
      <c r="G29" s="49"/>
      <c r="H29" s="49"/>
      <c r="I29" s="49"/>
      <c r="J29" s="49"/>
      <c r="K29" s="49"/>
      <c r="L29" s="49"/>
      <c r="M29" s="50"/>
    </row>
    <row r="30" spans="1:13">
      <c r="B30" s="49"/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1:13">
      <c r="B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>
      <c r="B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2:13">
      <c r="B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2:13">
      <c r="B34" s="49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2:13">
      <c r="B35" s="49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2:13">
      <c r="B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2:13">
      <c r="B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2:13">
      <c r="B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>
      <c r="B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>
      <c r="B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2:13">
      <c r="B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>
      <c r="B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2:13">
      <c r="B43" s="49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2:13">
      <c r="B44" s="49"/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2:13">
      <c r="B45" s="49"/>
      <c r="D45" s="49"/>
      <c r="E45" s="49"/>
      <c r="F45" s="49"/>
      <c r="G45" s="49"/>
      <c r="H45" s="49"/>
      <c r="I45" s="49"/>
      <c r="J45" s="49"/>
      <c r="K45" s="49"/>
      <c r="L45" s="49"/>
      <c r="M45" s="50"/>
    </row>
    <row r="46" spans="2:13">
      <c r="B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2:13">
      <c r="B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2:13">
      <c r="B48" s="49"/>
      <c r="D48" s="49"/>
      <c r="E48" s="49"/>
      <c r="F48" s="49"/>
      <c r="G48" s="49"/>
      <c r="H48" s="49"/>
      <c r="I48" s="49"/>
      <c r="J48" s="49"/>
      <c r="K48" s="49"/>
      <c r="L48" s="49"/>
      <c r="M48" s="50"/>
    </row>
    <row r="49" spans="2:13">
      <c r="B49" s="49"/>
      <c r="D49" s="49"/>
      <c r="E49" s="49"/>
      <c r="F49" s="49"/>
      <c r="G49" s="49"/>
      <c r="H49" s="49"/>
      <c r="I49" s="49"/>
      <c r="J49" s="49"/>
      <c r="K49" s="49"/>
      <c r="L49" s="49"/>
      <c r="M49" s="50"/>
    </row>
    <row r="50" spans="2:13">
      <c r="B50" s="49"/>
      <c r="D50" s="49"/>
      <c r="E50" s="49"/>
      <c r="F50" s="49"/>
      <c r="G50" s="49"/>
      <c r="H50" s="49"/>
      <c r="I50" s="49"/>
      <c r="J50" s="49"/>
      <c r="K50" s="49"/>
      <c r="L50" s="49"/>
      <c r="M50" s="50"/>
    </row>
    <row r="51" spans="2:13">
      <c r="B51" s="49"/>
      <c r="D51" s="49"/>
      <c r="E51" s="49"/>
      <c r="F51" s="49"/>
      <c r="G51" s="49"/>
      <c r="H51" s="49"/>
      <c r="I51" s="49"/>
      <c r="J51" s="49"/>
      <c r="K51" s="49"/>
      <c r="L51" s="49"/>
      <c r="M51" s="50"/>
    </row>
    <row r="52" spans="2:13">
      <c r="B52" s="49"/>
      <c r="D52" s="49"/>
      <c r="E52" s="49"/>
      <c r="F52" s="49"/>
      <c r="G52" s="49"/>
      <c r="H52" s="49"/>
      <c r="I52" s="49"/>
      <c r="J52" s="49"/>
      <c r="K52" s="49"/>
      <c r="L52" s="49"/>
      <c r="M52" s="50"/>
    </row>
    <row r="53" spans="2:13">
      <c r="B53" s="49"/>
      <c r="D53" s="49"/>
      <c r="E53" s="49"/>
      <c r="F53" s="49"/>
      <c r="G53" s="49"/>
      <c r="H53" s="49"/>
      <c r="I53" s="49"/>
      <c r="J53" s="49"/>
      <c r="K53" s="49"/>
      <c r="L53" s="49"/>
      <c r="M53" s="50"/>
    </row>
    <row r="54" spans="2:13">
      <c r="B54" s="49"/>
      <c r="D54" s="49"/>
      <c r="E54" s="49"/>
      <c r="F54" s="49"/>
      <c r="G54" s="49"/>
      <c r="H54" s="49"/>
      <c r="I54" s="49"/>
      <c r="J54" s="49"/>
      <c r="K54" s="49"/>
      <c r="L54" s="49"/>
      <c r="M54" s="50"/>
    </row>
    <row r="55" spans="2:13">
      <c r="B55" s="49"/>
      <c r="D55" s="49"/>
      <c r="E55" s="49"/>
      <c r="F55" s="49"/>
      <c r="G55" s="49"/>
      <c r="H55" s="49"/>
      <c r="I55" s="49"/>
      <c r="J55" s="49"/>
      <c r="K55" s="49"/>
      <c r="L55" s="49"/>
      <c r="M55" s="50"/>
    </row>
    <row r="56" spans="2:13">
      <c r="B56" s="49"/>
      <c r="D56" s="49"/>
      <c r="E56" s="49"/>
      <c r="F56" s="49"/>
      <c r="G56" s="49"/>
      <c r="H56" s="49"/>
      <c r="I56" s="49"/>
      <c r="J56" s="49"/>
      <c r="K56" s="49"/>
      <c r="L56" s="49"/>
      <c r="M56" s="50"/>
    </row>
    <row r="57" spans="2:13">
      <c r="B57" s="49"/>
      <c r="D57" s="49"/>
      <c r="E57" s="49"/>
      <c r="F57" s="49"/>
      <c r="G57" s="49"/>
      <c r="H57" s="49"/>
      <c r="I57" s="49"/>
      <c r="J57" s="49"/>
      <c r="K57" s="49"/>
      <c r="L57" s="49"/>
      <c r="M57" s="50"/>
    </row>
    <row r="58" spans="2:13">
      <c r="B58" s="49"/>
      <c r="D58" s="49"/>
      <c r="E58" s="49"/>
      <c r="F58" s="49"/>
      <c r="G58" s="49"/>
      <c r="H58" s="49"/>
      <c r="I58" s="49"/>
      <c r="J58" s="49"/>
      <c r="K58" s="49"/>
      <c r="L58" s="49"/>
      <c r="M58" s="50"/>
    </row>
    <row r="59" spans="2:13">
      <c r="B59" s="49"/>
      <c r="D59" s="49"/>
      <c r="E59" s="49"/>
      <c r="F59" s="49"/>
      <c r="G59" s="49"/>
      <c r="H59" s="49"/>
      <c r="I59" s="49"/>
      <c r="J59" s="49"/>
      <c r="K59" s="49"/>
      <c r="L59" s="49"/>
      <c r="M59" s="50"/>
    </row>
    <row r="60" spans="2:13">
      <c r="B60" s="49"/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2:13">
      <c r="B61" s="49"/>
      <c r="D61" s="49"/>
      <c r="E61" s="49"/>
      <c r="F61" s="49"/>
      <c r="G61" s="49"/>
      <c r="H61" s="49"/>
      <c r="I61" s="49"/>
      <c r="J61" s="49"/>
      <c r="K61" s="49"/>
      <c r="L61" s="49"/>
      <c r="M61" s="50"/>
    </row>
    <row r="62" spans="2:13">
      <c r="B62" s="49"/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2:13">
      <c r="B63" s="49"/>
      <c r="D63" s="49"/>
      <c r="E63" s="49"/>
      <c r="F63" s="49"/>
      <c r="G63" s="49"/>
      <c r="H63" s="49"/>
      <c r="I63" s="49"/>
      <c r="J63" s="49"/>
      <c r="K63" s="49"/>
      <c r="L63" s="49"/>
      <c r="M63" s="50"/>
    </row>
    <row r="64" spans="2:13">
      <c r="B64" s="49"/>
      <c r="D64" s="49"/>
      <c r="E64" s="49"/>
      <c r="F64" s="49"/>
      <c r="G64" s="49"/>
      <c r="H64" s="49"/>
      <c r="I64" s="49"/>
      <c r="J64" s="49"/>
      <c r="K64" s="49"/>
      <c r="L64" s="49"/>
      <c r="M64" s="50"/>
    </row>
    <row r="65" spans="2:13">
      <c r="B65" s="49"/>
      <c r="D65" s="49"/>
      <c r="E65" s="49"/>
      <c r="F65" s="49"/>
      <c r="G65" s="49"/>
      <c r="H65" s="49"/>
      <c r="I65" s="49"/>
      <c r="J65" s="49"/>
      <c r="K65" s="49"/>
      <c r="L65" s="49"/>
      <c r="M65" s="50"/>
    </row>
    <row r="66" spans="2:13">
      <c r="B66" s="49"/>
      <c r="D66" s="49"/>
      <c r="E66" s="49"/>
      <c r="F66" s="49"/>
      <c r="G66" s="49"/>
      <c r="H66" s="49"/>
      <c r="I66" s="49"/>
      <c r="J66" s="49"/>
      <c r="K66" s="49"/>
      <c r="L66" s="49"/>
      <c r="M66" s="50"/>
    </row>
    <row r="67" spans="2:13">
      <c r="B67" s="49"/>
      <c r="D67" s="49"/>
      <c r="E67" s="49"/>
      <c r="F67" s="49"/>
      <c r="G67" s="49"/>
      <c r="H67" s="49"/>
      <c r="I67" s="49"/>
      <c r="J67" s="49"/>
      <c r="K67" s="49"/>
      <c r="L67" s="49"/>
      <c r="M67" s="50"/>
    </row>
  </sheetData>
  <mergeCells count="11">
    <mergeCell ref="B16:B19"/>
    <mergeCell ref="A8:M8"/>
    <mergeCell ref="A10:A11"/>
    <mergeCell ref="B10:B11"/>
    <mergeCell ref="C10:C11"/>
    <mergeCell ref="D10:D11"/>
    <mergeCell ref="E10:F10"/>
    <mergeCell ref="G10:H10"/>
    <mergeCell ref="I10:J10"/>
    <mergeCell ref="K10:L10"/>
    <mergeCell ref="M10:M11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9"/>
  <sheetViews>
    <sheetView view="pageBreakPreview" zoomScaleNormal="60" zoomScaleSheetLayoutView="100" workbookViewId="0">
      <selection activeCell="G8" sqref="G8:M60"/>
    </sheetView>
  </sheetViews>
  <sheetFormatPr defaultRowHeight="12.75"/>
  <cols>
    <col min="1" max="1" width="6.140625" style="98" customWidth="1"/>
    <col min="2" max="2" width="14.42578125" style="85" customWidth="1"/>
    <col min="3" max="3" width="63.5703125" style="85" customWidth="1"/>
    <col min="4" max="4" width="9" style="85" customWidth="1"/>
    <col min="5" max="12" width="9.5703125" style="85" customWidth="1"/>
    <col min="13" max="13" width="11.140625" style="90" customWidth="1"/>
    <col min="14" max="16384" width="9.140625" style="77"/>
  </cols>
  <sheetData>
    <row r="1" spans="1:13" s="92" customFormat="1">
      <c r="A1" s="174" t="s">
        <v>255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92" customFormat="1">
      <c r="A2" s="9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78" customFormat="1" ht="28.5" customHeight="1">
      <c r="A3" s="172" t="s">
        <v>307</v>
      </c>
      <c r="B3" s="173" t="s">
        <v>308</v>
      </c>
      <c r="C3" s="173" t="s">
        <v>309</v>
      </c>
      <c r="D3" s="173" t="s">
        <v>310</v>
      </c>
      <c r="E3" s="172" t="s">
        <v>311</v>
      </c>
      <c r="F3" s="172"/>
      <c r="G3" s="173" t="s">
        <v>312</v>
      </c>
      <c r="H3" s="173"/>
      <c r="I3" s="173" t="s">
        <v>6</v>
      </c>
      <c r="J3" s="173"/>
      <c r="K3" s="172" t="s">
        <v>313</v>
      </c>
      <c r="L3" s="172"/>
      <c r="M3" s="172" t="s">
        <v>4</v>
      </c>
    </row>
    <row r="4" spans="1:13" s="78" customFormat="1">
      <c r="A4" s="172"/>
      <c r="B4" s="173"/>
      <c r="C4" s="173"/>
      <c r="D4" s="173"/>
      <c r="E4" s="61" t="s">
        <v>314</v>
      </c>
      <c r="F4" s="61" t="s">
        <v>231</v>
      </c>
      <c r="G4" s="61" t="s">
        <v>314</v>
      </c>
      <c r="H4" s="61" t="s">
        <v>231</v>
      </c>
      <c r="I4" s="61" t="s">
        <v>314</v>
      </c>
      <c r="J4" s="61" t="s">
        <v>231</v>
      </c>
      <c r="K4" s="61" t="s">
        <v>314</v>
      </c>
      <c r="L4" s="61" t="s">
        <v>231</v>
      </c>
      <c r="M4" s="172"/>
    </row>
    <row r="5" spans="1:13" s="78" customFormat="1">
      <c r="A5" s="61">
        <v>1</v>
      </c>
      <c r="B5" s="61">
        <v>2</v>
      </c>
      <c r="C5" s="62">
        <v>3</v>
      </c>
      <c r="D5" s="61">
        <v>4</v>
      </c>
      <c r="E5" s="61">
        <v>5</v>
      </c>
      <c r="F5" s="61">
        <v>6</v>
      </c>
      <c r="G5" s="61">
        <v>7</v>
      </c>
      <c r="H5" s="63">
        <v>8</v>
      </c>
      <c r="I5" s="61">
        <v>9</v>
      </c>
      <c r="J5" s="63">
        <v>10</v>
      </c>
      <c r="K5" s="61">
        <v>11</v>
      </c>
      <c r="L5" s="63">
        <v>12</v>
      </c>
      <c r="M5" s="63">
        <v>13</v>
      </c>
    </row>
    <row r="6" spans="1:13" s="78" customFormat="1">
      <c r="A6" s="43"/>
      <c r="B6" s="43"/>
      <c r="C6" s="43"/>
      <c r="D6" s="43"/>
      <c r="E6" s="64"/>
      <c r="F6" s="64"/>
      <c r="G6" s="64"/>
      <c r="H6" s="64"/>
      <c r="I6" s="64"/>
      <c r="J6" s="64"/>
      <c r="K6" s="64"/>
      <c r="L6" s="64"/>
      <c r="M6" s="64"/>
    </row>
    <row r="7" spans="1:13" s="78" customFormat="1">
      <c r="A7" s="43"/>
      <c r="B7" s="66"/>
      <c r="C7" s="44" t="s">
        <v>54</v>
      </c>
      <c r="D7" s="66"/>
      <c r="E7" s="68"/>
      <c r="F7" s="68"/>
      <c r="G7" s="68"/>
      <c r="H7" s="68"/>
      <c r="I7" s="68"/>
      <c r="J7" s="68"/>
      <c r="K7" s="68"/>
      <c r="L7" s="68"/>
      <c r="M7" s="68"/>
    </row>
    <row r="8" spans="1:13" ht="25.5">
      <c r="A8" s="66">
        <v>1.1000000000000001</v>
      </c>
      <c r="B8" s="67" t="s">
        <v>73</v>
      </c>
      <c r="C8" s="81" t="s">
        <v>72</v>
      </c>
      <c r="D8" s="66" t="s">
        <v>321</v>
      </c>
      <c r="E8" s="68"/>
      <c r="F8" s="68">
        <v>628</v>
      </c>
      <c r="G8" s="68"/>
      <c r="H8" s="68"/>
      <c r="I8" s="68"/>
      <c r="J8" s="68"/>
      <c r="K8" s="68"/>
      <c r="L8" s="68"/>
      <c r="M8" s="68"/>
    </row>
    <row r="9" spans="1:13">
      <c r="A9" s="66"/>
      <c r="B9" s="67"/>
      <c r="C9" s="81"/>
      <c r="D9" s="66" t="s">
        <v>316</v>
      </c>
      <c r="E9" s="68"/>
      <c r="F9" s="99">
        <f>F8/1000</f>
        <v>0.628</v>
      </c>
      <c r="G9" s="68"/>
      <c r="H9" s="68"/>
      <c r="I9" s="68"/>
      <c r="J9" s="68"/>
      <c r="K9" s="68"/>
      <c r="L9" s="68"/>
      <c r="M9" s="100"/>
    </row>
    <row r="10" spans="1:13">
      <c r="A10" s="66" t="s">
        <v>0</v>
      </c>
      <c r="B10" s="67"/>
      <c r="C10" s="101" t="s">
        <v>15</v>
      </c>
      <c r="D10" s="66" t="s">
        <v>1</v>
      </c>
      <c r="E10" s="68">
        <v>20</v>
      </c>
      <c r="F10" s="68">
        <f>E10*F9</f>
        <v>12.56</v>
      </c>
      <c r="G10" s="68"/>
      <c r="H10" s="68"/>
      <c r="I10" s="102"/>
      <c r="J10" s="68"/>
      <c r="K10" s="68"/>
      <c r="L10" s="68"/>
      <c r="M10" s="100"/>
    </row>
    <row r="11" spans="1:13">
      <c r="A11" s="66" t="s">
        <v>174</v>
      </c>
      <c r="B11" s="103" t="s">
        <v>317</v>
      </c>
      <c r="C11" s="80" t="s">
        <v>318</v>
      </c>
      <c r="D11" s="66" t="s">
        <v>24</v>
      </c>
      <c r="E11" s="68">
        <v>44.8</v>
      </c>
      <c r="F11" s="68">
        <f>E11*F9</f>
        <v>28.134399999999999</v>
      </c>
      <c r="G11" s="68"/>
      <c r="H11" s="68"/>
      <c r="I11" s="68"/>
      <c r="J11" s="68"/>
      <c r="K11" s="68"/>
      <c r="L11" s="68"/>
      <c r="M11" s="100"/>
    </row>
    <row r="12" spans="1:13">
      <c r="A12" s="66" t="s">
        <v>175</v>
      </c>
      <c r="B12" s="67"/>
      <c r="C12" s="80" t="s">
        <v>13</v>
      </c>
      <c r="D12" s="66" t="s">
        <v>25</v>
      </c>
      <c r="E12" s="68">
        <v>2.1</v>
      </c>
      <c r="F12" s="68">
        <f>E12*F9</f>
        <v>1.3188</v>
      </c>
      <c r="G12" s="68"/>
      <c r="H12" s="68"/>
      <c r="I12" s="68"/>
      <c r="J12" s="68"/>
      <c r="K12" s="102"/>
      <c r="L12" s="68"/>
      <c r="M12" s="100"/>
    </row>
    <row r="13" spans="1:13">
      <c r="A13" s="66" t="s">
        <v>176</v>
      </c>
      <c r="B13" s="103" t="s">
        <v>319</v>
      </c>
      <c r="C13" s="104" t="s">
        <v>320</v>
      </c>
      <c r="D13" s="66" t="s">
        <v>321</v>
      </c>
      <c r="E13" s="68">
        <v>0.05</v>
      </c>
      <c r="F13" s="68">
        <f>E13*F9</f>
        <v>3.1400000000000004E-2</v>
      </c>
      <c r="G13" s="75"/>
      <c r="H13" s="68"/>
      <c r="I13" s="68"/>
      <c r="J13" s="68"/>
      <c r="K13" s="68"/>
      <c r="L13" s="68"/>
      <c r="M13" s="100"/>
    </row>
    <row r="14" spans="1:13">
      <c r="A14" s="66"/>
      <c r="B14" s="67"/>
      <c r="C14" s="81"/>
      <c r="D14" s="66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25.5">
      <c r="A15" s="66">
        <v>1.2</v>
      </c>
      <c r="B15" s="67" t="s">
        <v>73</v>
      </c>
      <c r="C15" s="81" t="s">
        <v>256</v>
      </c>
      <c r="D15" s="66" t="s">
        <v>321</v>
      </c>
      <c r="E15" s="68"/>
      <c r="F15" s="68">
        <v>24</v>
      </c>
      <c r="G15" s="68"/>
      <c r="H15" s="68"/>
      <c r="I15" s="68"/>
      <c r="J15" s="68"/>
      <c r="K15" s="68"/>
      <c r="L15" s="68"/>
      <c r="M15" s="68"/>
    </row>
    <row r="16" spans="1:13">
      <c r="A16" s="66"/>
      <c r="B16" s="67"/>
      <c r="C16" s="81"/>
      <c r="D16" s="66" t="s">
        <v>316</v>
      </c>
      <c r="E16" s="68"/>
      <c r="F16" s="99">
        <f>F15/1000</f>
        <v>2.4E-2</v>
      </c>
      <c r="G16" s="68"/>
      <c r="H16" s="68"/>
      <c r="I16" s="68"/>
      <c r="J16" s="68"/>
      <c r="K16" s="68"/>
      <c r="L16" s="68"/>
      <c r="M16" s="100"/>
    </row>
    <row r="17" spans="1:13">
      <c r="A17" s="66" t="s">
        <v>21</v>
      </c>
      <c r="B17" s="67"/>
      <c r="C17" s="101" t="s">
        <v>15</v>
      </c>
      <c r="D17" s="66" t="s">
        <v>1</v>
      </c>
      <c r="E17" s="68">
        <v>20</v>
      </c>
      <c r="F17" s="68">
        <f>E17*F16</f>
        <v>0.48</v>
      </c>
      <c r="G17" s="68"/>
      <c r="H17" s="68"/>
      <c r="I17" s="102"/>
      <c r="J17" s="68"/>
      <c r="K17" s="68"/>
      <c r="L17" s="68"/>
      <c r="M17" s="100"/>
    </row>
    <row r="18" spans="1:13">
      <c r="A18" s="66" t="s">
        <v>35</v>
      </c>
      <c r="B18" s="103" t="s">
        <v>317</v>
      </c>
      <c r="C18" s="80" t="s">
        <v>318</v>
      </c>
      <c r="D18" s="66" t="s">
        <v>24</v>
      </c>
      <c r="E18" s="68">
        <v>44.8</v>
      </c>
      <c r="F18" s="68">
        <f>E18*F16</f>
        <v>1.0751999999999999</v>
      </c>
      <c r="G18" s="68"/>
      <c r="H18" s="68"/>
      <c r="I18" s="68"/>
      <c r="J18" s="68"/>
      <c r="K18" s="68"/>
      <c r="L18" s="68"/>
      <c r="M18" s="100"/>
    </row>
    <row r="19" spans="1:13">
      <c r="A19" s="66" t="s">
        <v>36</v>
      </c>
      <c r="B19" s="67"/>
      <c r="C19" s="80" t="s">
        <v>13</v>
      </c>
      <c r="D19" s="66" t="s">
        <v>25</v>
      </c>
      <c r="E19" s="68">
        <v>2.1</v>
      </c>
      <c r="F19" s="68">
        <f>E19*F16</f>
        <v>5.04E-2</v>
      </c>
      <c r="G19" s="68"/>
      <c r="H19" s="68"/>
      <c r="I19" s="68"/>
      <c r="J19" s="68"/>
      <c r="K19" s="102"/>
      <c r="L19" s="68"/>
      <c r="M19" s="100"/>
    </row>
    <row r="20" spans="1:13">
      <c r="A20" s="66" t="s">
        <v>37</v>
      </c>
      <c r="B20" s="103" t="s">
        <v>319</v>
      </c>
      <c r="C20" s="104" t="s">
        <v>320</v>
      </c>
      <c r="D20" s="66" t="s">
        <v>321</v>
      </c>
      <c r="E20" s="68">
        <v>0.05</v>
      </c>
      <c r="F20" s="68">
        <f>E20*F16</f>
        <v>1.2000000000000001E-3</v>
      </c>
      <c r="G20" s="75"/>
      <c r="H20" s="68"/>
      <c r="I20" s="68"/>
      <c r="J20" s="68"/>
      <c r="K20" s="68"/>
      <c r="L20" s="68"/>
      <c r="M20" s="100"/>
    </row>
    <row r="21" spans="1:13">
      <c r="A21" s="66"/>
      <c r="B21" s="67"/>
      <c r="C21" s="81"/>
      <c r="D21" s="66"/>
      <c r="E21" s="68"/>
      <c r="F21" s="68"/>
      <c r="G21" s="68"/>
      <c r="H21" s="68"/>
      <c r="I21" s="68"/>
      <c r="J21" s="68"/>
      <c r="K21" s="68"/>
      <c r="L21" s="68"/>
      <c r="M21" s="68"/>
    </row>
    <row r="22" spans="1:13">
      <c r="A22" s="66">
        <v>1.3</v>
      </c>
      <c r="B22" s="67" t="s">
        <v>322</v>
      </c>
      <c r="C22" s="81" t="s">
        <v>31</v>
      </c>
      <c r="D22" s="66" t="s">
        <v>23</v>
      </c>
      <c r="E22" s="68"/>
      <c r="F22" s="68">
        <f>1.95*(F8+F15)</f>
        <v>1271.3999999999999</v>
      </c>
      <c r="G22" s="68"/>
      <c r="H22" s="68"/>
      <c r="I22" s="68"/>
      <c r="J22" s="68"/>
      <c r="K22" s="68"/>
      <c r="L22" s="68"/>
      <c r="M22" s="68"/>
    </row>
    <row r="23" spans="1:13">
      <c r="A23" s="66"/>
      <c r="B23" s="67"/>
      <c r="C23" s="81"/>
      <c r="D23" s="66"/>
      <c r="E23" s="68"/>
      <c r="F23" s="68"/>
      <c r="G23" s="68"/>
      <c r="H23" s="68"/>
      <c r="I23" s="68"/>
      <c r="J23" s="68"/>
      <c r="K23" s="68"/>
      <c r="L23" s="68"/>
      <c r="M23" s="68"/>
    </row>
    <row r="24" spans="1:13">
      <c r="A24" s="66">
        <v>1.4</v>
      </c>
      <c r="B24" s="67" t="s">
        <v>75</v>
      </c>
      <c r="C24" s="81" t="s">
        <v>323</v>
      </c>
      <c r="D24" s="66" t="s">
        <v>321</v>
      </c>
      <c r="E24" s="68"/>
      <c r="F24" s="68">
        <f>((F8*1000)+(F15*1000))/1000</f>
        <v>652</v>
      </c>
      <c r="G24" s="68"/>
      <c r="H24" s="68"/>
      <c r="I24" s="68"/>
      <c r="J24" s="68"/>
      <c r="K24" s="68"/>
      <c r="L24" s="68"/>
      <c r="M24" s="68"/>
    </row>
    <row r="25" spans="1:13">
      <c r="A25" s="66"/>
      <c r="B25" s="67"/>
      <c r="C25" s="93"/>
      <c r="D25" s="66" t="s">
        <v>316</v>
      </c>
      <c r="E25" s="68"/>
      <c r="F25" s="99">
        <f>F24/1000</f>
        <v>0.65200000000000002</v>
      </c>
      <c r="G25" s="68"/>
      <c r="H25" s="68"/>
      <c r="I25" s="68"/>
      <c r="J25" s="68"/>
      <c r="K25" s="68"/>
      <c r="L25" s="68"/>
      <c r="M25" s="68"/>
    </row>
    <row r="26" spans="1:13">
      <c r="A26" s="66" t="s">
        <v>22</v>
      </c>
      <c r="B26" s="67"/>
      <c r="C26" s="93" t="s">
        <v>15</v>
      </c>
      <c r="D26" s="66" t="s">
        <v>1</v>
      </c>
      <c r="E26" s="68">
        <v>3.23</v>
      </c>
      <c r="F26" s="68">
        <f>E26*F25</f>
        <v>2.1059600000000001</v>
      </c>
      <c r="G26" s="68"/>
      <c r="H26" s="68"/>
      <c r="I26" s="68"/>
      <c r="J26" s="68"/>
      <c r="K26" s="68"/>
      <c r="L26" s="68"/>
      <c r="M26" s="68"/>
    </row>
    <row r="27" spans="1:13">
      <c r="A27" s="66" t="s">
        <v>200</v>
      </c>
      <c r="B27" s="103" t="s">
        <v>324</v>
      </c>
      <c r="C27" s="93" t="s">
        <v>76</v>
      </c>
      <c r="D27" s="66" t="s">
        <v>24</v>
      </c>
      <c r="E27" s="68">
        <v>3.62</v>
      </c>
      <c r="F27" s="68">
        <f>E27*F25</f>
        <v>2.3602400000000001</v>
      </c>
      <c r="G27" s="68"/>
      <c r="H27" s="68"/>
      <c r="I27" s="68"/>
      <c r="J27" s="68"/>
      <c r="K27" s="75"/>
      <c r="L27" s="68"/>
      <c r="M27" s="68"/>
    </row>
    <row r="28" spans="1:13">
      <c r="A28" s="66" t="s">
        <v>201</v>
      </c>
      <c r="B28" s="67"/>
      <c r="C28" s="93" t="s">
        <v>13</v>
      </c>
      <c r="D28" s="66" t="s">
        <v>25</v>
      </c>
      <c r="E28" s="68">
        <v>0.18</v>
      </c>
      <c r="F28" s="68">
        <f>E28*F25</f>
        <v>0.11736000000000001</v>
      </c>
      <c r="G28" s="68"/>
      <c r="H28" s="68"/>
      <c r="I28" s="68"/>
      <c r="J28" s="68"/>
      <c r="K28" s="68"/>
      <c r="L28" s="68"/>
      <c r="M28" s="68"/>
    </row>
    <row r="29" spans="1:13">
      <c r="A29" s="66" t="s">
        <v>202</v>
      </c>
      <c r="B29" s="103" t="s">
        <v>319</v>
      </c>
      <c r="C29" s="104" t="s">
        <v>320</v>
      </c>
      <c r="D29" s="66" t="s">
        <v>321</v>
      </c>
      <c r="E29" s="68">
        <v>0.04</v>
      </c>
      <c r="F29" s="68">
        <f>E29*F25</f>
        <v>2.6080000000000002E-2</v>
      </c>
      <c r="G29" s="75"/>
      <c r="H29" s="68"/>
      <c r="I29" s="68"/>
      <c r="J29" s="68"/>
      <c r="K29" s="68"/>
      <c r="L29" s="68"/>
      <c r="M29" s="68"/>
    </row>
    <row r="30" spans="1:13">
      <c r="A30" s="66"/>
      <c r="B30" s="67"/>
      <c r="C30" s="81"/>
      <c r="D30" s="66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25.5">
      <c r="A31" s="82">
        <v>1.5</v>
      </c>
      <c r="B31" s="67" t="s">
        <v>73</v>
      </c>
      <c r="C31" s="81" t="s">
        <v>257</v>
      </c>
      <c r="D31" s="66" t="s">
        <v>321</v>
      </c>
      <c r="E31" s="68"/>
      <c r="F31" s="68">
        <v>262</v>
      </c>
      <c r="G31" s="68"/>
      <c r="H31" s="68"/>
      <c r="I31" s="68"/>
      <c r="J31" s="68"/>
      <c r="K31" s="68"/>
      <c r="L31" s="68"/>
      <c r="M31" s="68"/>
    </row>
    <row r="32" spans="1:13">
      <c r="A32" s="82"/>
      <c r="B32" s="67"/>
      <c r="C32" s="81"/>
      <c r="D32" s="66" t="s">
        <v>316</v>
      </c>
      <c r="E32" s="68"/>
      <c r="F32" s="99">
        <f>F31/1000</f>
        <v>0.26200000000000001</v>
      </c>
      <c r="G32" s="68"/>
      <c r="H32" s="68"/>
      <c r="I32" s="68"/>
      <c r="J32" s="68"/>
      <c r="K32" s="68"/>
      <c r="L32" s="68"/>
      <c r="M32" s="100"/>
    </row>
    <row r="33" spans="1:13">
      <c r="A33" s="66" t="s">
        <v>177</v>
      </c>
      <c r="B33" s="67"/>
      <c r="C33" s="101" t="s">
        <v>15</v>
      </c>
      <c r="D33" s="66" t="s">
        <v>1</v>
      </c>
      <c r="E33" s="68">
        <v>20</v>
      </c>
      <c r="F33" s="68">
        <f>E33*F32</f>
        <v>5.24</v>
      </c>
      <c r="G33" s="68"/>
      <c r="H33" s="68"/>
      <c r="I33" s="102"/>
      <c r="J33" s="68"/>
      <c r="K33" s="68"/>
      <c r="L33" s="68"/>
      <c r="M33" s="100"/>
    </row>
    <row r="34" spans="1:13">
      <c r="A34" s="66" t="s">
        <v>178</v>
      </c>
      <c r="B34" s="103" t="s">
        <v>317</v>
      </c>
      <c r="C34" s="80" t="s">
        <v>318</v>
      </c>
      <c r="D34" s="66" t="s">
        <v>24</v>
      </c>
      <c r="E34" s="68">
        <v>44.8</v>
      </c>
      <c r="F34" s="68">
        <f>E34*F32</f>
        <v>11.7376</v>
      </c>
      <c r="G34" s="68"/>
      <c r="H34" s="68"/>
      <c r="I34" s="68"/>
      <c r="J34" s="68"/>
      <c r="K34" s="68"/>
      <c r="L34" s="68"/>
      <c r="M34" s="100"/>
    </row>
    <row r="35" spans="1:13">
      <c r="A35" s="66" t="s">
        <v>179</v>
      </c>
      <c r="B35" s="67"/>
      <c r="C35" s="80" t="s">
        <v>13</v>
      </c>
      <c r="D35" s="66" t="s">
        <v>25</v>
      </c>
      <c r="E35" s="68">
        <v>2.1</v>
      </c>
      <c r="F35" s="68">
        <f>E35*F32</f>
        <v>0.55020000000000002</v>
      </c>
      <c r="G35" s="68"/>
      <c r="H35" s="68"/>
      <c r="I35" s="68"/>
      <c r="J35" s="68"/>
      <c r="K35" s="102"/>
      <c r="L35" s="68"/>
      <c r="M35" s="100"/>
    </row>
    <row r="36" spans="1:13">
      <c r="A36" s="66" t="s">
        <v>180</v>
      </c>
      <c r="B36" s="103" t="s">
        <v>319</v>
      </c>
      <c r="C36" s="104" t="s">
        <v>320</v>
      </c>
      <c r="D36" s="66" t="s">
        <v>321</v>
      </c>
      <c r="E36" s="68">
        <v>0.05</v>
      </c>
      <c r="F36" s="68">
        <f>E36*F32</f>
        <v>1.3100000000000001E-2</v>
      </c>
      <c r="G36" s="75"/>
      <c r="H36" s="68"/>
      <c r="I36" s="68"/>
      <c r="J36" s="68"/>
      <c r="K36" s="68"/>
      <c r="L36" s="68"/>
      <c r="M36" s="100"/>
    </row>
    <row r="37" spans="1:13">
      <c r="A37" s="66"/>
      <c r="B37" s="67"/>
      <c r="C37" s="81"/>
      <c r="D37" s="66"/>
      <c r="E37" s="68"/>
      <c r="F37" s="68"/>
      <c r="G37" s="68"/>
      <c r="H37" s="68"/>
      <c r="I37" s="68"/>
      <c r="J37" s="68"/>
      <c r="K37" s="68"/>
      <c r="L37" s="68"/>
      <c r="M37" s="68"/>
    </row>
    <row r="38" spans="1:13">
      <c r="A38" s="82">
        <v>1.6</v>
      </c>
      <c r="B38" s="67" t="s">
        <v>325</v>
      </c>
      <c r="C38" s="81" t="s">
        <v>260</v>
      </c>
      <c r="D38" s="66" t="s">
        <v>23</v>
      </c>
      <c r="E38" s="68"/>
      <c r="F38" s="68">
        <f>F31*1.95</f>
        <v>510.9</v>
      </c>
      <c r="G38" s="68"/>
      <c r="H38" s="68"/>
      <c r="I38" s="68"/>
      <c r="J38" s="68"/>
      <c r="K38" s="68"/>
      <c r="L38" s="68"/>
      <c r="M38" s="68"/>
    </row>
    <row r="39" spans="1:13">
      <c r="A39" s="82"/>
      <c r="B39" s="67"/>
      <c r="C39" s="81"/>
      <c r="D39" s="66"/>
      <c r="E39" s="68"/>
      <c r="F39" s="68"/>
      <c r="G39" s="68"/>
      <c r="H39" s="68"/>
      <c r="I39" s="68"/>
      <c r="J39" s="68"/>
      <c r="K39" s="68"/>
      <c r="L39" s="68"/>
      <c r="M39" s="68"/>
    </row>
    <row r="40" spans="1:13">
      <c r="A40" s="66">
        <v>1.7</v>
      </c>
      <c r="B40" s="67" t="s">
        <v>326</v>
      </c>
      <c r="C40" s="81" t="s">
        <v>261</v>
      </c>
      <c r="D40" s="66" t="s">
        <v>321</v>
      </c>
      <c r="E40" s="68"/>
      <c r="F40" s="68">
        <f>F31</f>
        <v>262</v>
      </c>
      <c r="G40" s="68"/>
      <c r="H40" s="68"/>
      <c r="I40" s="68"/>
      <c r="J40" s="68"/>
      <c r="K40" s="68"/>
      <c r="L40" s="68"/>
      <c r="M40" s="68"/>
    </row>
    <row r="41" spans="1:13">
      <c r="A41" s="66"/>
      <c r="B41" s="67"/>
      <c r="C41" s="81"/>
      <c r="D41" s="66" t="s">
        <v>316</v>
      </c>
      <c r="E41" s="68"/>
      <c r="F41" s="99">
        <f>F40/1000</f>
        <v>0.26200000000000001</v>
      </c>
      <c r="G41" s="68"/>
      <c r="H41" s="68"/>
      <c r="I41" s="68"/>
      <c r="J41" s="68"/>
      <c r="K41" s="68"/>
      <c r="L41" s="68"/>
      <c r="M41" s="100"/>
    </row>
    <row r="42" spans="1:13">
      <c r="A42" s="66" t="s">
        <v>58</v>
      </c>
      <c r="B42" s="103" t="s">
        <v>327</v>
      </c>
      <c r="C42" s="81" t="s">
        <v>328</v>
      </c>
      <c r="D42" s="66" t="s">
        <v>24</v>
      </c>
      <c r="E42" s="68">
        <v>8.9</v>
      </c>
      <c r="F42" s="68">
        <f>E42*F41</f>
        <v>2.3318000000000003</v>
      </c>
      <c r="G42" s="68"/>
      <c r="H42" s="68"/>
      <c r="I42" s="68"/>
      <c r="J42" s="68"/>
      <c r="K42" s="75"/>
      <c r="L42" s="68"/>
      <c r="M42" s="100"/>
    </row>
    <row r="43" spans="1:13">
      <c r="A43" s="66"/>
      <c r="B43" s="67"/>
      <c r="C43" s="81"/>
      <c r="D43" s="66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82">
        <v>1.8</v>
      </c>
      <c r="B44" s="67" t="s">
        <v>101</v>
      </c>
      <c r="C44" s="81" t="s">
        <v>102</v>
      </c>
      <c r="D44" s="66" t="s">
        <v>329</v>
      </c>
      <c r="E44" s="68"/>
      <c r="F44" s="68">
        <v>3100</v>
      </c>
      <c r="G44" s="68"/>
      <c r="H44" s="68"/>
      <c r="I44" s="68"/>
      <c r="J44" s="68"/>
      <c r="K44" s="68"/>
      <c r="L44" s="68"/>
      <c r="M44" s="68"/>
    </row>
    <row r="45" spans="1:13">
      <c r="A45" s="82"/>
      <c r="B45" s="67"/>
      <c r="C45" s="81"/>
      <c r="D45" s="66" t="s">
        <v>330</v>
      </c>
      <c r="E45" s="68"/>
      <c r="F45" s="99">
        <f>F44/10000</f>
        <v>0.31</v>
      </c>
      <c r="G45" s="68"/>
      <c r="H45" s="68"/>
      <c r="I45" s="68"/>
      <c r="J45" s="68"/>
      <c r="K45" s="68"/>
      <c r="L45" s="68"/>
      <c r="M45" s="68"/>
    </row>
    <row r="46" spans="1:13">
      <c r="A46" s="66" t="s">
        <v>60</v>
      </c>
      <c r="B46" s="67"/>
      <c r="C46" s="81" t="s">
        <v>15</v>
      </c>
      <c r="D46" s="66" t="s">
        <v>1</v>
      </c>
      <c r="E46" s="68">
        <v>0.31</v>
      </c>
      <c r="F46" s="68">
        <f>E46*F45</f>
        <v>9.6100000000000005E-2</v>
      </c>
      <c r="G46" s="68"/>
      <c r="H46" s="68"/>
      <c r="I46" s="68"/>
      <c r="J46" s="68"/>
      <c r="K46" s="68"/>
      <c r="L46" s="68"/>
      <c r="M46" s="68"/>
    </row>
    <row r="47" spans="1:13">
      <c r="A47" s="66" t="s">
        <v>61</v>
      </c>
      <c r="B47" s="103" t="s">
        <v>331</v>
      </c>
      <c r="C47" s="80" t="s">
        <v>69</v>
      </c>
      <c r="D47" s="66" t="s">
        <v>24</v>
      </c>
      <c r="E47" s="68">
        <v>1.1200000000000001</v>
      </c>
      <c r="F47" s="68">
        <f>E47*F45</f>
        <v>0.34720000000000001</v>
      </c>
      <c r="G47" s="68"/>
      <c r="H47" s="68"/>
      <c r="I47" s="68"/>
      <c r="J47" s="68"/>
      <c r="K47" s="75"/>
      <c r="L47" s="68"/>
      <c r="M47" s="68"/>
    </row>
    <row r="48" spans="1:13">
      <c r="A48" s="66"/>
      <c r="B48" s="67"/>
      <c r="C48" s="81"/>
      <c r="D48" s="66"/>
      <c r="E48" s="68"/>
      <c r="F48" s="68"/>
      <c r="G48" s="68"/>
      <c r="H48" s="68"/>
      <c r="I48" s="68"/>
      <c r="J48" s="68"/>
      <c r="K48" s="68"/>
      <c r="L48" s="68"/>
      <c r="M48" s="68"/>
    </row>
    <row r="49" spans="1:13" s="95" customFormat="1">
      <c r="A49" s="43"/>
      <c r="B49" s="70"/>
      <c r="C49" s="43" t="s">
        <v>4</v>
      </c>
      <c r="D49" s="43"/>
      <c r="E49" s="64"/>
      <c r="F49" s="64"/>
      <c r="G49" s="64"/>
      <c r="H49" s="64"/>
      <c r="I49" s="64"/>
      <c r="J49" s="64"/>
      <c r="K49" s="64"/>
      <c r="L49" s="64"/>
      <c r="M49" s="64"/>
    </row>
    <row r="50" spans="1:13" s="84" customFormat="1">
      <c r="A50" s="66"/>
      <c r="B50" s="67"/>
      <c r="C50" s="66"/>
      <c r="D50" s="66"/>
      <c r="E50" s="68"/>
      <c r="F50" s="68"/>
      <c r="G50" s="68"/>
      <c r="H50" s="68"/>
      <c r="I50" s="68"/>
      <c r="J50" s="68"/>
      <c r="K50" s="68"/>
      <c r="L50" s="68"/>
      <c r="M50" s="68"/>
    </row>
    <row r="51" spans="1:13" s="84" customFormat="1">
      <c r="A51" s="66"/>
      <c r="B51" s="67"/>
      <c r="C51" s="66" t="s">
        <v>10</v>
      </c>
      <c r="D51" s="73">
        <v>0.1</v>
      </c>
      <c r="E51" s="68"/>
      <c r="F51" s="68"/>
      <c r="G51" s="68"/>
      <c r="H51" s="68"/>
      <c r="I51" s="68"/>
      <c r="J51" s="68"/>
      <c r="K51" s="68"/>
      <c r="L51" s="68"/>
      <c r="M51" s="68"/>
    </row>
    <row r="52" spans="1:13" s="84" customFormat="1">
      <c r="A52" s="66"/>
      <c r="B52" s="67"/>
      <c r="C52" s="66" t="s">
        <v>4</v>
      </c>
      <c r="D52" s="73"/>
      <c r="E52" s="68"/>
      <c r="F52" s="68"/>
      <c r="G52" s="68"/>
      <c r="H52" s="68"/>
      <c r="I52" s="68"/>
      <c r="J52" s="68"/>
      <c r="K52" s="68"/>
      <c r="L52" s="68"/>
      <c r="M52" s="68"/>
    </row>
    <row r="53" spans="1:13" s="84" customFormat="1">
      <c r="A53" s="66"/>
      <c r="B53" s="67"/>
      <c r="C53" s="66" t="s">
        <v>11</v>
      </c>
      <c r="D53" s="73">
        <v>0.08</v>
      </c>
      <c r="E53" s="68"/>
      <c r="F53" s="68"/>
      <c r="G53" s="68"/>
      <c r="H53" s="68"/>
      <c r="I53" s="68"/>
      <c r="J53" s="68"/>
      <c r="K53" s="68"/>
      <c r="L53" s="68"/>
      <c r="M53" s="68"/>
    </row>
    <row r="54" spans="1:13" s="84" customFormat="1">
      <c r="A54" s="66"/>
      <c r="B54" s="67"/>
      <c r="C54" s="66"/>
      <c r="D54" s="73"/>
      <c r="E54" s="68"/>
      <c r="F54" s="68"/>
      <c r="G54" s="68"/>
      <c r="H54" s="68"/>
      <c r="I54" s="68"/>
      <c r="J54" s="68"/>
      <c r="K54" s="68"/>
      <c r="L54" s="68"/>
      <c r="M54" s="68"/>
    </row>
    <row r="55" spans="1:13" s="95" customFormat="1">
      <c r="A55" s="43"/>
      <c r="B55" s="70"/>
      <c r="C55" s="43" t="s">
        <v>4</v>
      </c>
      <c r="D55" s="43"/>
      <c r="E55" s="64"/>
      <c r="F55" s="64"/>
      <c r="G55" s="64"/>
      <c r="H55" s="64"/>
      <c r="I55" s="64"/>
      <c r="J55" s="64"/>
      <c r="K55" s="64"/>
      <c r="L55" s="64"/>
      <c r="M55" s="64"/>
    </row>
    <row r="56" spans="1:13">
      <c r="B56" s="87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8"/>
    </row>
    <row r="57" spans="1:13">
      <c r="B57" s="87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8"/>
    </row>
    <row r="58" spans="1:13">
      <c r="B58" s="87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8"/>
    </row>
    <row r="59" spans="1:13">
      <c r="B59" s="87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>
      <c r="B60" s="87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8"/>
    </row>
    <row r="61" spans="1:13">
      <c r="B61" s="87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8"/>
    </row>
    <row r="62" spans="1:13">
      <c r="B62" s="87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1:13">
      <c r="B63" s="87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8"/>
    </row>
    <row r="64" spans="1:13">
      <c r="B64" s="87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2:13">
      <c r="B65" s="87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8"/>
    </row>
    <row r="66" spans="2:13">
      <c r="B66" s="87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8"/>
    </row>
    <row r="67" spans="2:13">
      <c r="B67" s="87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8"/>
    </row>
    <row r="68" spans="2:13">
      <c r="B68" s="87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8"/>
    </row>
    <row r="69" spans="2:13">
      <c r="B69" s="87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8"/>
    </row>
    <row r="70" spans="2:13">
      <c r="B70" s="87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8"/>
    </row>
    <row r="71" spans="2:13">
      <c r="B71" s="87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2:13">
      <c r="B72" s="87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8"/>
    </row>
    <row r="73" spans="2:13">
      <c r="B73" s="87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8"/>
    </row>
    <row r="74" spans="2:13">
      <c r="B74" s="87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8"/>
    </row>
    <row r="75" spans="2:13">
      <c r="B75" s="87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8"/>
    </row>
    <row r="76" spans="2:13">
      <c r="B76" s="87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8"/>
    </row>
    <row r="77" spans="2:13">
      <c r="B77" s="87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8"/>
    </row>
    <row r="78" spans="2:13">
      <c r="B78" s="87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8"/>
    </row>
    <row r="79" spans="2:13">
      <c r="B79" s="87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8"/>
    </row>
    <row r="80" spans="2:13">
      <c r="B80" s="87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8"/>
    </row>
    <row r="81" spans="2:13">
      <c r="B81" s="87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8"/>
    </row>
    <row r="82" spans="2:13">
      <c r="B82" s="87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8"/>
    </row>
    <row r="83" spans="2:13">
      <c r="B83" s="87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2:13">
      <c r="B84" s="87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8"/>
    </row>
    <row r="85" spans="2:13">
      <c r="B85" s="87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8"/>
    </row>
    <row r="86" spans="2:13">
      <c r="B86" s="87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8"/>
    </row>
    <row r="87" spans="2:13">
      <c r="B87" s="87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8"/>
    </row>
    <row r="88" spans="2:13">
      <c r="B88" s="87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8"/>
    </row>
    <row r="89" spans="2:13">
      <c r="B89" s="87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8"/>
    </row>
    <row r="90" spans="2:13">
      <c r="B90" s="87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8"/>
    </row>
    <row r="91" spans="2:13">
      <c r="B91" s="87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8"/>
    </row>
    <row r="92" spans="2:13">
      <c r="B92" s="87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8"/>
    </row>
    <row r="93" spans="2:13">
      <c r="B93" s="87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8"/>
    </row>
    <row r="94" spans="2:13">
      <c r="B94" s="87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8"/>
    </row>
    <row r="95" spans="2:13">
      <c r="B95" s="87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8"/>
    </row>
    <row r="96" spans="2:13">
      <c r="B96" s="87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8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9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9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9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9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9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9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9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9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9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9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9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9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159"/>
  <sheetViews>
    <sheetView view="pageBreakPreview" topLeftCell="A76" zoomScaleNormal="60" zoomScaleSheetLayoutView="100" workbookViewId="0">
      <selection activeCell="A97" sqref="A97:XFD97"/>
    </sheetView>
  </sheetViews>
  <sheetFormatPr defaultRowHeight="12.75"/>
  <cols>
    <col min="1" max="1" width="6.42578125" style="98" bestFit="1" customWidth="1"/>
    <col min="2" max="2" width="14.42578125" style="98" customWidth="1"/>
    <col min="3" max="3" width="56" style="85" customWidth="1"/>
    <col min="4" max="4" width="10.28515625" style="85" customWidth="1"/>
    <col min="5" max="12" width="10.7109375" style="85" customWidth="1"/>
    <col min="13" max="13" width="12" style="90" customWidth="1"/>
    <col min="14" max="16384" width="9.140625" style="77"/>
  </cols>
  <sheetData>
    <row r="1" spans="1:13">
      <c r="A1" s="66"/>
      <c r="B1" s="66"/>
      <c r="C1" s="94"/>
      <c r="D1" s="94"/>
      <c r="E1" s="94"/>
      <c r="F1" s="94"/>
      <c r="G1" s="94"/>
      <c r="H1" s="94"/>
      <c r="I1" s="94"/>
      <c r="J1" s="94"/>
      <c r="K1" s="94"/>
      <c r="L1" s="94"/>
      <c r="M1" s="131"/>
    </row>
    <row r="2" spans="1:13" s="92" customFormat="1">
      <c r="A2" s="174" t="s">
        <v>255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92" customFormat="1">
      <c r="A3" s="97"/>
      <c r="B3" s="97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78" customFormat="1" ht="25.5" customHeight="1">
      <c r="A4" s="172" t="s">
        <v>307</v>
      </c>
      <c r="B4" s="173" t="s">
        <v>308</v>
      </c>
      <c r="C4" s="173" t="s">
        <v>309</v>
      </c>
      <c r="D4" s="173" t="s">
        <v>310</v>
      </c>
      <c r="E4" s="172" t="s">
        <v>311</v>
      </c>
      <c r="F4" s="172"/>
      <c r="G4" s="173" t="s">
        <v>312</v>
      </c>
      <c r="H4" s="173"/>
      <c r="I4" s="173" t="s">
        <v>6</v>
      </c>
      <c r="J4" s="173"/>
      <c r="K4" s="172" t="s">
        <v>313</v>
      </c>
      <c r="L4" s="172"/>
      <c r="M4" s="172" t="s">
        <v>4</v>
      </c>
    </row>
    <row r="5" spans="1:13" s="78" customFormat="1">
      <c r="A5" s="172"/>
      <c r="B5" s="173"/>
      <c r="C5" s="173"/>
      <c r="D5" s="173"/>
      <c r="E5" s="61" t="s">
        <v>314</v>
      </c>
      <c r="F5" s="61" t="s">
        <v>231</v>
      </c>
      <c r="G5" s="61" t="s">
        <v>314</v>
      </c>
      <c r="H5" s="61" t="s">
        <v>231</v>
      </c>
      <c r="I5" s="61" t="s">
        <v>314</v>
      </c>
      <c r="J5" s="61" t="s">
        <v>231</v>
      </c>
      <c r="K5" s="61" t="s">
        <v>314</v>
      </c>
      <c r="L5" s="61" t="s">
        <v>231</v>
      </c>
      <c r="M5" s="172"/>
    </row>
    <row r="6" spans="1:13" s="78" customFormat="1">
      <c r="A6" s="61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3">
        <v>8</v>
      </c>
      <c r="I6" s="61">
        <v>9</v>
      </c>
      <c r="J6" s="63">
        <v>10</v>
      </c>
      <c r="K6" s="61">
        <v>11</v>
      </c>
      <c r="L6" s="63">
        <v>12</v>
      </c>
      <c r="M6" s="63">
        <v>13</v>
      </c>
    </row>
    <row r="7" spans="1:13" s="78" customFormat="1">
      <c r="A7" s="43"/>
      <c r="B7" s="43"/>
      <c r="C7" s="43"/>
      <c r="D7" s="43"/>
      <c r="E7" s="64"/>
      <c r="F7" s="64"/>
      <c r="G7" s="64"/>
      <c r="H7" s="64"/>
      <c r="I7" s="64"/>
      <c r="J7" s="64"/>
      <c r="K7" s="64"/>
      <c r="L7" s="64"/>
      <c r="M7" s="64"/>
    </row>
    <row r="8" spans="1:13" s="78" customFormat="1">
      <c r="A8" s="43"/>
      <c r="B8" s="66"/>
      <c r="C8" s="44" t="s">
        <v>253</v>
      </c>
      <c r="D8" s="66"/>
      <c r="E8" s="66"/>
      <c r="F8" s="66"/>
      <c r="G8" s="66"/>
      <c r="H8" s="66"/>
      <c r="I8" s="66"/>
      <c r="J8" s="66"/>
      <c r="K8" s="66"/>
      <c r="L8" s="66"/>
      <c r="M8" s="79"/>
    </row>
    <row r="9" spans="1:13" s="78" customFormat="1">
      <c r="A9" s="137"/>
      <c r="B9" s="66"/>
      <c r="C9" s="138"/>
      <c r="D9" s="66"/>
      <c r="E9" s="66"/>
      <c r="F9" s="66"/>
      <c r="G9" s="66"/>
      <c r="H9" s="66"/>
      <c r="I9" s="66"/>
      <c r="J9" s="66"/>
      <c r="K9" s="66"/>
      <c r="L9" s="66"/>
      <c r="M9" s="79"/>
    </row>
    <row r="10" spans="1:13">
      <c r="A10" s="66">
        <v>1.1000000000000001</v>
      </c>
      <c r="B10" s="110" t="s">
        <v>337</v>
      </c>
      <c r="C10" s="105" t="s">
        <v>242</v>
      </c>
      <c r="D10" s="111" t="s">
        <v>89</v>
      </c>
      <c r="E10" s="102"/>
      <c r="F10" s="112">
        <v>397</v>
      </c>
      <c r="G10" s="102"/>
      <c r="H10" s="102"/>
      <c r="I10" s="102"/>
      <c r="J10" s="100"/>
      <c r="K10" s="102"/>
      <c r="L10" s="102"/>
      <c r="M10" s="68"/>
    </row>
    <row r="11" spans="1:13">
      <c r="A11" s="66"/>
      <c r="B11" s="110" t="s">
        <v>338</v>
      </c>
      <c r="C11" s="105"/>
      <c r="D11" s="111" t="s">
        <v>85</v>
      </c>
      <c r="E11" s="102"/>
      <c r="F11" s="113">
        <f>F10/100</f>
        <v>3.97</v>
      </c>
      <c r="G11" s="102"/>
      <c r="H11" s="102"/>
      <c r="I11" s="102"/>
      <c r="J11" s="100"/>
      <c r="K11" s="102"/>
      <c r="L11" s="102"/>
      <c r="M11" s="68"/>
    </row>
    <row r="12" spans="1:13">
      <c r="A12" s="66" t="s">
        <v>0</v>
      </c>
      <c r="B12" s="110" t="s">
        <v>339</v>
      </c>
      <c r="C12" s="101" t="s">
        <v>15</v>
      </c>
      <c r="D12" s="66" t="s">
        <v>1</v>
      </c>
      <c r="E12" s="114">
        <f>0.6*65.5</f>
        <v>39.299999999999997</v>
      </c>
      <c r="F12" s="112">
        <f>F11*E12</f>
        <v>156.02099999999999</v>
      </c>
      <c r="G12" s="102"/>
      <c r="H12" s="102"/>
      <c r="I12" s="102"/>
      <c r="J12" s="68"/>
      <c r="K12" s="102"/>
      <c r="L12" s="102"/>
      <c r="M12" s="100"/>
    </row>
    <row r="13" spans="1:13">
      <c r="A13" s="66" t="s">
        <v>175</v>
      </c>
      <c r="B13" s="115" t="s">
        <v>340</v>
      </c>
      <c r="C13" s="105" t="s">
        <v>243</v>
      </c>
      <c r="D13" s="66" t="s">
        <v>24</v>
      </c>
      <c r="E13" s="102">
        <f>0.7*4.29</f>
        <v>3.0029999999999997</v>
      </c>
      <c r="F13" s="112">
        <f>F11*E13</f>
        <v>11.921909999999999</v>
      </c>
      <c r="G13" s="102"/>
      <c r="H13" s="102"/>
      <c r="I13" s="102"/>
      <c r="J13" s="100"/>
      <c r="K13" s="102"/>
      <c r="L13" s="68"/>
      <c r="M13" s="100"/>
    </row>
    <row r="14" spans="1:13">
      <c r="A14" s="66" t="s">
        <v>176</v>
      </c>
      <c r="B14" s="115" t="s">
        <v>341</v>
      </c>
      <c r="C14" s="80" t="s">
        <v>13</v>
      </c>
      <c r="D14" s="66" t="s">
        <v>25</v>
      </c>
      <c r="E14" s="102">
        <f>0.7*0.44</f>
        <v>0.308</v>
      </c>
      <c r="F14" s="112">
        <f>F11*E14</f>
        <v>1.2227600000000001</v>
      </c>
      <c r="G14" s="102"/>
      <c r="H14" s="102"/>
      <c r="I14" s="102"/>
      <c r="J14" s="100"/>
      <c r="K14" s="102"/>
      <c r="L14" s="68"/>
      <c r="M14" s="100"/>
    </row>
    <row r="15" spans="1:13">
      <c r="A15" s="66" t="s">
        <v>181</v>
      </c>
      <c r="B15" s="115" t="s">
        <v>342</v>
      </c>
      <c r="C15" s="101" t="s">
        <v>14</v>
      </c>
      <c r="D15" s="66" t="s">
        <v>25</v>
      </c>
      <c r="E15" s="114">
        <f>0.5*41.3</f>
        <v>20.65</v>
      </c>
      <c r="F15" s="112">
        <f>F11*E15</f>
        <v>81.980499999999992</v>
      </c>
      <c r="G15" s="102"/>
      <c r="H15" s="68"/>
      <c r="I15" s="102"/>
      <c r="J15" s="100"/>
      <c r="K15" s="68"/>
      <c r="L15" s="68"/>
      <c r="M15" s="100"/>
    </row>
    <row r="16" spans="1:13">
      <c r="A16" s="66"/>
      <c r="B16" s="110"/>
      <c r="C16" s="109"/>
      <c r="D16" s="66"/>
      <c r="E16" s="106"/>
      <c r="F16" s="107"/>
      <c r="G16" s="106"/>
      <c r="H16" s="68"/>
      <c r="I16" s="106"/>
      <c r="J16" s="100"/>
      <c r="K16" s="106"/>
      <c r="L16" s="102"/>
      <c r="M16" s="100"/>
    </row>
    <row r="17" spans="1:13" ht="25.5">
      <c r="A17" s="66">
        <v>1.2</v>
      </c>
      <c r="B17" s="67" t="s">
        <v>333</v>
      </c>
      <c r="C17" s="93" t="s">
        <v>72</v>
      </c>
      <c r="D17" s="66" t="s">
        <v>321</v>
      </c>
      <c r="E17" s="68"/>
      <c r="F17" s="68">
        <v>555.79999999999995</v>
      </c>
      <c r="G17" s="68"/>
      <c r="H17" s="68"/>
      <c r="I17" s="68"/>
      <c r="J17" s="68"/>
      <c r="K17" s="68"/>
      <c r="L17" s="68"/>
      <c r="M17" s="68"/>
    </row>
    <row r="18" spans="1:13">
      <c r="A18" s="66"/>
      <c r="B18" s="67"/>
      <c r="C18" s="81"/>
      <c r="D18" s="66" t="s">
        <v>316</v>
      </c>
      <c r="E18" s="68"/>
      <c r="F18" s="99">
        <f>F17/1000</f>
        <v>0.55579999999999996</v>
      </c>
      <c r="G18" s="68"/>
      <c r="H18" s="68"/>
      <c r="I18" s="68"/>
      <c r="J18" s="68"/>
      <c r="K18" s="68"/>
      <c r="L18" s="68"/>
      <c r="M18" s="100"/>
    </row>
    <row r="19" spans="1:13">
      <c r="A19" s="66" t="s">
        <v>21</v>
      </c>
      <c r="B19" s="67"/>
      <c r="C19" s="101" t="s">
        <v>15</v>
      </c>
      <c r="D19" s="66" t="s">
        <v>1</v>
      </c>
      <c r="E19" s="68">
        <v>20</v>
      </c>
      <c r="F19" s="68">
        <f>E19*F18</f>
        <v>11.116</v>
      </c>
      <c r="G19" s="68"/>
      <c r="H19" s="68"/>
      <c r="I19" s="102"/>
      <c r="J19" s="68"/>
      <c r="K19" s="68"/>
      <c r="L19" s="68"/>
      <c r="M19" s="100"/>
    </row>
    <row r="20" spans="1:13">
      <c r="A20" s="66" t="s">
        <v>35</v>
      </c>
      <c r="B20" s="103" t="s">
        <v>317</v>
      </c>
      <c r="C20" s="80" t="s">
        <v>318</v>
      </c>
      <c r="D20" s="66" t="s">
        <v>24</v>
      </c>
      <c r="E20" s="68">
        <v>44.8</v>
      </c>
      <c r="F20" s="68">
        <f>E20*F18</f>
        <v>24.899839999999998</v>
      </c>
      <c r="G20" s="68"/>
      <c r="H20" s="68"/>
      <c r="I20" s="68"/>
      <c r="J20" s="68"/>
      <c r="K20" s="68"/>
      <c r="L20" s="68"/>
      <c r="M20" s="100"/>
    </row>
    <row r="21" spans="1:13">
      <c r="A21" s="66" t="s">
        <v>36</v>
      </c>
      <c r="B21" s="67"/>
      <c r="C21" s="80" t="s">
        <v>13</v>
      </c>
      <c r="D21" s="66" t="s">
        <v>25</v>
      </c>
      <c r="E21" s="68">
        <v>2.1</v>
      </c>
      <c r="F21" s="68">
        <f>E21*F18</f>
        <v>1.1671799999999999</v>
      </c>
      <c r="G21" s="68"/>
      <c r="H21" s="68"/>
      <c r="I21" s="68"/>
      <c r="J21" s="68"/>
      <c r="K21" s="102"/>
      <c r="L21" s="68"/>
      <c r="M21" s="100"/>
    </row>
    <row r="22" spans="1:13">
      <c r="A22" s="66" t="s">
        <v>37</v>
      </c>
      <c r="B22" s="103" t="s">
        <v>319</v>
      </c>
      <c r="C22" s="104" t="s">
        <v>320</v>
      </c>
      <c r="D22" s="66" t="s">
        <v>321</v>
      </c>
      <c r="E22" s="68">
        <v>0.05</v>
      </c>
      <c r="F22" s="68">
        <f>E22*F18</f>
        <v>2.7789999999999999E-2</v>
      </c>
      <c r="G22" s="75"/>
      <c r="H22" s="68"/>
      <c r="I22" s="68"/>
      <c r="J22" s="68"/>
      <c r="K22" s="68"/>
      <c r="L22" s="68"/>
      <c r="M22" s="100"/>
    </row>
    <row r="23" spans="1:13">
      <c r="A23" s="66"/>
      <c r="B23" s="67"/>
      <c r="C23" s="93"/>
      <c r="D23" s="66"/>
      <c r="E23" s="68"/>
      <c r="F23" s="68"/>
      <c r="G23" s="68"/>
      <c r="H23" s="68"/>
      <c r="I23" s="68"/>
      <c r="J23" s="68"/>
      <c r="K23" s="68"/>
      <c r="L23" s="68"/>
      <c r="M23" s="68"/>
    </row>
    <row r="24" spans="1:13">
      <c r="A24" s="66">
        <v>1.3</v>
      </c>
      <c r="B24" s="67" t="s">
        <v>335</v>
      </c>
      <c r="C24" s="93" t="s">
        <v>244</v>
      </c>
      <c r="D24" s="66" t="s">
        <v>321</v>
      </c>
      <c r="E24" s="68"/>
      <c r="F24" s="68">
        <v>18</v>
      </c>
      <c r="G24" s="68"/>
      <c r="H24" s="68"/>
      <c r="I24" s="68"/>
      <c r="J24" s="68"/>
      <c r="K24" s="68"/>
      <c r="L24" s="68"/>
      <c r="M24" s="68"/>
    </row>
    <row r="25" spans="1:13">
      <c r="A25" s="66"/>
      <c r="B25" s="67" t="s">
        <v>343</v>
      </c>
      <c r="C25" s="93"/>
      <c r="D25" s="66" t="s">
        <v>334</v>
      </c>
      <c r="E25" s="68"/>
      <c r="F25" s="99">
        <f>F24/100</f>
        <v>0.18</v>
      </c>
      <c r="G25" s="68"/>
      <c r="H25" s="68"/>
      <c r="I25" s="68"/>
      <c r="J25" s="68"/>
      <c r="K25" s="68"/>
      <c r="L25" s="68"/>
      <c r="M25" s="68"/>
    </row>
    <row r="26" spans="1:13">
      <c r="A26" s="66" t="s">
        <v>30</v>
      </c>
      <c r="B26" s="67" t="s">
        <v>336</v>
      </c>
      <c r="C26" s="93" t="s">
        <v>15</v>
      </c>
      <c r="D26" s="66" t="s">
        <v>1</v>
      </c>
      <c r="E26" s="68">
        <f>206*1.2</f>
        <v>247.2</v>
      </c>
      <c r="F26" s="68">
        <f>E26*F25</f>
        <v>44.495999999999995</v>
      </c>
      <c r="G26" s="68"/>
      <c r="H26" s="68"/>
      <c r="I26" s="68"/>
      <c r="J26" s="68"/>
      <c r="K26" s="68"/>
      <c r="L26" s="68"/>
      <c r="M26" s="68"/>
    </row>
    <row r="27" spans="1:13">
      <c r="A27" s="66"/>
      <c r="B27" s="67"/>
      <c r="C27" s="93"/>
      <c r="D27" s="66"/>
      <c r="E27" s="68"/>
      <c r="F27" s="68"/>
      <c r="G27" s="68"/>
      <c r="H27" s="68"/>
      <c r="I27" s="68"/>
      <c r="J27" s="68"/>
      <c r="K27" s="68"/>
      <c r="L27" s="68"/>
      <c r="M27" s="68"/>
    </row>
    <row r="28" spans="1:13">
      <c r="A28" s="66">
        <v>1.4</v>
      </c>
      <c r="B28" s="116" t="s">
        <v>344</v>
      </c>
      <c r="C28" s="93" t="s">
        <v>86</v>
      </c>
      <c r="D28" s="66" t="s">
        <v>23</v>
      </c>
      <c r="E28" s="68"/>
      <c r="F28" s="68">
        <f>F25*100*1.95</f>
        <v>35.1</v>
      </c>
      <c r="G28" s="68"/>
      <c r="H28" s="68"/>
      <c r="I28" s="68"/>
      <c r="J28" s="68"/>
      <c r="K28" s="68"/>
      <c r="L28" s="68"/>
      <c r="M28" s="68"/>
    </row>
    <row r="29" spans="1:13">
      <c r="A29" s="66" t="s">
        <v>22</v>
      </c>
      <c r="B29" s="117" t="s">
        <v>345</v>
      </c>
      <c r="C29" s="93" t="s">
        <v>15</v>
      </c>
      <c r="D29" s="66" t="s">
        <v>1</v>
      </c>
      <c r="E29" s="68">
        <v>0.53</v>
      </c>
      <c r="F29" s="68">
        <f>E29*F28</f>
        <v>18.603000000000002</v>
      </c>
      <c r="G29" s="68"/>
      <c r="H29" s="68"/>
      <c r="I29" s="68"/>
      <c r="J29" s="68"/>
      <c r="K29" s="68"/>
      <c r="L29" s="68"/>
      <c r="M29" s="68"/>
    </row>
    <row r="30" spans="1:13">
      <c r="A30" s="66"/>
      <c r="B30" s="67"/>
      <c r="C30" s="93"/>
      <c r="D30" s="66"/>
      <c r="E30" s="68"/>
      <c r="F30" s="68"/>
      <c r="G30" s="68"/>
      <c r="H30" s="68"/>
      <c r="I30" s="68"/>
      <c r="J30" s="68"/>
      <c r="K30" s="68"/>
      <c r="L30" s="68"/>
      <c r="M30" s="68"/>
    </row>
    <row r="31" spans="1:13">
      <c r="A31" s="66">
        <v>1.5</v>
      </c>
      <c r="B31" s="67" t="s">
        <v>322</v>
      </c>
      <c r="C31" s="93" t="s">
        <v>31</v>
      </c>
      <c r="D31" s="66" t="s">
        <v>23</v>
      </c>
      <c r="E31" s="68">
        <v>1.95</v>
      </c>
      <c r="F31" s="68">
        <f>E31*(F17+F24)</f>
        <v>1118.9099999999999</v>
      </c>
      <c r="G31" s="68"/>
      <c r="H31" s="68"/>
      <c r="I31" s="68"/>
      <c r="J31" s="68"/>
      <c r="K31" s="75"/>
      <c r="L31" s="68"/>
      <c r="M31" s="68"/>
    </row>
    <row r="32" spans="1:13">
      <c r="A32" s="66"/>
      <c r="B32" s="67"/>
      <c r="C32" s="93"/>
      <c r="D32" s="66"/>
      <c r="E32" s="68"/>
      <c r="F32" s="68"/>
      <c r="G32" s="68"/>
      <c r="H32" s="68"/>
      <c r="I32" s="68"/>
      <c r="J32" s="68"/>
      <c r="K32" s="68"/>
      <c r="L32" s="68"/>
      <c r="M32" s="68"/>
    </row>
    <row r="33" spans="1:13">
      <c r="A33" s="66">
        <v>1.6</v>
      </c>
      <c r="B33" s="67" t="s">
        <v>75</v>
      </c>
      <c r="C33" s="93" t="s">
        <v>74</v>
      </c>
      <c r="D33" s="66" t="s">
        <v>321</v>
      </c>
      <c r="E33" s="68"/>
      <c r="F33" s="68">
        <f>F17+F24</f>
        <v>573.79999999999995</v>
      </c>
      <c r="G33" s="68"/>
      <c r="H33" s="68"/>
      <c r="I33" s="68"/>
      <c r="J33" s="68"/>
      <c r="K33" s="68"/>
      <c r="L33" s="68"/>
      <c r="M33" s="68"/>
    </row>
    <row r="34" spans="1:13">
      <c r="A34" s="66"/>
      <c r="B34" s="67"/>
      <c r="C34" s="93"/>
      <c r="D34" s="66" t="s">
        <v>316</v>
      </c>
      <c r="E34" s="68"/>
      <c r="F34" s="99">
        <f>F33/1000</f>
        <v>0.57379999999999998</v>
      </c>
      <c r="G34" s="68"/>
      <c r="H34" s="68"/>
      <c r="I34" s="68"/>
      <c r="J34" s="68"/>
      <c r="K34" s="68"/>
      <c r="L34" s="68"/>
      <c r="M34" s="68"/>
    </row>
    <row r="35" spans="1:13">
      <c r="A35" s="66" t="s">
        <v>56</v>
      </c>
      <c r="B35" s="67"/>
      <c r="C35" s="93" t="s">
        <v>15</v>
      </c>
      <c r="D35" s="66" t="s">
        <v>1</v>
      </c>
      <c r="E35" s="68">
        <v>3.23</v>
      </c>
      <c r="F35" s="68">
        <f>E35*F34</f>
        <v>1.8533739999999999</v>
      </c>
      <c r="G35" s="68"/>
      <c r="H35" s="68"/>
      <c r="I35" s="68"/>
      <c r="J35" s="68"/>
      <c r="K35" s="68"/>
      <c r="L35" s="68"/>
      <c r="M35" s="68"/>
    </row>
    <row r="36" spans="1:13">
      <c r="A36" s="66" t="s">
        <v>57</v>
      </c>
      <c r="B36" s="103" t="s">
        <v>324</v>
      </c>
      <c r="C36" s="93" t="s">
        <v>76</v>
      </c>
      <c r="D36" s="66" t="s">
        <v>24</v>
      </c>
      <c r="E36" s="68">
        <v>3.62</v>
      </c>
      <c r="F36" s="68">
        <f>E36*F34</f>
        <v>2.077156</v>
      </c>
      <c r="G36" s="68"/>
      <c r="H36" s="68"/>
      <c r="I36" s="68"/>
      <c r="J36" s="68"/>
      <c r="K36" s="75"/>
      <c r="L36" s="68"/>
      <c r="M36" s="68"/>
    </row>
    <row r="37" spans="1:13">
      <c r="A37" s="66" t="s">
        <v>185</v>
      </c>
      <c r="B37" s="67"/>
      <c r="C37" s="93" t="s">
        <v>13</v>
      </c>
      <c r="D37" s="66" t="s">
        <v>25</v>
      </c>
      <c r="E37" s="68">
        <v>0.18</v>
      </c>
      <c r="F37" s="68">
        <f>E37*F34</f>
        <v>0.10328399999999999</v>
      </c>
      <c r="G37" s="68"/>
      <c r="H37" s="68"/>
      <c r="I37" s="68"/>
      <c r="J37" s="68"/>
      <c r="K37" s="68"/>
      <c r="L37" s="68"/>
      <c r="M37" s="68"/>
    </row>
    <row r="38" spans="1:13">
      <c r="A38" s="66" t="s">
        <v>186</v>
      </c>
      <c r="B38" s="103" t="s">
        <v>319</v>
      </c>
      <c r="C38" s="104" t="s">
        <v>320</v>
      </c>
      <c r="D38" s="66" t="s">
        <v>321</v>
      </c>
      <c r="E38" s="68">
        <v>0.04</v>
      </c>
      <c r="F38" s="68">
        <f>E38*F34</f>
        <v>2.2952E-2</v>
      </c>
      <c r="G38" s="75"/>
      <c r="H38" s="68"/>
      <c r="I38" s="68"/>
      <c r="J38" s="68"/>
      <c r="K38" s="68"/>
      <c r="L38" s="68"/>
      <c r="M38" s="68"/>
    </row>
    <row r="39" spans="1:13">
      <c r="A39" s="66"/>
      <c r="B39" s="67"/>
      <c r="C39" s="93"/>
      <c r="D39" s="66"/>
      <c r="E39" s="68"/>
      <c r="F39" s="68"/>
      <c r="G39" s="68"/>
      <c r="H39" s="68"/>
      <c r="I39" s="68"/>
      <c r="J39" s="68"/>
      <c r="K39" s="68"/>
      <c r="L39" s="68"/>
      <c r="M39" s="68"/>
    </row>
    <row r="40" spans="1:13">
      <c r="A40" s="66">
        <v>1.7</v>
      </c>
      <c r="B40" s="103" t="s">
        <v>346</v>
      </c>
      <c r="C40" s="94" t="s">
        <v>224</v>
      </c>
      <c r="D40" s="66" t="s">
        <v>321</v>
      </c>
      <c r="E40" s="68"/>
      <c r="F40" s="68">
        <v>79</v>
      </c>
      <c r="G40" s="68"/>
      <c r="H40" s="68"/>
      <c r="I40" s="68"/>
      <c r="J40" s="68"/>
      <c r="K40" s="68"/>
      <c r="L40" s="68"/>
      <c r="M40" s="68"/>
    </row>
    <row r="41" spans="1:13">
      <c r="A41" s="66" t="s">
        <v>58</v>
      </c>
      <c r="B41" s="118"/>
      <c r="C41" s="119"/>
      <c r="D41" s="66" t="s">
        <v>347</v>
      </c>
      <c r="E41" s="68"/>
      <c r="F41" s="68">
        <f>F40</f>
        <v>79</v>
      </c>
      <c r="G41" s="68"/>
      <c r="H41" s="68"/>
      <c r="I41" s="68"/>
      <c r="J41" s="68"/>
      <c r="K41" s="68"/>
      <c r="L41" s="68"/>
      <c r="M41" s="68"/>
    </row>
    <row r="42" spans="1:13">
      <c r="A42" s="66" t="s">
        <v>59</v>
      </c>
      <c r="B42" s="67"/>
      <c r="C42" s="81" t="s">
        <v>15</v>
      </c>
      <c r="D42" s="66" t="s">
        <v>1</v>
      </c>
      <c r="E42" s="75">
        <v>0.89</v>
      </c>
      <c r="F42" s="68">
        <f>E42*F41</f>
        <v>70.31</v>
      </c>
      <c r="G42" s="68"/>
      <c r="H42" s="68"/>
      <c r="I42" s="75"/>
      <c r="J42" s="68"/>
      <c r="K42" s="68"/>
      <c r="L42" s="68"/>
      <c r="M42" s="68"/>
    </row>
    <row r="43" spans="1:13">
      <c r="A43" s="66"/>
      <c r="B43" s="103" t="s">
        <v>348</v>
      </c>
      <c r="C43" s="81" t="s">
        <v>87</v>
      </c>
      <c r="D43" s="66" t="s">
        <v>321</v>
      </c>
      <c r="E43" s="75">
        <v>1.1499999999999999</v>
      </c>
      <c r="F43" s="68">
        <f>E43*F41</f>
        <v>90.85</v>
      </c>
      <c r="G43" s="68"/>
      <c r="H43" s="68"/>
      <c r="I43" s="68"/>
      <c r="J43" s="68"/>
      <c r="K43" s="68"/>
      <c r="L43" s="68"/>
      <c r="M43" s="68"/>
    </row>
    <row r="44" spans="1:13">
      <c r="A44" s="66"/>
      <c r="B44" s="103"/>
      <c r="C44" s="120" t="s">
        <v>13</v>
      </c>
      <c r="D44" s="121" t="s">
        <v>25</v>
      </c>
      <c r="E44" s="75">
        <v>0.37</v>
      </c>
      <c r="F44" s="75">
        <f>E44*F41</f>
        <v>29.23</v>
      </c>
      <c r="G44" s="75"/>
      <c r="H44" s="75"/>
      <c r="I44" s="75"/>
      <c r="J44" s="75"/>
      <c r="K44" s="75"/>
      <c r="L44" s="75"/>
      <c r="M44" s="75"/>
    </row>
    <row r="45" spans="1:13">
      <c r="A45" s="66"/>
      <c r="B45" s="122"/>
      <c r="C45" s="123" t="s">
        <v>14</v>
      </c>
      <c r="D45" s="121" t="s">
        <v>25</v>
      </c>
      <c r="E45" s="75">
        <v>0.02</v>
      </c>
      <c r="F45" s="75">
        <f>E45*F41</f>
        <v>1.58</v>
      </c>
      <c r="G45" s="75"/>
      <c r="H45" s="75"/>
      <c r="I45" s="75"/>
      <c r="J45" s="75"/>
      <c r="K45" s="75"/>
      <c r="L45" s="75"/>
      <c r="M45" s="75"/>
    </row>
    <row r="46" spans="1:13">
      <c r="A46" s="66"/>
      <c r="B46" s="67"/>
      <c r="C46" s="93"/>
      <c r="D46" s="66"/>
      <c r="E46" s="68"/>
      <c r="F46" s="68"/>
      <c r="G46" s="68"/>
      <c r="H46" s="68"/>
      <c r="I46" s="68"/>
      <c r="J46" s="68"/>
      <c r="K46" s="68"/>
      <c r="L46" s="68"/>
      <c r="M46" s="68"/>
    </row>
    <row r="47" spans="1:13">
      <c r="A47" s="66">
        <v>1.8</v>
      </c>
      <c r="B47" s="67" t="s">
        <v>349</v>
      </c>
      <c r="C47" s="93" t="s">
        <v>225</v>
      </c>
      <c r="D47" s="66" t="s">
        <v>321</v>
      </c>
      <c r="E47" s="68"/>
      <c r="F47" s="68">
        <v>40</v>
      </c>
      <c r="G47" s="68"/>
      <c r="H47" s="68"/>
      <c r="I47" s="68"/>
      <c r="J47" s="68"/>
      <c r="K47" s="68"/>
      <c r="L47" s="68"/>
      <c r="M47" s="68"/>
    </row>
    <row r="48" spans="1:13">
      <c r="A48" s="66"/>
      <c r="B48" s="67"/>
      <c r="C48" s="81"/>
      <c r="D48" s="66" t="s">
        <v>334</v>
      </c>
      <c r="E48" s="68"/>
      <c r="F48" s="99">
        <f>F47/100</f>
        <v>0.4</v>
      </c>
      <c r="G48" s="68"/>
      <c r="H48" s="68"/>
      <c r="I48" s="68"/>
      <c r="J48" s="68"/>
      <c r="K48" s="68"/>
      <c r="L48" s="68"/>
      <c r="M48" s="100"/>
    </row>
    <row r="49" spans="1:13">
      <c r="A49" s="66" t="s">
        <v>60</v>
      </c>
      <c r="B49" s="67"/>
      <c r="C49" s="101" t="s">
        <v>15</v>
      </c>
      <c r="D49" s="66" t="s">
        <v>1</v>
      </c>
      <c r="E49" s="68">
        <v>137</v>
      </c>
      <c r="F49" s="68">
        <f>E49*F48</f>
        <v>54.800000000000004</v>
      </c>
      <c r="G49" s="68"/>
      <c r="H49" s="68"/>
      <c r="I49" s="102"/>
      <c r="J49" s="68"/>
      <c r="K49" s="68"/>
      <c r="L49" s="68"/>
      <c r="M49" s="100"/>
    </row>
    <row r="50" spans="1:13">
      <c r="A50" s="66" t="s">
        <v>61</v>
      </c>
      <c r="B50" s="67"/>
      <c r="C50" s="80" t="s">
        <v>13</v>
      </c>
      <c r="D50" s="66" t="s">
        <v>25</v>
      </c>
      <c r="E50" s="68">
        <v>28.3</v>
      </c>
      <c r="F50" s="68">
        <f>E50*F48</f>
        <v>11.32</v>
      </c>
      <c r="G50" s="68"/>
      <c r="H50" s="68"/>
      <c r="I50" s="68"/>
      <c r="J50" s="68"/>
      <c r="K50" s="102"/>
      <c r="L50" s="68"/>
      <c r="M50" s="100"/>
    </row>
    <row r="51" spans="1:13">
      <c r="A51" s="66" t="s">
        <v>190</v>
      </c>
      <c r="B51" s="103" t="s">
        <v>350</v>
      </c>
      <c r="C51" s="81" t="s">
        <v>351</v>
      </c>
      <c r="D51" s="66" t="s">
        <v>321</v>
      </c>
      <c r="E51" s="75">
        <v>102</v>
      </c>
      <c r="F51" s="68">
        <f>E51*F48</f>
        <v>40.800000000000004</v>
      </c>
      <c r="G51" s="68"/>
      <c r="H51" s="68"/>
      <c r="I51" s="68"/>
      <c r="J51" s="68"/>
      <c r="K51" s="68"/>
      <c r="L51" s="68"/>
      <c r="M51" s="100"/>
    </row>
    <row r="52" spans="1:13">
      <c r="A52" s="66" t="s">
        <v>191</v>
      </c>
      <c r="B52" s="67"/>
      <c r="C52" s="80" t="s">
        <v>14</v>
      </c>
      <c r="D52" s="66" t="s">
        <v>25</v>
      </c>
      <c r="E52" s="68">
        <v>62</v>
      </c>
      <c r="F52" s="68">
        <f>E52*F48</f>
        <v>24.8</v>
      </c>
      <c r="G52" s="102"/>
      <c r="H52" s="68"/>
      <c r="I52" s="102"/>
      <c r="J52" s="100"/>
      <c r="K52" s="102"/>
      <c r="L52" s="102"/>
      <c r="M52" s="100"/>
    </row>
    <row r="53" spans="1:13">
      <c r="A53" s="66"/>
      <c r="B53" s="67"/>
      <c r="C53" s="93"/>
      <c r="D53" s="66"/>
      <c r="E53" s="68"/>
      <c r="F53" s="68"/>
      <c r="G53" s="68"/>
      <c r="H53" s="68"/>
      <c r="I53" s="68"/>
      <c r="J53" s="68"/>
      <c r="K53" s="68"/>
      <c r="L53" s="68"/>
      <c r="M53" s="68"/>
    </row>
    <row r="54" spans="1:13">
      <c r="A54" s="66">
        <v>1.9</v>
      </c>
      <c r="B54" s="122" t="s">
        <v>352</v>
      </c>
      <c r="C54" s="81" t="s">
        <v>353</v>
      </c>
      <c r="D54" s="66" t="s">
        <v>321</v>
      </c>
      <c r="E54" s="68"/>
      <c r="F54" s="68">
        <v>299</v>
      </c>
      <c r="G54" s="68"/>
      <c r="H54" s="68"/>
      <c r="I54" s="68"/>
      <c r="J54" s="68"/>
      <c r="K54" s="68"/>
      <c r="L54" s="68"/>
      <c r="M54" s="68"/>
    </row>
    <row r="55" spans="1:13">
      <c r="A55" s="66"/>
      <c r="B55" s="124"/>
      <c r="C55" s="81"/>
      <c r="D55" s="66" t="s">
        <v>334</v>
      </c>
      <c r="E55" s="68"/>
      <c r="F55" s="99">
        <f>F54/100</f>
        <v>2.99</v>
      </c>
      <c r="G55" s="68"/>
      <c r="H55" s="68"/>
      <c r="I55" s="68"/>
      <c r="J55" s="68"/>
      <c r="K55" s="68"/>
      <c r="L55" s="68"/>
      <c r="M55" s="68"/>
    </row>
    <row r="56" spans="1:13">
      <c r="A56" s="66" t="s">
        <v>62</v>
      </c>
      <c r="B56" s="124"/>
      <c r="C56" s="81" t="s">
        <v>40</v>
      </c>
      <c r="D56" s="66" t="s">
        <v>1</v>
      </c>
      <c r="E56" s="75">
        <v>599</v>
      </c>
      <c r="F56" s="68">
        <f>E56*F55</f>
        <v>1791.0100000000002</v>
      </c>
      <c r="G56" s="68"/>
      <c r="H56" s="68"/>
      <c r="I56" s="68"/>
      <c r="J56" s="68"/>
      <c r="K56" s="68"/>
      <c r="L56" s="68"/>
      <c r="M56" s="68"/>
    </row>
    <row r="57" spans="1:13">
      <c r="A57" s="66" t="s">
        <v>192</v>
      </c>
      <c r="B57" s="124"/>
      <c r="C57" s="123" t="s">
        <v>354</v>
      </c>
      <c r="D57" s="66" t="s">
        <v>25</v>
      </c>
      <c r="E57" s="75">
        <v>109</v>
      </c>
      <c r="F57" s="68">
        <f>E57*F55</f>
        <v>325.91000000000003</v>
      </c>
      <c r="G57" s="68"/>
      <c r="H57" s="68"/>
      <c r="I57" s="68"/>
      <c r="J57" s="68"/>
      <c r="K57" s="68"/>
      <c r="L57" s="68"/>
      <c r="M57" s="68"/>
    </row>
    <row r="58" spans="1:13">
      <c r="A58" s="66" t="s">
        <v>193</v>
      </c>
      <c r="B58" s="122" t="s">
        <v>355</v>
      </c>
      <c r="C58" s="81" t="s">
        <v>166</v>
      </c>
      <c r="D58" s="66" t="s">
        <v>321</v>
      </c>
      <c r="E58" s="75">
        <v>101.5</v>
      </c>
      <c r="F58" s="68">
        <f>E58*F55</f>
        <v>303.48500000000001</v>
      </c>
      <c r="G58" s="75"/>
      <c r="H58" s="68"/>
      <c r="I58" s="68"/>
      <c r="J58" s="68"/>
      <c r="K58" s="68"/>
      <c r="L58" s="68"/>
      <c r="M58" s="68"/>
    </row>
    <row r="59" spans="1:13">
      <c r="A59" s="66" t="s">
        <v>194</v>
      </c>
      <c r="B59" s="122" t="s">
        <v>356</v>
      </c>
      <c r="C59" s="81" t="s">
        <v>116</v>
      </c>
      <c r="D59" s="66" t="s">
        <v>23</v>
      </c>
      <c r="E59" s="100" t="s">
        <v>82</v>
      </c>
      <c r="F59" s="99">
        <v>19.452999999999999</v>
      </c>
      <c r="G59" s="75"/>
      <c r="H59" s="68"/>
      <c r="I59" s="68"/>
      <c r="J59" s="68"/>
      <c r="K59" s="100"/>
      <c r="L59" s="68"/>
      <c r="M59" s="68"/>
    </row>
    <row r="60" spans="1:13">
      <c r="A60" s="66" t="s">
        <v>227</v>
      </c>
      <c r="B60" s="122" t="s">
        <v>357</v>
      </c>
      <c r="C60" s="123" t="s">
        <v>358</v>
      </c>
      <c r="D60" s="121" t="s">
        <v>329</v>
      </c>
      <c r="E60" s="75">
        <v>118</v>
      </c>
      <c r="F60" s="75">
        <f>E60*F55</f>
        <v>352.82000000000005</v>
      </c>
      <c r="G60" s="75"/>
      <c r="H60" s="75"/>
      <c r="I60" s="75"/>
      <c r="J60" s="75"/>
      <c r="K60" s="75"/>
      <c r="L60" s="75"/>
      <c r="M60" s="75"/>
    </row>
    <row r="61" spans="1:13">
      <c r="A61" s="66" t="s">
        <v>228</v>
      </c>
      <c r="B61" s="122" t="s">
        <v>359</v>
      </c>
      <c r="C61" s="81" t="s">
        <v>360</v>
      </c>
      <c r="D61" s="66" t="s">
        <v>321</v>
      </c>
      <c r="E61" s="75">
        <f>0.21+2.78</f>
        <v>2.9899999999999998</v>
      </c>
      <c r="F61" s="68">
        <f>E61*F55</f>
        <v>8.9400999999999993</v>
      </c>
      <c r="G61" s="75"/>
      <c r="H61" s="68"/>
      <c r="I61" s="68"/>
      <c r="J61" s="68"/>
      <c r="K61" s="68"/>
      <c r="L61" s="68"/>
      <c r="M61" s="68"/>
    </row>
    <row r="62" spans="1:13">
      <c r="A62" s="66" t="s">
        <v>366</v>
      </c>
      <c r="B62" s="122" t="s">
        <v>361</v>
      </c>
      <c r="C62" s="123" t="s">
        <v>362</v>
      </c>
      <c r="D62" s="121" t="s">
        <v>363</v>
      </c>
      <c r="E62" s="75">
        <v>110</v>
      </c>
      <c r="F62" s="75">
        <f>E62*F55</f>
        <v>328.90000000000003</v>
      </c>
      <c r="G62" s="75"/>
      <c r="H62" s="75"/>
      <c r="I62" s="75"/>
      <c r="J62" s="75"/>
      <c r="K62" s="75"/>
      <c r="L62" s="75"/>
      <c r="M62" s="75"/>
    </row>
    <row r="63" spans="1:13">
      <c r="A63" s="66" t="s">
        <v>367</v>
      </c>
      <c r="B63" s="122" t="s">
        <v>364</v>
      </c>
      <c r="C63" s="123" t="s">
        <v>365</v>
      </c>
      <c r="D63" s="121" t="s">
        <v>363</v>
      </c>
      <c r="E63" s="75">
        <v>140</v>
      </c>
      <c r="F63" s="75">
        <f>E63*F55</f>
        <v>418.6</v>
      </c>
      <c r="G63" s="75"/>
      <c r="H63" s="75"/>
      <c r="I63" s="75"/>
      <c r="J63" s="75"/>
      <c r="K63" s="75"/>
      <c r="L63" s="75"/>
      <c r="M63" s="75"/>
    </row>
    <row r="64" spans="1:13">
      <c r="A64" s="66" t="s">
        <v>368</v>
      </c>
      <c r="B64" s="124"/>
      <c r="C64" s="81" t="s">
        <v>92</v>
      </c>
      <c r="D64" s="66" t="s">
        <v>25</v>
      </c>
      <c r="E64" s="75">
        <v>32</v>
      </c>
      <c r="F64" s="68">
        <f>E64*F55</f>
        <v>95.68</v>
      </c>
      <c r="G64" s="68"/>
      <c r="H64" s="68"/>
      <c r="I64" s="68"/>
      <c r="J64" s="68"/>
      <c r="K64" s="68"/>
      <c r="L64" s="68"/>
      <c r="M64" s="68"/>
    </row>
    <row r="65" spans="1:13" s="128" customFormat="1">
      <c r="A65" s="125"/>
      <c r="B65" s="126"/>
      <c r="C65" s="119"/>
      <c r="D65" s="125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1:13">
      <c r="A66" s="79">
        <v>1.1000000000000001</v>
      </c>
      <c r="B66" s="122" t="s">
        <v>369</v>
      </c>
      <c r="C66" s="81" t="s">
        <v>370</v>
      </c>
      <c r="D66" s="66" t="s">
        <v>89</v>
      </c>
      <c r="E66" s="68"/>
      <c r="F66" s="68">
        <v>62</v>
      </c>
      <c r="G66" s="68"/>
      <c r="H66" s="68"/>
      <c r="I66" s="68"/>
      <c r="J66" s="68"/>
      <c r="K66" s="68"/>
      <c r="L66" s="68"/>
      <c r="M66" s="68"/>
    </row>
    <row r="67" spans="1:13">
      <c r="A67" s="79"/>
      <c r="B67" s="126"/>
      <c r="C67" s="81"/>
      <c r="D67" s="66" t="s">
        <v>85</v>
      </c>
      <c r="E67" s="68"/>
      <c r="F67" s="99">
        <f>F66/100</f>
        <v>0.62</v>
      </c>
      <c r="G67" s="68"/>
      <c r="H67" s="68"/>
      <c r="I67" s="68"/>
      <c r="J67" s="68"/>
      <c r="K67" s="68"/>
      <c r="L67" s="68"/>
      <c r="M67" s="68"/>
    </row>
    <row r="68" spans="1:13">
      <c r="A68" s="66" t="s">
        <v>64</v>
      </c>
      <c r="B68" s="124"/>
      <c r="C68" s="81" t="s">
        <v>40</v>
      </c>
      <c r="D68" s="66" t="s">
        <v>1</v>
      </c>
      <c r="E68" s="75">
        <v>33.1</v>
      </c>
      <c r="F68" s="68">
        <f>E68*F67</f>
        <v>20.522000000000002</v>
      </c>
      <c r="G68" s="68"/>
      <c r="H68" s="68"/>
      <c r="I68" s="68"/>
      <c r="J68" s="68"/>
      <c r="K68" s="68"/>
      <c r="L68" s="68"/>
      <c r="M68" s="68"/>
    </row>
    <row r="69" spans="1:13">
      <c r="A69" s="66" t="s">
        <v>65</v>
      </c>
      <c r="B69" s="124"/>
      <c r="C69" s="81" t="s">
        <v>13</v>
      </c>
      <c r="D69" s="66" t="s">
        <v>25</v>
      </c>
      <c r="E69" s="75">
        <v>0.47</v>
      </c>
      <c r="F69" s="68">
        <f>E69*F67</f>
        <v>0.29139999999999999</v>
      </c>
      <c r="G69" s="68"/>
      <c r="H69" s="68"/>
      <c r="I69" s="68"/>
      <c r="J69" s="68"/>
      <c r="K69" s="68"/>
      <c r="L69" s="68"/>
      <c r="M69" s="68"/>
    </row>
    <row r="70" spans="1:13">
      <c r="A70" s="66" t="s">
        <v>196</v>
      </c>
      <c r="B70" s="122" t="s">
        <v>371</v>
      </c>
      <c r="C70" s="129" t="s">
        <v>372</v>
      </c>
      <c r="D70" s="66" t="s">
        <v>89</v>
      </c>
      <c r="E70" s="75" t="s">
        <v>373</v>
      </c>
      <c r="F70" s="68">
        <f>F66</f>
        <v>62</v>
      </c>
      <c r="G70" s="75"/>
      <c r="H70" s="68"/>
      <c r="I70" s="68"/>
      <c r="J70" s="68"/>
      <c r="K70" s="68"/>
      <c r="L70" s="68"/>
      <c r="M70" s="68"/>
    </row>
    <row r="71" spans="1:13">
      <c r="A71" s="66" t="s">
        <v>197</v>
      </c>
      <c r="B71" s="124"/>
      <c r="C71" s="81" t="s">
        <v>92</v>
      </c>
      <c r="D71" s="66" t="s">
        <v>25</v>
      </c>
      <c r="E71" s="75">
        <v>10.9</v>
      </c>
      <c r="F71" s="68">
        <f>E71*F67</f>
        <v>6.758</v>
      </c>
      <c r="G71" s="68"/>
      <c r="H71" s="68"/>
      <c r="I71" s="68"/>
      <c r="J71" s="68"/>
      <c r="K71" s="68"/>
      <c r="L71" s="68"/>
      <c r="M71" s="68"/>
    </row>
    <row r="72" spans="1:13">
      <c r="A72" s="66"/>
      <c r="B72" s="67"/>
      <c r="C72" s="93"/>
      <c r="D72" s="66"/>
      <c r="E72" s="68"/>
      <c r="F72" s="68"/>
      <c r="G72" s="68"/>
      <c r="H72" s="68"/>
      <c r="I72" s="68"/>
      <c r="J72" s="68"/>
      <c r="K72" s="68"/>
      <c r="L72" s="68"/>
      <c r="M72" s="68"/>
    </row>
    <row r="73" spans="1:13">
      <c r="A73" s="79">
        <v>1.1100000000000001</v>
      </c>
      <c r="B73" s="67" t="s">
        <v>374</v>
      </c>
      <c r="C73" s="93" t="s">
        <v>245</v>
      </c>
      <c r="D73" s="66" t="s">
        <v>321</v>
      </c>
      <c r="E73" s="68"/>
      <c r="F73" s="68">
        <v>150</v>
      </c>
      <c r="G73" s="68"/>
      <c r="H73" s="68"/>
      <c r="I73" s="68"/>
      <c r="J73" s="68"/>
      <c r="K73" s="68"/>
      <c r="L73" s="68"/>
      <c r="M73" s="68"/>
    </row>
    <row r="74" spans="1:13">
      <c r="A74" s="79"/>
      <c r="B74" s="67"/>
      <c r="C74" s="81"/>
      <c r="D74" s="66" t="s">
        <v>316</v>
      </c>
      <c r="E74" s="68"/>
      <c r="F74" s="99">
        <f>F73/1000</f>
        <v>0.15</v>
      </c>
      <c r="G74" s="68"/>
      <c r="H74" s="68"/>
      <c r="I74" s="68"/>
      <c r="J74" s="68"/>
      <c r="K74" s="68"/>
      <c r="L74" s="68"/>
      <c r="M74" s="100"/>
    </row>
    <row r="75" spans="1:13">
      <c r="A75" s="66" t="s">
        <v>66</v>
      </c>
      <c r="B75" s="103" t="s">
        <v>327</v>
      </c>
      <c r="C75" s="81" t="s">
        <v>328</v>
      </c>
      <c r="D75" s="66" t="s">
        <v>24</v>
      </c>
      <c r="E75" s="68">
        <f>5.13+(4*2.04)</f>
        <v>13.29</v>
      </c>
      <c r="F75" s="68">
        <f>E75*F74</f>
        <v>1.9934999999999998</v>
      </c>
      <c r="G75" s="68"/>
      <c r="H75" s="68"/>
      <c r="I75" s="68"/>
      <c r="J75" s="68"/>
      <c r="K75" s="75"/>
      <c r="L75" s="68"/>
      <c r="M75" s="100"/>
    </row>
    <row r="76" spans="1:13">
      <c r="A76" s="66" t="s">
        <v>183</v>
      </c>
      <c r="B76" s="103" t="s">
        <v>375</v>
      </c>
      <c r="C76" s="81" t="s">
        <v>246</v>
      </c>
      <c r="D76" s="66" t="s">
        <v>321</v>
      </c>
      <c r="E76" s="68">
        <v>1010</v>
      </c>
      <c r="F76" s="68">
        <f>E76*F74</f>
        <v>151.5</v>
      </c>
      <c r="G76" s="68"/>
      <c r="H76" s="68"/>
      <c r="I76" s="68"/>
      <c r="J76" s="68"/>
      <c r="K76" s="68"/>
      <c r="L76" s="68"/>
      <c r="M76" s="100"/>
    </row>
    <row r="77" spans="1:13">
      <c r="A77" s="66"/>
      <c r="B77" s="67"/>
      <c r="C77" s="93"/>
      <c r="D77" s="66"/>
      <c r="E77" s="68"/>
      <c r="F77" s="68"/>
      <c r="G77" s="68"/>
      <c r="H77" s="68"/>
      <c r="I77" s="68"/>
      <c r="J77" s="68"/>
      <c r="K77" s="68"/>
      <c r="L77" s="68"/>
      <c r="M77" s="68"/>
    </row>
    <row r="78" spans="1:13">
      <c r="A78" s="66">
        <v>1.1200000000000001</v>
      </c>
      <c r="B78" s="103" t="s">
        <v>376</v>
      </c>
      <c r="C78" s="93" t="s">
        <v>247</v>
      </c>
      <c r="D78" s="66" t="s">
        <v>321</v>
      </c>
      <c r="E78" s="68"/>
      <c r="F78" s="68">
        <v>95</v>
      </c>
      <c r="G78" s="68"/>
      <c r="H78" s="68"/>
      <c r="I78" s="68"/>
      <c r="J78" s="68"/>
      <c r="K78" s="68"/>
      <c r="L78" s="68"/>
      <c r="M78" s="68"/>
    </row>
    <row r="79" spans="1:13">
      <c r="A79" s="66"/>
      <c r="B79" s="118"/>
      <c r="C79" s="81"/>
      <c r="D79" s="66" t="s">
        <v>347</v>
      </c>
      <c r="E79" s="68"/>
      <c r="F79" s="68">
        <v>14</v>
      </c>
      <c r="G79" s="68"/>
      <c r="H79" s="68"/>
      <c r="I79" s="68"/>
      <c r="J79" s="68"/>
      <c r="K79" s="68"/>
      <c r="L79" s="68"/>
      <c r="M79" s="100"/>
    </row>
    <row r="80" spans="1:13">
      <c r="A80" s="66" t="s">
        <v>198</v>
      </c>
      <c r="B80" s="67"/>
      <c r="C80" s="101" t="s">
        <v>15</v>
      </c>
      <c r="D80" s="66" t="s">
        <v>1</v>
      </c>
      <c r="E80" s="114">
        <v>6.5</v>
      </c>
      <c r="F80" s="112">
        <f>F79*E80</f>
        <v>91</v>
      </c>
      <c r="G80" s="130"/>
      <c r="H80" s="102"/>
      <c r="I80" s="114"/>
      <c r="J80" s="102"/>
      <c r="K80" s="130"/>
      <c r="L80" s="102"/>
      <c r="M80" s="100"/>
    </row>
    <row r="81" spans="1:13">
      <c r="A81" s="66" t="s">
        <v>199</v>
      </c>
      <c r="B81" s="124"/>
      <c r="C81" s="123" t="s">
        <v>13</v>
      </c>
      <c r="D81" s="121" t="s">
        <v>25</v>
      </c>
      <c r="E81" s="75">
        <v>2.16</v>
      </c>
      <c r="F81" s="75">
        <f>E81*F79</f>
        <v>30.240000000000002</v>
      </c>
      <c r="G81" s="75"/>
      <c r="H81" s="75"/>
      <c r="I81" s="75"/>
      <c r="J81" s="75"/>
      <c r="K81" s="75"/>
      <c r="L81" s="75"/>
      <c r="M81" s="75"/>
    </row>
    <row r="82" spans="1:13">
      <c r="A82" s="66" t="s">
        <v>277</v>
      </c>
      <c r="B82" s="103" t="s">
        <v>377</v>
      </c>
      <c r="C82" s="80" t="s">
        <v>248</v>
      </c>
      <c r="D82" s="66" t="s">
        <v>321</v>
      </c>
      <c r="E82" s="75">
        <v>1.1499999999999999</v>
      </c>
      <c r="F82" s="112">
        <f>F79*E82</f>
        <v>16.099999999999998</v>
      </c>
      <c r="G82" s="68"/>
      <c r="H82" s="68"/>
      <c r="I82" s="68"/>
      <c r="J82" s="68"/>
      <c r="K82" s="68"/>
      <c r="L82" s="68"/>
      <c r="M82" s="100"/>
    </row>
    <row r="83" spans="1:13">
      <c r="A83" s="66" t="s">
        <v>279</v>
      </c>
      <c r="B83" s="124"/>
      <c r="C83" s="123" t="s">
        <v>92</v>
      </c>
      <c r="D83" s="121" t="s">
        <v>25</v>
      </c>
      <c r="E83" s="75">
        <v>0.02</v>
      </c>
      <c r="F83" s="75">
        <f>E83*F79</f>
        <v>0.28000000000000003</v>
      </c>
      <c r="G83" s="75"/>
      <c r="H83" s="75"/>
      <c r="I83" s="75"/>
      <c r="J83" s="75"/>
      <c r="K83" s="75"/>
      <c r="L83" s="75"/>
      <c r="M83" s="75"/>
    </row>
    <row r="84" spans="1:13">
      <c r="A84" s="66"/>
      <c r="B84" s="67"/>
      <c r="C84" s="93"/>
      <c r="D84" s="66"/>
      <c r="E84" s="68"/>
      <c r="F84" s="107"/>
      <c r="G84" s="68"/>
      <c r="H84" s="68"/>
      <c r="I84" s="68"/>
      <c r="J84" s="68"/>
      <c r="K84" s="68"/>
      <c r="L84" s="68"/>
      <c r="M84" s="68"/>
    </row>
    <row r="85" spans="1:13">
      <c r="A85" s="66">
        <v>1.1299999999999999</v>
      </c>
      <c r="B85" s="67" t="s">
        <v>172</v>
      </c>
      <c r="C85" s="93" t="s">
        <v>226</v>
      </c>
      <c r="D85" s="66" t="s">
        <v>321</v>
      </c>
      <c r="E85" s="68"/>
      <c r="F85" s="68">
        <v>659</v>
      </c>
      <c r="G85" s="68"/>
      <c r="H85" s="68"/>
      <c r="I85" s="68"/>
      <c r="J85" s="68"/>
      <c r="K85" s="68"/>
      <c r="L85" s="68"/>
      <c r="M85" s="68"/>
    </row>
    <row r="86" spans="1:13">
      <c r="A86" s="66"/>
      <c r="B86" s="67"/>
      <c r="C86" s="81"/>
      <c r="D86" s="66" t="s">
        <v>316</v>
      </c>
      <c r="E86" s="68"/>
      <c r="F86" s="99">
        <f>F85/1000</f>
        <v>0.65900000000000003</v>
      </c>
      <c r="G86" s="68"/>
      <c r="H86" s="68"/>
      <c r="I86" s="68"/>
      <c r="J86" s="68"/>
      <c r="K86" s="68"/>
      <c r="L86" s="68"/>
      <c r="M86" s="100"/>
    </row>
    <row r="87" spans="1:13">
      <c r="A87" s="66" t="s">
        <v>67</v>
      </c>
      <c r="B87" s="67"/>
      <c r="C87" s="101" t="s">
        <v>15</v>
      </c>
      <c r="D87" s="66" t="s">
        <v>1</v>
      </c>
      <c r="E87" s="68">
        <v>15.5</v>
      </c>
      <c r="F87" s="68">
        <f>E87*F86</f>
        <v>10.214500000000001</v>
      </c>
      <c r="G87" s="68"/>
      <c r="H87" s="68"/>
      <c r="I87" s="102"/>
      <c r="J87" s="68"/>
      <c r="K87" s="68"/>
      <c r="L87" s="68"/>
      <c r="M87" s="100"/>
    </row>
    <row r="88" spans="1:13">
      <c r="A88" s="66" t="s">
        <v>68</v>
      </c>
      <c r="B88" s="103" t="s">
        <v>317</v>
      </c>
      <c r="C88" s="80" t="s">
        <v>318</v>
      </c>
      <c r="D88" s="66" t="s">
        <v>24</v>
      </c>
      <c r="E88" s="68">
        <v>34.700000000000003</v>
      </c>
      <c r="F88" s="68">
        <f>E88*F86</f>
        <v>22.867300000000004</v>
      </c>
      <c r="G88" s="68"/>
      <c r="H88" s="68"/>
      <c r="I88" s="68"/>
      <c r="J88" s="68"/>
      <c r="K88" s="68"/>
      <c r="L88" s="68"/>
      <c r="M88" s="100"/>
    </row>
    <row r="89" spans="1:13">
      <c r="A89" s="66" t="s">
        <v>249</v>
      </c>
      <c r="B89" s="67"/>
      <c r="C89" s="80" t="s">
        <v>13</v>
      </c>
      <c r="D89" s="66" t="s">
        <v>25</v>
      </c>
      <c r="E89" s="75">
        <v>2.09</v>
      </c>
      <c r="F89" s="68">
        <f>E89*F86</f>
        <v>1.37731</v>
      </c>
      <c r="G89" s="68"/>
      <c r="H89" s="68"/>
      <c r="I89" s="68"/>
      <c r="J89" s="68"/>
      <c r="K89" s="102"/>
      <c r="L89" s="68"/>
      <c r="M89" s="100"/>
    </row>
    <row r="90" spans="1:13">
      <c r="A90" s="66" t="s">
        <v>250</v>
      </c>
      <c r="B90" s="103" t="s">
        <v>319</v>
      </c>
      <c r="C90" s="104" t="s">
        <v>320</v>
      </c>
      <c r="D90" s="66" t="s">
        <v>321</v>
      </c>
      <c r="E90" s="68">
        <v>0.04</v>
      </c>
      <c r="F90" s="99">
        <f>E90*F86</f>
        <v>2.6360000000000001E-2</v>
      </c>
      <c r="G90" s="75"/>
      <c r="H90" s="68"/>
      <c r="I90" s="68"/>
      <c r="J90" s="68"/>
      <c r="K90" s="68"/>
      <c r="L90" s="68"/>
      <c r="M90" s="100"/>
    </row>
    <row r="91" spans="1:13">
      <c r="A91" s="66"/>
      <c r="B91" s="67"/>
      <c r="C91" s="93"/>
      <c r="D91" s="66"/>
      <c r="E91" s="68"/>
      <c r="F91" s="68"/>
      <c r="G91" s="68"/>
      <c r="H91" s="68"/>
      <c r="I91" s="68"/>
      <c r="J91" s="68"/>
      <c r="K91" s="68"/>
      <c r="L91" s="68"/>
      <c r="M91" s="68"/>
    </row>
    <row r="92" spans="1:13">
      <c r="A92" s="79">
        <v>1.1399999999999999</v>
      </c>
      <c r="B92" s="103" t="s">
        <v>378</v>
      </c>
      <c r="C92" s="93" t="s">
        <v>251</v>
      </c>
      <c r="D92" s="66" t="s">
        <v>329</v>
      </c>
      <c r="E92" s="68"/>
      <c r="F92" s="68">
        <v>1191</v>
      </c>
      <c r="G92" s="68"/>
      <c r="H92" s="68"/>
      <c r="I92" s="68"/>
      <c r="J92" s="68"/>
      <c r="K92" s="68"/>
      <c r="L92" s="68"/>
      <c r="M92" s="68"/>
    </row>
    <row r="93" spans="1:13">
      <c r="A93" s="79"/>
      <c r="B93" s="118"/>
      <c r="C93" s="81"/>
      <c r="D93" s="66" t="s">
        <v>379</v>
      </c>
      <c r="E93" s="68"/>
      <c r="F93" s="99">
        <f>F92/100</f>
        <v>11.91</v>
      </c>
      <c r="G93" s="68"/>
      <c r="H93" s="68"/>
      <c r="I93" s="68"/>
      <c r="J93" s="68"/>
      <c r="K93" s="68"/>
      <c r="L93" s="68"/>
      <c r="M93" s="68"/>
    </row>
    <row r="94" spans="1:13">
      <c r="A94" s="66" t="s">
        <v>184</v>
      </c>
      <c r="B94" s="67"/>
      <c r="C94" s="81" t="s">
        <v>15</v>
      </c>
      <c r="D94" s="66" t="s">
        <v>1</v>
      </c>
      <c r="E94" s="75">
        <v>33.6</v>
      </c>
      <c r="F94" s="68">
        <f>E94*F93</f>
        <v>400.17600000000004</v>
      </c>
      <c r="G94" s="68"/>
      <c r="H94" s="68"/>
      <c r="I94" s="75"/>
      <c r="J94" s="68"/>
      <c r="K94" s="68"/>
      <c r="L94" s="68"/>
      <c r="M94" s="68"/>
    </row>
    <row r="95" spans="1:13">
      <c r="A95" s="66" t="s">
        <v>203</v>
      </c>
      <c r="B95" s="67"/>
      <c r="C95" s="81" t="s">
        <v>13</v>
      </c>
      <c r="D95" s="66" t="s">
        <v>25</v>
      </c>
      <c r="E95" s="75">
        <v>1.5</v>
      </c>
      <c r="F95" s="68">
        <f>E95*F93</f>
        <v>17.865000000000002</v>
      </c>
      <c r="G95" s="68"/>
      <c r="H95" s="68"/>
      <c r="I95" s="68"/>
      <c r="J95" s="68"/>
      <c r="K95" s="68"/>
      <c r="L95" s="68"/>
      <c r="M95" s="68"/>
    </row>
    <row r="96" spans="1:13">
      <c r="A96" s="66" t="s">
        <v>204</v>
      </c>
      <c r="B96" s="103" t="s">
        <v>380</v>
      </c>
      <c r="C96" s="123" t="s">
        <v>381</v>
      </c>
      <c r="D96" s="66" t="s">
        <v>23</v>
      </c>
      <c r="E96" s="75">
        <v>0.24</v>
      </c>
      <c r="F96" s="68">
        <f>E96*F93</f>
        <v>2.8584000000000001</v>
      </c>
      <c r="G96" s="75"/>
      <c r="H96" s="68"/>
      <c r="I96" s="68"/>
      <c r="J96" s="68"/>
      <c r="K96" s="68"/>
      <c r="L96" s="68"/>
      <c r="M96" s="68"/>
    </row>
    <row r="97" spans="1:13">
      <c r="A97" s="66" t="s">
        <v>252</v>
      </c>
      <c r="B97" s="67"/>
      <c r="C97" s="81" t="s">
        <v>92</v>
      </c>
      <c r="D97" s="66" t="s">
        <v>25</v>
      </c>
      <c r="E97" s="75">
        <v>2.2799999999999998</v>
      </c>
      <c r="F97" s="68">
        <f>E97*F93</f>
        <v>27.154799999999998</v>
      </c>
      <c r="G97" s="68"/>
      <c r="H97" s="68"/>
      <c r="I97" s="68"/>
      <c r="J97" s="68"/>
      <c r="K97" s="68"/>
      <c r="L97" s="68"/>
      <c r="M97" s="68"/>
    </row>
    <row r="98" spans="1:13">
      <c r="A98" s="66"/>
      <c r="B98" s="67"/>
      <c r="C98" s="93"/>
      <c r="D98" s="66"/>
      <c r="E98" s="68"/>
      <c r="F98" s="68"/>
      <c r="G98" s="68"/>
      <c r="H98" s="68"/>
      <c r="I98" s="68"/>
      <c r="J98" s="68"/>
      <c r="K98" s="68"/>
      <c r="L98" s="68"/>
      <c r="M98" s="68"/>
    </row>
    <row r="99" spans="1:13" s="95" customFormat="1">
      <c r="A99" s="43"/>
      <c r="B99" s="70"/>
      <c r="C99" s="43" t="s">
        <v>4</v>
      </c>
      <c r="D99" s="43"/>
      <c r="E99" s="64"/>
      <c r="F99" s="64"/>
      <c r="G99" s="64"/>
      <c r="H99" s="64"/>
      <c r="I99" s="64"/>
      <c r="J99" s="64"/>
      <c r="K99" s="64"/>
      <c r="L99" s="64"/>
      <c r="M99" s="64"/>
    </row>
    <row r="100" spans="1:13" s="84" customFormat="1">
      <c r="A100" s="43"/>
      <c r="B100" s="67"/>
      <c r="C100" s="66"/>
      <c r="D100" s="66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1:13" s="84" customFormat="1">
      <c r="A101" s="43"/>
      <c r="B101" s="67"/>
      <c r="C101" s="66" t="s">
        <v>10</v>
      </c>
      <c r="D101" s="73">
        <v>0.1</v>
      </c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1:13" s="84" customFormat="1">
      <c r="A102" s="43"/>
      <c r="B102" s="67"/>
      <c r="C102" s="66" t="s">
        <v>4</v>
      </c>
      <c r="D102" s="73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13" s="84" customFormat="1">
      <c r="A103" s="43"/>
      <c r="B103" s="67"/>
      <c r="C103" s="66" t="s">
        <v>11</v>
      </c>
      <c r="D103" s="73">
        <v>0.08</v>
      </c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1:13" s="84" customFormat="1">
      <c r="A104" s="43"/>
      <c r="B104" s="67"/>
      <c r="C104" s="66"/>
      <c r="D104" s="73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1:13" s="84" customFormat="1">
      <c r="A105" s="43"/>
      <c r="B105" s="67"/>
      <c r="C105" s="43" t="s">
        <v>4</v>
      </c>
      <c r="D105" s="43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>
      <c r="B106" s="87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8"/>
    </row>
    <row r="107" spans="1:13">
      <c r="B107" s="87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8"/>
    </row>
    <row r="108" spans="1:13">
      <c r="B108" s="87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8"/>
    </row>
    <row r="109" spans="1:13">
      <c r="B109" s="87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8"/>
    </row>
    <row r="110" spans="1:13">
      <c r="B110" s="87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8"/>
    </row>
    <row r="111" spans="1:13">
      <c r="B111" s="87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8"/>
    </row>
    <row r="112" spans="1:13">
      <c r="B112" s="87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8"/>
    </row>
    <row r="113" spans="2:13">
      <c r="B113" s="87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8"/>
    </row>
    <row r="114" spans="2:13">
      <c r="B114" s="87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8"/>
    </row>
    <row r="115" spans="2:13">
      <c r="B115" s="87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8"/>
    </row>
    <row r="116" spans="2:13">
      <c r="B116" s="87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8"/>
    </row>
    <row r="117" spans="2:13">
      <c r="B117" s="87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8"/>
    </row>
    <row r="118" spans="2:13">
      <c r="B118" s="87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8"/>
    </row>
    <row r="119" spans="2:13">
      <c r="B119" s="87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8"/>
    </row>
    <row r="120" spans="2:13">
      <c r="B120" s="87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8"/>
    </row>
    <row r="121" spans="2:13">
      <c r="B121" s="87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8"/>
    </row>
    <row r="122" spans="2:13">
      <c r="B122" s="87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8"/>
    </row>
    <row r="123" spans="2:13">
      <c r="B123" s="87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8"/>
    </row>
    <row r="124" spans="2:13">
      <c r="B124" s="87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8"/>
    </row>
    <row r="125" spans="2:13">
      <c r="B125" s="87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8"/>
    </row>
    <row r="126" spans="2:13">
      <c r="B126" s="87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8"/>
    </row>
    <row r="127" spans="2:13">
      <c r="B127" s="87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8"/>
    </row>
    <row r="128" spans="2:13">
      <c r="B128" s="87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8"/>
    </row>
    <row r="129" spans="2:13">
      <c r="B129" s="87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8"/>
    </row>
    <row r="130" spans="2:13">
      <c r="B130" s="87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8"/>
    </row>
    <row r="131" spans="2:13">
      <c r="B131" s="87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8"/>
    </row>
    <row r="132" spans="2:13">
      <c r="B132" s="87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8"/>
    </row>
    <row r="133" spans="2:13">
      <c r="B133" s="87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8"/>
    </row>
    <row r="134" spans="2:13">
      <c r="B134" s="87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8"/>
    </row>
    <row r="135" spans="2:13">
      <c r="B135" s="87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8"/>
    </row>
    <row r="136" spans="2:13">
      <c r="B136" s="87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8"/>
    </row>
    <row r="137" spans="2:13">
      <c r="B137" s="87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8"/>
    </row>
    <row r="138" spans="2:13">
      <c r="B138" s="87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8"/>
    </row>
    <row r="139" spans="2:13">
      <c r="B139" s="87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8"/>
    </row>
    <row r="140" spans="2:13">
      <c r="B140" s="87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8"/>
    </row>
    <row r="141" spans="2:13">
      <c r="B141" s="87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8"/>
    </row>
    <row r="142" spans="2:13">
      <c r="B142" s="87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8"/>
    </row>
    <row r="143" spans="2:13">
      <c r="B143" s="87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8"/>
    </row>
    <row r="144" spans="2:13">
      <c r="B144" s="87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8"/>
    </row>
    <row r="145" spans="2:13">
      <c r="B145" s="87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8"/>
    </row>
    <row r="146" spans="2:13">
      <c r="B146" s="87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8"/>
    </row>
    <row r="147" spans="2:13">
      <c r="B147" s="87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9"/>
    </row>
    <row r="148" spans="2:13">
      <c r="B148" s="87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9"/>
    </row>
    <row r="149" spans="2:13">
      <c r="B149" s="87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9"/>
    </row>
    <row r="150" spans="2:13">
      <c r="B150" s="87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9"/>
    </row>
    <row r="151" spans="2:13">
      <c r="B151" s="87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9"/>
    </row>
    <row r="152" spans="2:13">
      <c r="B152" s="87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9"/>
    </row>
    <row r="153" spans="2:13">
      <c r="B153" s="87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9"/>
    </row>
    <row r="154" spans="2:13">
      <c r="B154" s="87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9"/>
    </row>
    <row r="155" spans="2:13">
      <c r="B155" s="87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9"/>
    </row>
    <row r="156" spans="2:13">
      <c r="B156" s="87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9"/>
    </row>
    <row r="157" spans="2:13">
      <c r="B157" s="87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9"/>
    </row>
    <row r="158" spans="2:13">
      <c r="B158" s="87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9"/>
    </row>
    <row r="159" spans="2:13">
      <c r="B159" s="87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9"/>
    </row>
  </sheetData>
  <autoFilter ref="A1:M161"/>
  <mergeCells count="10">
    <mergeCell ref="A2:M2"/>
    <mergeCell ref="A4:A5"/>
    <mergeCell ref="M4:M5"/>
    <mergeCell ref="B4:B5"/>
    <mergeCell ref="C4:C5"/>
    <mergeCell ref="D4:D5"/>
    <mergeCell ref="E4:F4"/>
    <mergeCell ref="G4:H4"/>
    <mergeCell ref="I4:J4"/>
    <mergeCell ref="K4:L4"/>
  </mergeCells>
  <conditionalFormatting sqref="L80">
    <cfRule type="cellIs" dxfId="5" priority="1" stopIfTrue="1" operator="equal">
      <formula>8223.307275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view="pageBreakPreview" topLeftCell="A109" zoomScaleNormal="55" zoomScaleSheetLayoutView="100" workbookViewId="0">
      <selection activeCell="A89" sqref="A89:XFD89"/>
    </sheetView>
  </sheetViews>
  <sheetFormatPr defaultRowHeight="12.75"/>
  <cols>
    <col min="1" max="1" width="7.7109375" style="98" customWidth="1"/>
    <col min="2" max="2" width="14.85546875" style="98" customWidth="1"/>
    <col min="3" max="3" width="55.5703125" style="85" customWidth="1"/>
    <col min="4" max="12" width="9.28515625" style="85" customWidth="1"/>
    <col min="13" max="13" width="12.140625" style="90" customWidth="1"/>
    <col min="14" max="16" width="20.7109375" style="77" customWidth="1"/>
    <col min="17" max="16384" width="9.140625" style="77"/>
  </cols>
  <sheetData>
    <row r="1" spans="1:1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79"/>
    </row>
    <row r="2" spans="1:14" s="92" customFormat="1">
      <c r="A2" s="174" t="s">
        <v>255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s="92" customFormat="1">
      <c r="A3" s="97"/>
      <c r="B3" s="97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s="78" customFormat="1" ht="27.75" customHeight="1">
      <c r="A4" s="172" t="s">
        <v>307</v>
      </c>
      <c r="B4" s="173" t="s">
        <v>308</v>
      </c>
      <c r="C4" s="173" t="s">
        <v>309</v>
      </c>
      <c r="D4" s="173" t="s">
        <v>310</v>
      </c>
      <c r="E4" s="172" t="s">
        <v>311</v>
      </c>
      <c r="F4" s="172"/>
      <c r="G4" s="173" t="s">
        <v>312</v>
      </c>
      <c r="H4" s="173"/>
      <c r="I4" s="173" t="s">
        <v>6</v>
      </c>
      <c r="J4" s="173"/>
      <c r="K4" s="172" t="s">
        <v>313</v>
      </c>
      <c r="L4" s="172"/>
      <c r="M4" s="172" t="s">
        <v>4</v>
      </c>
    </row>
    <row r="5" spans="1:14" s="78" customFormat="1">
      <c r="A5" s="172"/>
      <c r="B5" s="173"/>
      <c r="C5" s="173"/>
      <c r="D5" s="173"/>
      <c r="E5" s="61" t="s">
        <v>314</v>
      </c>
      <c r="F5" s="61" t="s">
        <v>231</v>
      </c>
      <c r="G5" s="61" t="s">
        <v>314</v>
      </c>
      <c r="H5" s="61" t="s">
        <v>231</v>
      </c>
      <c r="I5" s="61" t="s">
        <v>314</v>
      </c>
      <c r="J5" s="61" t="s">
        <v>231</v>
      </c>
      <c r="K5" s="61" t="s">
        <v>314</v>
      </c>
      <c r="L5" s="61" t="s">
        <v>231</v>
      </c>
      <c r="M5" s="172"/>
    </row>
    <row r="6" spans="1:14" s="78" customFormat="1">
      <c r="A6" s="61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3">
        <v>8</v>
      </c>
      <c r="I6" s="61">
        <v>9</v>
      </c>
      <c r="J6" s="63">
        <v>10</v>
      </c>
      <c r="K6" s="61">
        <v>11</v>
      </c>
      <c r="L6" s="63">
        <v>12</v>
      </c>
      <c r="M6" s="63">
        <v>13</v>
      </c>
    </row>
    <row r="7" spans="1:14" s="78" customFormat="1">
      <c r="A7" s="43"/>
      <c r="B7" s="43"/>
      <c r="C7" s="43"/>
      <c r="D7" s="43"/>
      <c r="E7" s="64"/>
      <c r="F7" s="64"/>
      <c r="G7" s="64"/>
      <c r="H7" s="64"/>
      <c r="I7" s="64"/>
      <c r="J7" s="64"/>
      <c r="K7" s="64"/>
      <c r="L7" s="64"/>
      <c r="M7" s="64"/>
    </row>
    <row r="8" spans="1:14" s="78" customFormat="1">
      <c r="A8" s="43"/>
      <c r="B8" s="66"/>
      <c r="C8" s="44" t="s">
        <v>301</v>
      </c>
      <c r="D8" s="66"/>
      <c r="E8" s="68"/>
      <c r="F8" s="68"/>
      <c r="G8" s="68"/>
      <c r="H8" s="68"/>
      <c r="I8" s="68"/>
      <c r="J8" s="68"/>
      <c r="K8" s="68"/>
      <c r="L8" s="68"/>
      <c r="M8" s="68"/>
    </row>
    <row r="9" spans="1:14" s="78" customFormat="1">
      <c r="A9" s="43"/>
      <c r="B9" s="136"/>
      <c r="C9" s="44"/>
      <c r="D9" s="66"/>
      <c r="E9" s="68"/>
      <c r="F9" s="68"/>
      <c r="G9" s="68"/>
      <c r="H9" s="68"/>
      <c r="I9" s="68"/>
      <c r="J9" s="68"/>
      <c r="K9" s="68"/>
      <c r="L9" s="68"/>
      <c r="M9" s="68"/>
    </row>
    <row r="10" spans="1:14" ht="25.5">
      <c r="A10" s="66">
        <v>1.1000000000000001</v>
      </c>
      <c r="B10" s="67" t="s">
        <v>265</v>
      </c>
      <c r="C10" s="81" t="s">
        <v>264</v>
      </c>
      <c r="D10" s="66" t="s">
        <v>321</v>
      </c>
      <c r="E10" s="68"/>
      <c r="F10" s="68">
        <v>744</v>
      </c>
      <c r="G10" s="68"/>
      <c r="H10" s="68"/>
      <c r="I10" s="68"/>
      <c r="J10" s="68"/>
      <c r="K10" s="68"/>
      <c r="L10" s="68"/>
      <c r="M10" s="68"/>
      <c r="N10" s="83"/>
    </row>
    <row r="11" spans="1:14">
      <c r="A11" s="66"/>
      <c r="B11" s="67"/>
      <c r="C11" s="81"/>
      <c r="D11" s="66" t="s">
        <v>316</v>
      </c>
      <c r="E11" s="68"/>
      <c r="F11" s="99">
        <f>F10/1000</f>
        <v>0.74399999999999999</v>
      </c>
      <c r="G11" s="68"/>
      <c r="H11" s="68"/>
      <c r="I11" s="68"/>
      <c r="J11" s="68"/>
      <c r="K11" s="68"/>
      <c r="L11" s="68"/>
      <c r="M11" s="68"/>
      <c r="N11" s="83"/>
    </row>
    <row r="12" spans="1:14">
      <c r="A12" s="66" t="s">
        <v>0</v>
      </c>
      <c r="B12" s="67"/>
      <c r="C12" s="81" t="s">
        <v>15</v>
      </c>
      <c r="D12" s="66" t="s">
        <v>1</v>
      </c>
      <c r="E12" s="68">
        <v>27</v>
      </c>
      <c r="F12" s="68">
        <f>E12*F11</f>
        <v>20.088000000000001</v>
      </c>
      <c r="G12" s="68"/>
      <c r="H12" s="68"/>
      <c r="I12" s="68"/>
      <c r="J12" s="68"/>
      <c r="K12" s="68"/>
      <c r="L12" s="68"/>
      <c r="M12" s="68"/>
    </row>
    <row r="13" spans="1:14">
      <c r="A13" s="66" t="s">
        <v>174</v>
      </c>
      <c r="B13" s="103" t="s">
        <v>317</v>
      </c>
      <c r="C13" s="80" t="s">
        <v>318</v>
      </c>
      <c r="D13" s="66" t="s">
        <v>24</v>
      </c>
      <c r="E13" s="68">
        <v>60.5</v>
      </c>
      <c r="F13" s="68">
        <f>E13*F11</f>
        <v>45.012</v>
      </c>
      <c r="G13" s="68"/>
      <c r="H13" s="68"/>
      <c r="I13" s="68"/>
      <c r="J13" s="68"/>
      <c r="K13" s="68"/>
      <c r="L13" s="68"/>
      <c r="M13" s="68"/>
    </row>
    <row r="14" spans="1:14">
      <c r="A14" s="66" t="s">
        <v>175</v>
      </c>
      <c r="B14" s="67"/>
      <c r="C14" s="81" t="s">
        <v>13</v>
      </c>
      <c r="D14" s="66" t="s">
        <v>25</v>
      </c>
      <c r="E14" s="68">
        <v>2.21</v>
      </c>
      <c r="F14" s="68">
        <f>E14*F11</f>
        <v>1.6442399999999999</v>
      </c>
      <c r="G14" s="68"/>
      <c r="H14" s="68"/>
      <c r="I14" s="68"/>
      <c r="J14" s="68"/>
      <c r="K14" s="68"/>
      <c r="L14" s="68"/>
      <c r="M14" s="68"/>
    </row>
    <row r="15" spans="1:14">
      <c r="A15" s="66" t="s">
        <v>176</v>
      </c>
      <c r="B15" s="103" t="s">
        <v>319</v>
      </c>
      <c r="C15" s="104" t="s">
        <v>320</v>
      </c>
      <c r="D15" s="66" t="s">
        <v>321</v>
      </c>
      <c r="E15" s="68">
        <v>0.06</v>
      </c>
      <c r="F15" s="68">
        <f>E15*F11</f>
        <v>4.4639999999999999E-2</v>
      </c>
      <c r="G15" s="75"/>
      <c r="H15" s="68"/>
      <c r="I15" s="68"/>
      <c r="J15" s="68"/>
      <c r="K15" s="68"/>
      <c r="L15" s="68"/>
      <c r="M15" s="68"/>
    </row>
    <row r="16" spans="1:14">
      <c r="A16" s="66"/>
      <c r="B16" s="67"/>
      <c r="C16" s="81"/>
      <c r="D16" s="66"/>
      <c r="E16" s="68"/>
      <c r="F16" s="68"/>
      <c r="G16" s="68"/>
      <c r="H16" s="68"/>
      <c r="I16" s="68"/>
      <c r="J16" s="68"/>
      <c r="K16" s="68"/>
      <c r="L16" s="68"/>
      <c r="M16" s="68"/>
    </row>
    <row r="17" spans="1:14" ht="25.5">
      <c r="A17" s="66">
        <v>1.2</v>
      </c>
      <c r="B17" s="124" t="s">
        <v>383</v>
      </c>
      <c r="C17" s="81" t="s">
        <v>266</v>
      </c>
      <c r="D17" s="66" t="s">
        <v>321</v>
      </c>
      <c r="E17" s="68"/>
      <c r="F17" s="68">
        <v>7</v>
      </c>
      <c r="G17" s="68"/>
      <c r="H17" s="68"/>
      <c r="I17" s="68"/>
      <c r="J17" s="68"/>
      <c r="K17" s="68"/>
      <c r="L17" s="68"/>
      <c r="M17" s="68"/>
      <c r="N17" s="83"/>
    </row>
    <row r="18" spans="1:14">
      <c r="A18" s="66"/>
      <c r="B18" s="67" t="s">
        <v>382</v>
      </c>
      <c r="C18" s="80"/>
      <c r="D18" s="66" t="s">
        <v>334</v>
      </c>
      <c r="E18" s="68"/>
      <c r="F18" s="68">
        <v>0.16</v>
      </c>
      <c r="G18" s="68"/>
      <c r="H18" s="68"/>
      <c r="I18" s="68"/>
      <c r="J18" s="68"/>
      <c r="K18" s="68"/>
      <c r="L18" s="68"/>
      <c r="M18" s="68"/>
      <c r="N18" s="83"/>
    </row>
    <row r="19" spans="1:14">
      <c r="A19" s="66" t="s">
        <v>21</v>
      </c>
      <c r="B19" s="124"/>
      <c r="C19" s="81" t="s">
        <v>15</v>
      </c>
      <c r="D19" s="66" t="s">
        <v>1</v>
      </c>
      <c r="E19" s="75">
        <f>1.2*299</f>
        <v>358.8</v>
      </c>
      <c r="F19" s="68">
        <f>E19*F18</f>
        <v>57.408000000000001</v>
      </c>
      <c r="G19" s="68"/>
      <c r="H19" s="68"/>
      <c r="I19" s="68"/>
      <c r="J19" s="68"/>
      <c r="K19" s="68"/>
      <c r="L19" s="68"/>
      <c r="M19" s="68"/>
    </row>
    <row r="20" spans="1:14">
      <c r="A20" s="66"/>
      <c r="B20" s="124"/>
      <c r="C20" s="81"/>
      <c r="D20" s="66"/>
      <c r="E20" s="68"/>
      <c r="F20" s="68"/>
      <c r="G20" s="68"/>
      <c r="H20" s="68"/>
      <c r="I20" s="68"/>
      <c r="J20" s="68"/>
      <c r="K20" s="68"/>
      <c r="L20" s="68"/>
      <c r="M20" s="68"/>
    </row>
    <row r="21" spans="1:14">
      <c r="A21" s="66">
        <v>1.3</v>
      </c>
      <c r="B21" s="116" t="s">
        <v>344</v>
      </c>
      <c r="C21" s="81" t="s">
        <v>86</v>
      </c>
      <c r="D21" s="66" t="s">
        <v>23</v>
      </c>
      <c r="E21" s="68">
        <v>1.95</v>
      </c>
      <c r="F21" s="68">
        <f>E21*F17</f>
        <v>13.65</v>
      </c>
      <c r="G21" s="68"/>
      <c r="H21" s="68"/>
      <c r="I21" s="68"/>
      <c r="J21" s="68"/>
      <c r="K21" s="68"/>
      <c r="L21" s="68"/>
      <c r="M21" s="68"/>
      <c r="N21" s="83"/>
    </row>
    <row r="22" spans="1:14">
      <c r="A22" s="66" t="s">
        <v>30</v>
      </c>
      <c r="B22" s="117" t="s">
        <v>345</v>
      </c>
      <c r="C22" s="81" t="s">
        <v>15</v>
      </c>
      <c r="D22" s="66" t="s">
        <v>1</v>
      </c>
      <c r="E22" s="68">
        <v>0.53</v>
      </c>
      <c r="F22" s="68">
        <f>E22*F21</f>
        <v>7.2345000000000006</v>
      </c>
      <c r="G22" s="68"/>
      <c r="H22" s="68"/>
      <c r="I22" s="68"/>
      <c r="J22" s="68"/>
      <c r="K22" s="68"/>
      <c r="L22" s="68"/>
      <c r="M22" s="68"/>
      <c r="N22" s="83"/>
    </row>
    <row r="23" spans="1:14">
      <c r="A23" s="66"/>
      <c r="B23" s="67"/>
      <c r="C23" s="81"/>
      <c r="D23" s="66"/>
      <c r="E23" s="68"/>
      <c r="F23" s="68"/>
      <c r="G23" s="68"/>
      <c r="H23" s="68"/>
      <c r="I23" s="68"/>
      <c r="J23" s="68"/>
      <c r="K23" s="68"/>
      <c r="L23" s="68"/>
      <c r="M23" s="68"/>
      <c r="N23" s="83"/>
    </row>
    <row r="24" spans="1:14">
      <c r="A24" s="66">
        <v>1.4</v>
      </c>
      <c r="B24" s="67" t="s">
        <v>322</v>
      </c>
      <c r="C24" s="81" t="s">
        <v>31</v>
      </c>
      <c r="D24" s="66" t="s">
        <v>23</v>
      </c>
      <c r="E24" s="68">
        <v>1.95</v>
      </c>
      <c r="F24" s="75">
        <f>E24*(F10+F17)</f>
        <v>1464.45</v>
      </c>
      <c r="G24" s="68"/>
      <c r="H24" s="68"/>
      <c r="I24" s="68"/>
      <c r="J24" s="68"/>
      <c r="K24" s="75"/>
      <c r="L24" s="68"/>
      <c r="M24" s="68"/>
    </row>
    <row r="25" spans="1:14">
      <c r="A25" s="66"/>
      <c r="B25" s="67"/>
      <c r="C25" s="81"/>
      <c r="D25" s="66"/>
      <c r="E25" s="68"/>
      <c r="F25" s="68"/>
      <c r="G25" s="68"/>
      <c r="H25" s="68"/>
      <c r="I25" s="68"/>
      <c r="J25" s="68"/>
      <c r="K25" s="68"/>
      <c r="L25" s="68"/>
      <c r="M25" s="68"/>
    </row>
    <row r="26" spans="1:14">
      <c r="A26" s="66">
        <v>1.5</v>
      </c>
      <c r="B26" s="103" t="s">
        <v>75</v>
      </c>
      <c r="C26" s="81" t="s">
        <v>384</v>
      </c>
      <c r="D26" s="66" t="s">
        <v>321</v>
      </c>
      <c r="E26" s="68"/>
      <c r="F26" s="68">
        <f>F17+F10</f>
        <v>751</v>
      </c>
      <c r="G26" s="68"/>
      <c r="H26" s="68"/>
      <c r="I26" s="68"/>
      <c r="J26" s="68"/>
      <c r="K26" s="68"/>
      <c r="L26" s="68"/>
      <c r="M26" s="68"/>
      <c r="N26" s="83"/>
    </row>
    <row r="27" spans="1:14">
      <c r="A27" s="66"/>
      <c r="B27" s="67"/>
      <c r="C27" s="93"/>
      <c r="D27" s="66" t="s">
        <v>316</v>
      </c>
      <c r="E27" s="68"/>
      <c r="F27" s="99">
        <f>F26/1000</f>
        <v>0.751</v>
      </c>
      <c r="G27" s="68"/>
      <c r="H27" s="68"/>
      <c r="I27" s="68"/>
      <c r="J27" s="68"/>
      <c r="K27" s="68"/>
      <c r="L27" s="68"/>
      <c r="M27" s="68"/>
      <c r="N27" s="83"/>
    </row>
    <row r="28" spans="1:14">
      <c r="A28" s="66" t="s">
        <v>177</v>
      </c>
      <c r="B28" s="67"/>
      <c r="C28" s="93" t="s">
        <v>15</v>
      </c>
      <c r="D28" s="66" t="s">
        <v>1</v>
      </c>
      <c r="E28" s="68">
        <v>3.23</v>
      </c>
      <c r="F28" s="68">
        <f>E28*F27</f>
        <v>2.4257300000000002</v>
      </c>
      <c r="G28" s="68"/>
      <c r="H28" s="68"/>
      <c r="I28" s="68"/>
      <c r="J28" s="68"/>
      <c r="K28" s="68"/>
      <c r="L28" s="68"/>
      <c r="M28" s="68"/>
    </row>
    <row r="29" spans="1:14">
      <c r="A29" s="66" t="s">
        <v>178</v>
      </c>
      <c r="B29" s="103" t="s">
        <v>324</v>
      </c>
      <c r="C29" s="93" t="s">
        <v>76</v>
      </c>
      <c r="D29" s="66" t="s">
        <v>24</v>
      </c>
      <c r="E29" s="68">
        <v>3.62</v>
      </c>
      <c r="F29" s="68">
        <f>E29*F27</f>
        <v>2.71862</v>
      </c>
      <c r="G29" s="68"/>
      <c r="H29" s="68"/>
      <c r="I29" s="68"/>
      <c r="J29" s="68"/>
      <c r="K29" s="75"/>
      <c r="L29" s="68"/>
      <c r="M29" s="68"/>
    </row>
    <row r="30" spans="1:14">
      <c r="A30" s="66" t="s">
        <v>179</v>
      </c>
      <c r="B30" s="67"/>
      <c r="C30" s="93" t="s">
        <v>13</v>
      </c>
      <c r="D30" s="66" t="s">
        <v>25</v>
      </c>
      <c r="E30" s="68">
        <v>0.18</v>
      </c>
      <c r="F30" s="68">
        <f>E30*F27</f>
        <v>0.13517999999999999</v>
      </c>
      <c r="G30" s="68"/>
      <c r="H30" s="68"/>
      <c r="I30" s="68"/>
      <c r="J30" s="68"/>
      <c r="K30" s="68"/>
      <c r="L30" s="68"/>
      <c r="M30" s="68"/>
    </row>
    <row r="31" spans="1:14">
      <c r="A31" s="66" t="s">
        <v>180</v>
      </c>
      <c r="B31" s="103" t="s">
        <v>319</v>
      </c>
      <c r="C31" s="104" t="s">
        <v>320</v>
      </c>
      <c r="D31" s="66" t="s">
        <v>321</v>
      </c>
      <c r="E31" s="68">
        <v>0.04</v>
      </c>
      <c r="F31" s="68">
        <f>E31*F27</f>
        <v>3.0040000000000001E-2</v>
      </c>
      <c r="G31" s="75"/>
      <c r="H31" s="68"/>
      <c r="I31" s="68"/>
      <c r="J31" s="68"/>
      <c r="K31" s="68"/>
      <c r="L31" s="68"/>
      <c r="M31" s="68"/>
    </row>
    <row r="32" spans="1:14">
      <c r="A32" s="66"/>
      <c r="B32" s="67"/>
      <c r="C32" s="81"/>
      <c r="D32" s="66"/>
      <c r="E32" s="68"/>
      <c r="F32" s="68"/>
      <c r="G32" s="68"/>
      <c r="H32" s="68"/>
      <c r="I32" s="68"/>
      <c r="J32" s="68"/>
      <c r="K32" s="68"/>
      <c r="L32" s="68"/>
      <c r="M32" s="68"/>
    </row>
    <row r="33" spans="1:14">
      <c r="A33" s="66">
        <v>1.6</v>
      </c>
      <c r="B33" s="67" t="s">
        <v>268</v>
      </c>
      <c r="C33" s="80" t="s">
        <v>267</v>
      </c>
      <c r="D33" s="66" t="s">
        <v>329</v>
      </c>
      <c r="E33" s="68"/>
      <c r="F33" s="68">
        <v>105.6</v>
      </c>
      <c r="G33" s="68"/>
      <c r="H33" s="68"/>
      <c r="I33" s="68"/>
      <c r="J33" s="68"/>
      <c r="K33" s="68"/>
      <c r="L33" s="68"/>
      <c r="M33" s="68"/>
      <c r="N33" s="83"/>
    </row>
    <row r="34" spans="1:14">
      <c r="A34" s="66"/>
      <c r="B34" s="67"/>
      <c r="C34" s="81"/>
      <c r="D34" s="125" t="s">
        <v>385</v>
      </c>
      <c r="E34" s="68"/>
      <c r="F34" s="99">
        <f>F33/1000</f>
        <v>0.1056</v>
      </c>
      <c r="G34" s="68"/>
      <c r="H34" s="68"/>
      <c r="I34" s="68"/>
      <c r="J34" s="68"/>
      <c r="K34" s="68"/>
      <c r="L34" s="68"/>
      <c r="M34" s="68"/>
      <c r="N34" s="83"/>
    </row>
    <row r="35" spans="1:14">
      <c r="A35" s="66" t="s">
        <v>56</v>
      </c>
      <c r="B35" s="67"/>
      <c r="C35" s="81" t="s">
        <v>15</v>
      </c>
      <c r="D35" s="66" t="s">
        <v>1</v>
      </c>
      <c r="E35" s="68">
        <v>91</v>
      </c>
      <c r="F35" s="68">
        <f>E35*F34</f>
        <v>9.6096000000000004</v>
      </c>
      <c r="G35" s="68"/>
      <c r="H35" s="68"/>
      <c r="I35" s="68"/>
      <c r="J35" s="68"/>
      <c r="K35" s="68"/>
      <c r="L35" s="68"/>
      <c r="M35" s="68"/>
    </row>
    <row r="36" spans="1:14">
      <c r="A36" s="66"/>
      <c r="B36" s="67"/>
      <c r="C36" s="81"/>
      <c r="D36" s="66"/>
      <c r="E36" s="68"/>
      <c r="F36" s="68"/>
      <c r="G36" s="68"/>
      <c r="H36" s="68"/>
      <c r="I36" s="68"/>
      <c r="J36" s="68"/>
      <c r="K36" s="68"/>
      <c r="L36" s="68"/>
      <c r="M36" s="68"/>
    </row>
    <row r="37" spans="1:14">
      <c r="A37" s="66">
        <v>1.7</v>
      </c>
      <c r="B37" s="103" t="s">
        <v>346</v>
      </c>
      <c r="C37" s="81" t="s">
        <v>224</v>
      </c>
      <c r="D37" s="66" t="s">
        <v>321</v>
      </c>
      <c r="E37" s="68"/>
      <c r="F37" s="68">
        <v>48</v>
      </c>
      <c r="G37" s="68"/>
      <c r="H37" s="68"/>
      <c r="I37" s="68"/>
      <c r="J37" s="68"/>
      <c r="K37" s="68"/>
      <c r="L37" s="68"/>
      <c r="M37" s="68"/>
      <c r="N37" s="83"/>
    </row>
    <row r="38" spans="1:14">
      <c r="A38" s="66"/>
      <c r="B38" s="118"/>
      <c r="C38" s="119"/>
      <c r="D38" s="66" t="s">
        <v>347</v>
      </c>
      <c r="E38" s="68"/>
      <c r="F38" s="68">
        <f>F37</f>
        <v>48</v>
      </c>
      <c r="G38" s="68"/>
      <c r="H38" s="68"/>
      <c r="I38" s="68"/>
      <c r="J38" s="68"/>
      <c r="K38" s="68"/>
      <c r="L38" s="68"/>
      <c r="M38" s="68"/>
      <c r="N38" s="83"/>
    </row>
    <row r="39" spans="1:14">
      <c r="A39" s="66" t="s">
        <v>58</v>
      </c>
      <c r="B39" s="67"/>
      <c r="C39" s="81" t="s">
        <v>15</v>
      </c>
      <c r="D39" s="66" t="s">
        <v>1</v>
      </c>
      <c r="E39" s="75">
        <v>0.89</v>
      </c>
      <c r="F39" s="68">
        <f>E39*F38</f>
        <v>42.72</v>
      </c>
      <c r="G39" s="68"/>
      <c r="H39" s="68"/>
      <c r="I39" s="75"/>
      <c r="J39" s="68"/>
      <c r="K39" s="68"/>
      <c r="L39" s="68"/>
      <c r="M39" s="68"/>
    </row>
    <row r="40" spans="1:14">
      <c r="A40" s="66" t="s">
        <v>59</v>
      </c>
      <c r="B40" s="103" t="s">
        <v>348</v>
      </c>
      <c r="C40" s="81" t="s">
        <v>87</v>
      </c>
      <c r="D40" s="66" t="s">
        <v>321</v>
      </c>
      <c r="E40" s="75">
        <v>1.1499999999999999</v>
      </c>
      <c r="F40" s="68">
        <f>E40*F38</f>
        <v>55.199999999999996</v>
      </c>
      <c r="G40" s="68"/>
      <c r="H40" s="68"/>
      <c r="I40" s="68"/>
      <c r="J40" s="68"/>
      <c r="K40" s="68"/>
      <c r="L40" s="68"/>
      <c r="M40" s="68"/>
    </row>
    <row r="41" spans="1:14">
      <c r="A41" s="66"/>
      <c r="B41" s="103"/>
      <c r="C41" s="120" t="s">
        <v>13</v>
      </c>
      <c r="D41" s="121" t="s">
        <v>25</v>
      </c>
      <c r="E41" s="75">
        <v>0.37</v>
      </c>
      <c r="F41" s="75">
        <f>E41*F38</f>
        <v>17.759999999999998</v>
      </c>
      <c r="G41" s="75"/>
      <c r="H41" s="75"/>
      <c r="I41" s="75"/>
      <c r="J41" s="75"/>
      <c r="K41" s="75"/>
      <c r="L41" s="75"/>
      <c r="M41" s="75"/>
    </row>
    <row r="42" spans="1:14">
      <c r="A42" s="66"/>
      <c r="B42" s="122"/>
      <c r="C42" s="123" t="s">
        <v>14</v>
      </c>
      <c r="D42" s="121" t="s">
        <v>25</v>
      </c>
      <c r="E42" s="75">
        <v>0.02</v>
      </c>
      <c r="F42" s="75">
        <f>E42*F38</f>
        <v>0.96</v>
      </c>
      <c r="G42" s="75"/>
      <c r="H42" s="75"/>
      <c r="I42" s="75"/>
      <c r="J42" s="75"/>
      <c r="K42" s="75"/>
      <c r="L42" s="75"/>
      <c r="M42" s="75"/>
    </row>
    <row r="43" spans="1:14">
      <c r="A43" s="66"/>
      <c r="B43" s="67"/>
      <c r="C43" s="81"/>
      <c r="D43" s="66"/>
      <c r="E43" s="68"/>
      <c r="F43" s="68"/>
      <c r="G43" s="68"/>
      <c r="H43" s="68"/>
      <c r="I43" s="68"/>
      <c r="J43" s="68"/>
      <c r="K43" s="68"/>
      <c r="L43" s="68"/>
      <c r="M43" s="68"/>
    </row>
    <row r="44" spans="1:14">
      <c r="A44" s="66">
        <v>1.8</v>
      </c>
      <c r="B44" s="124" t="s">
        <v>349</v>
      </c>
      <c r="C44" s="81" t="s">
        <v>225</v>
      </c>
      <c r="D44" s="66" t="s">
        <v>321</v>
      </c>
      <c r="E44" s="68"/>
      <c r="F44" s="68">
        <v>9.6</v>
      </c>
      <c r="G44" s="68"/>
      <c r="H44" s="68"/>
      <c r="I44" s="68"/>
      <c r="J44" s="68"/>
      <c r="K44" s="68"/>
      <c r="L44" s="68"/>
      <c r="M44" s="68"/>
    </row>
    <row r="45" spans="1:14">
      <c r="A45" s="66"/>
      <c r="B45" s="124"/>
      <c r="C45" s="81"/>
      <c r="D45" s="66" t="s">
        <v>334</v>
      </c>
      <c r="E45" s="68"/>
      <c r="F45" s="99">
        <f>F44/100</f>
        <v>9.6000000000000002E-2</v>
      </c>
      <c r="G45" s="68"/>
      <c r="H45" s="68"/>
      <c r="I45" s="68"/>
      <c r="J45" s="68"/>
      <c r="K45" s="68"/>
      <c r="L45" s="68"/>
      <c r="M45" s="68"/>
    </row>
    <row r="46" spans="1:14">
      <c r="A46" s="66" t="s">
        <v>60</v>
      </c>
      <c r="B46" s="124"/>
      <c r="C46" s="81" t="s">
        <v>15</v>
      </c>
      <c r="D46" s="66" t="s">
        <v>1</v>
      </c>
      <c r="E46" s="68">
        <v>137</v>
      </c>
      <c r="F46" s="68">
        <f>E46*F45</f>
        <v>13.152000000000001</v>
      </c>
      <c r="G46" s="68"/>
      <c r="H46" s="68"/>
      <c r="I46" s="68"/>
      <c r="J46" s="68"/>
      <c r="K46" s="68"/>
      <c r="L46" s="68"/>
      <c r="M46" s="68"/>
    </row>
    <row r="47" spans="1:14">
      <c r="A47" s="66" t="s">
        <v>61</v>
      </c>
      <c r="B47" s="124"/>
      <c r="C47" s="81" t="s">
        <v>13</v>
      </c>
      <c r="D47" s="66" t="s">
        <v>25</v>
      </c>
      <c r="E47" s="68">
        <v>28.3</v>
      </c>
      <c r="F47" s="68">
        <f>E47*F45</f>
        <v>2.7168000000000001</v>
      </c>
      <c r="G47" s="68"/>
      <c r="H47" s="68"/>
      <c r="I47" s="68"/>
      <c r="J47" s="68"/>
      <c r="K47" s="68"/>
      <c r="L47" s="68"/>
      <c r="M47" s="68"/>
    </row>
    <row r="48" spans="1:14">
      <c r="A48" s="66" t="s">
        <v>190</v>
      </c>
      <c r="B48" s="122" t="s">
        <v>386</v>
      </c>
      <c r="C48" s="81" t="s">
        <v>155</v>
      </c>
      <c r="D48" s="66" t="s">
        <v>321</v>
      </c>
      <c r="E48" s="75">
        <v>102</v>
      </c>
      <c r="F48" s="68">
        <f>E48*F45</f>
        <v>9.7919999999999998</v>
      </c>
      <c r="G48" s="68"/>
      <c r="H48" s="68"/>
      <c r="I48" s="68"/>
      <c r="J48" s="68"/>
      <c r="K48" s="68"/>
      <c r="L48" s="68"/>
      <c r="M48" s="68"/>
    </row>
    <row r="49" spans="1:14">
      <c r="A49" s="66" t="s">
        <v>191</v>
      </c>
      <c r="B49" s="124"/>
      <c r="C49" s="81" t="s">
        <v>14</v>
      </c>
      <c r="D49" s="66" t="s">
        <v>25</v>
      </c>
      <c r="E49" s="68">
        <v>62</v>
      </c>
      <c r="F49" s="68">
        <f>E49*F45</f>
        <v>5.952</v>
      </c>
      <c r="G49" s="68"/>
      <c r="H49" s="68"/>
      <c r="I49" s="68"/>
      <c r="J49" s="68"/>
      <c r="K49" s="68"/>
      <c r="L49" s="68"/>
      <c r="M49" s="68"/>
    </row>
    <row r="50" spans="1:14">
      <c r="A50" s="66"/>
      <c r="B50" s="124"/>
      <c r="C50" s="81"/>
      <c r="D50" s="66"/>
      <c r="E50" s="68"/>
      <c r="F50" s="68"/>
      <c r="G50" s="68"/>
      <c r="H50" s="68"/>
      <c r="I50" s="68"/>
      <c r="J50" s="68"/>
      <c r="K50" s="68"/>
      <c r="L50" s="68"/>
      <c r="M50" s="68"/>
    </row>
    <row r="51" spans="1:14">
      <c r="A51" s="66">
        <v>1.9</v>
      </c>
      <c r="B51" s="124" t="s">
        <v>387</v>
      </c>
      <c r="C51" s="81" t="s">
        <v>269</v>
      </c>
      <c r="D51" s="66" t="s">
        <v>332</v>
      </c>
      <c r="E51" s="68"/>
      <c r="F51" s="68">
        <v>0.35759999999999997</v>
      </c>
      <c r="G51" s="68"/>
      <c r="H51" s="68"/>
      <c r="I51" s="68"/>
      <c r="J51" s="68"/>
      <c r="K51" s="68"/>
      <c r="L51" s="68"/>
      <c r="M51" s="68"/>
      <c r="N51" s="83"/>
    </row>
    <row r="52" spans="1:14">
      <c r="A52" s="66"/>
      <c r="B52" s="124"/>
      <c r="C52" s="81"/>
      <c r="D52" s="66" t="s">
        <v>334</v>
      </c>
      <c r="E52" s="68"/>
      <c r="F52" s="99">
        <f>F51/100</f>
        <v>3.5759999999999998E-3</v>
      </c>
      <c r="G52" s="68"/>
      <c r="H52" s="68"/>
      <c r="I52" s="68"/>
      <c r="J52" s="68"/>
      <c r="K52" s="68"/>
      <c r="L52" s="68"/>
      <c r="M52" s="68"/>
      <c r="N52" s="83"/>
    </row>
    <row r="53" spans="1:14">
      <c r="A53" s="66" t="s">
        <v>62</v>
      </c>
      <c r="B53" s="124"/>
      <c r="C53" s="81" t="s">
        <v>15</v>
      </c>
      <c r="D53" s="66" t="s">
        <v>1</v>
      </c>
      <c r="E53" s="68">
        <v>187</v>
      </c>
      <c r="F53" s="68">
        <f>E53*F52</f>
        <v>0.66871199999999997</v>
      </c>
      <c r="G53" s="68"/>
      <c r="H53" s="68"/>
      <c r="I53" s="68"/>
      <c r="J53" s="68"/>
      <c r="K53" s="68"/>
      <c r="L53" s="68"/>
      <c r="M53" s="68"/>
    </row>
    <row r="54" spans="1:14">
      <c r="A54" s="66" t="s">
        <v>63</v>
      </c>
      <c r="B54" s="124"/>
      <c r="C54" s="81" t="s">
        <v>13</v>
      </c>
      <c r="D54" s="66" t="s">
        <v>25</v>
      </c>
      <c r="E54" s="68">
        <v>77</v>
      </c>
      <c r="F54" s="68">
        <f>E54*F52</f>
        <v>0.27535199999999999</v>
      </c>
      <c r="G54" s="68"/>
      <c r="H54" s="68"/>
      <c r="I54" s="68"/>
      <c r="J54" s="68"/>
      <c r="K54" s="68"/>
      <c r="L54" s="68"/>
      <c r="M54" s="68"/>
    </row>
    <row r="55" spans="1:14">
      <c r="A55" s="66" t="s">
        <v>192</v>
      </c>
      <c r="B55" s="122" t="s">
        <v>355</v>
      </c>
      <c r="C55" s="81" t="s">
        <v>166</v>
      </c>
      <c r="D55" s="66" t="s">
        <v>321</v>
      </c>
      <c r="E55" s="68">
        <v>101.5</v>
      </c>
      <c r="F55" s="68">
        <f>E55*F52</f>
        <v>0.36296399999999995</v>
      </c>
      <c r="G55" s="75"/>
      <c r="H55" s="68"/>
      <c r="I55" s="68"/>
      <c r="J55" s="68"/>
      <c r="K55" s="68"/>
      <c r="L55" s="68"/>
      <c r="M55" s="68"/>
    </row>
    <row r="56" spans="1:14">
      <c r="A56" s="66" t="s">
        <v>193</v>
      </c>
      <c r="B56" s="122" t="s">
        <v>356</v>
      </c>
      <c r="C56" s="81" t="s">
        <v>116</v>
      </c>
      <c r="D56" s="66" t="s">
        <v>23</v>
      </c>
      <c r="E56" s="68" t="s">
        <v>82</v>
      </c>
      <c r="F56" s="99">
        <v>7.3760000000000003</v>
      </c>
      <c r="G56" s="75"/>
      <c r="H56" s="68"/>
      <c r="I56" s="68"/>
      <c r="J56" s="68"/>
      <c r="K56" s="100"/>
      <c r="L56" s="68"/>
      <c r="M56" s="68"/>
    </row>
    <row r="57" spans="1:14">
      <c r="A57" s="66" t="s">
        <v>194</v>
      </c>
      <c r="B57" s="122" t="s">
        <v>357</v>
      </c>
      <c r="C57" s="123" t="s">
        <v>358</v>
      </c>
      <c r="D57" s="66" t="s">
        <v>329</v>
      </c>
      <c r="E57" s="68">
        <v>7.54</v>
      </c>
      <c r="F57" s="68">
        <f>E57*F52</f>
        <v>2.6963039999999997E-2</v>
      </c>
      <c r="G57" s="68"/>
      <c r="H57" s="68"/>
      <c r="I57" s="68"/>
      <c r="J57" s="68"/>
      <c r="K57" s="68"/>
      <c r="L57" s="68"/>
      <c r="M57" s="68"/>
    </row>
    <row r="58" spans="1:14">
      <c r="A58" s="66" t="s">
        <v>195</v>
      </c>
      <c r="B58" s="122" t="s">
        <v>359</v>
      </c>
      <c r="C58" s="81" t="s">
        <v>360</v>
      </c>
      <c r="D58" s="66" t="s">
        <v>321</v>
      </c>
      <c r="E58" s="68">
        <v>0.08</v>
      </c>
      <c r="F58" s="68">
        <f>E58*F52</f>
        <v>2.8607999999999997E-4</v>
      </c>
      <c r="G58" s="75"/>
      <c r="H58" s="68"/>
      <c r="I58" s="68"/>
      <c r="J58" s="68"/>
      <c r="K58" s="68"/>
      <c r="L58" s="68"/>
      <c r="M58" s="68"/>
    </row>
    <row r="59" spans="1:14">
      <c r="A59" s="66" t="s">
        <v>209</v>
      </c>
      <c r="B59" s="124"/>
      <c r="C59" s="81" t="s">
        <v>14</v>
      </c>
      <c r="D59" s="66" t="s">
        <v>25</v>
      </c>
      <c r="E59" s="68">
        <v>7</v>
      </c>
      <c r="F59" s="68">
        <f>E59*F52</f>
        <v>2.5031999999999999E-2</v>
      </c>
      <c r="G59" s="68"/>
      <c r="H59" s="68"/>
      <c r="I59" s="68"/>
      <c r="J59" s="68"/>
      <c r="K59" s="68"/>
      <c r="L59" s="68"/>
      <c r="M59" s="68"/>
    </row>
    <row r="60" spans="1:14">
      <c r="A60" s="66"/>
      <c r="B60" s="124"/>
      <c r="C60" s="81"/>
      <c r="D60" s="66"/>
      <c r="E60" s="68"/>
      <c r="F60" s="68"/>
      <c r="G60" s="68"/>
      <c r="H60" s="68"/>
      <c r="I60" s="68"/>
      <c r="J60" s="68"/>
      <c r="K60" s="68"/>
      <c r="L60" s="68"/>
      <c r="M60" s="68"/>
    </row>
    <row r="61" spans="1:14">
      <c r="A61" s="79">
        <v>1.1000000000000001</v>
      </c>
      <c r="B61" s="122" t="s">
        <v>352</v>
      </c>
      <c r="C61" s="81" t="s">
        <v>353</v>
      </c>
      <c r="D61" s="66" t="s">
        <v>321</v>
      </c>
      <c r="E61" s="68"/>
      <c r="F61" s="68">
        <v>42</v>
      </c>
      <c r="G61" s="68"/>
      <c r="H61" s="68"/>
      <c r="I61" s="68"/>
      <c r="J61" s="68"/>
      <c r="K61" s="68"/>
      <c r="L61" s="68"/>
      <c r="M61" s="68"/>
      <c r="N61" s="83"/>
    </row>
    <row r="62" spans="1:14">
      <c r="A62" s="79"/>
      <c r="B62" s="124"/>
      <c r="C62" s="81"/>
      <c r="D62" s="66" t="s">
        <v>334</v>
      </c>
      <c r="E62" s="68"/>
      <c r="F62" s="99">
        <f>F61/100</f>
        <v>0.42</v>
      </c>
      <c r="G62" s="68"/>
      <c r="H62" s="68"/>
      <c r="I62" s="68"/>
      <c r="J62" s="68"/>
      <c r="K62" s="68"/>
      <c r="L62" s="68"/>
      <c r="M62" s="68"/>
      <c r="N62" s="83"/>
    </row>
    <row r="63" spans="1:14">
      <c r="A63" s="66" t="s">
        <v>64</v>
      </c>
      <c r="B63" s="124"/>
      <c r="C63" s="81" t="s">
        <v>40</v>
      </c>
      <c r="D63" s="66" t="s">
        <v>1</v>
      </c>
      <c r="E63" s="75">
        <v>599</v>
      </c>
      <c r="F63" s="68">
        <f>E63*F62</f>
        <v>251.57999999999998</v>
      </c>
      <c r="G63" s="68"/>
      <c r="H63" s="68"/>
      <c r="I63" s="68"/>
      <c r="J63" s="68"/>
      <c r="K63" s="68"/>
      <c r="L63" s="68"/>
      <c r="M63" s="68"/>
    </row>
    <row r="64" spans="1:14">
      <c r="A64" s="66" t="s">
        <v>196</v>
      </c>
      <c r="B64" s="124"/>
      <c r="C64" s="123" t="s">
        <v>354</v>
      </c>
      <c r="D64" s="66" t="s">
        <v>25</v>
      </c>
      <c r="E64" s="75">
        <v>109</v>
      </c>
      <c r="F64" s="68">
        <f>E64*F62</f>
        <v>45.78</v>
      </c>
      <c r="G64" s="68"/>
      <c r="H64" s="68"/>
      <c r="I64" s="68"/>
      <c r="J64" s="68"/>
      <c r="K64" s="68"/>
      <c r="L64" s="68"/>
      <c r="M64" s="68"/>
    </row>
    <row r="65" spans="1:14">
      <c r="A65" s="66" t="s">
        <v>197</v>
      </c>
      <c r="B65" s="122" t="s">
        <v>355</v>
      </c>
      <c r="C65" s="81" t="s">
        <v>166</v>
      </c>
      <c r="D65" s="66" t="s">
        <v>321</v>
      </c>
      <c r="E65" s="75">
        <v>101.5</v>
      </c>
      <c r="F65" s="68">
        <f>E65*F62</f>
        <v>42.629999999999995</v>
      </c>
      <c r="G65" s="75"/>
      <c r="H65" s="68"/>
      <c r="I65" s="68"/>
      <c r="J65" s="68"/>
      <c r="K65" s="68"/>
      <c r="L65" s="68"/>
      <c r="M65" s="68"/>
    </row>
    <row r="66" spans="1:14">
      <c r="A66" s="66" t="s">
        <v>270</v>
      </c>
      <c r="B66" s="122" t="s">
        <v>356</v>
      </c>
      <c r="C66" s="81" t="s">
        <v>116</v>
      </c>
      <c r="D66" s="66" t="s">
        <v>23</v>
      </c>
      <c r="E66" s="100" t="s">
        <v>82</v>
      </c>
      <c r="F66" s="100">
        <v>8.6630000000000003</v>
      </c>
      <c r="G66" s="75"/>
      <c r="H66" s="68"/>
      <c r="I66" s="68"/>
      <c r="J66" s="68"/>
      <c r="K66" s="100"/>
      <c r="L66" s="68"/>
      <c r="M66" s="68"/>
    </row>
    <row r="67" spans="1:14">
      <c r="A67" s="66" t="s">
        <v>271</v>
      </c>
      <c r="B67" s="122" t="s">
        <v>357</v>
      </c>
      <c r="C67" s="123" t="s">
        <v>358</v>
      </c>
      <c r="D67" s="121" t="s">
        <v>329</v>
      </c>
      <c r="E67" s="75">
        <v>118</v>
      </c>
      <c r="F67" s="75">
        <f>E67*F62</f>
        <v>49.559999999999995</v>
      </c>
      <c r="G67" s="75"/>
      <c r="H67" s="75"/>
      <c r="I67" s="75"/>
      <c r="J67" s="75"/>
      <c r="K67" s="75"/>
      <c r="L67" s="75"/>
      <c r="M67" s="75"/>
    </row>
    <row r="68" spans="1:14">
      <c r="A68" s="66" t="s">
        <v>272</v>
      </c>
      <c r="B68" s="122" t="s">
        <v>359</v>
      </c>
      <c r="C68" s="81" t="s">
        <v>360</v>
      </c>
      <c r="D68" s="66" t="s">
        <v>321</v>
      </c>
      <c r="E68" s="75">
        <f>0.21+2.78</f>
        <v>2.9899999999999998</v>
      </c>
      <c r="F68" s="68">
        <f>E68*F62</f>
        <v>1.2557999999999998</v>
      </c>
      <c r="G68" s="75"/>
      <c r="H68" s="68"/>
      <c r="I68" s="68"/>
      <c r="J68" s="68"/>
      <c r="K68" s="68"/>
      <c r="L68" s="68"/>
      <c r="M68" s="68"/>
    </row>
    <row r="69" spans="1:14">
      <c r="A69" s="66" t="s">
        <v>388</v>
      </c>
      <c r="B69" s="122" t="s">
        <v>361</v>
      </c>
      <c r="C69" s="123" t="s">
        <v>362</v>
      </c>
      <c r="D69" s="121" t="s">
        <v>363</v>
      </c>
      <c r="E69" s="75">
        <v>110</v>
      </c>
      <c r="F69" s="75">
        <f>E69*F62</f>
        <v>46.199999999999996</v>
      </c>
      <c r="G69" s="75"/>
      <c r="H69" s="75"/>
      <c r="I69" s="75"/>
      <c r="J69" s="75"/>
      <c r="K69" s="75"/>
      <c r="L69" s="75"/>
      <c r="M69" s="75"/>
    </row>
    <row r="70" spans="1:14">
      <c r="A70" s="66" t="s">
        <v>389</v>
      </c>
      <c r="B70" s="122" t="s">
        <v>364</v>
      </c>
      <c r="C70" s="123" t="s">
        <v>365</v>
      </c>
      <c r="D70" s="121" t="s">
        <v>363</v>
      </c>
      <c r="E70" s="75">
        <v>140</v>
      </c>
      <c r="F70" s="75">
        <f>E70*F62</f>
        <v>58.8</v>
      </c>
      <c r="G70" s="75"/>
      <c r="H70" s="75"/>
      <c r="I70" s="75"/>
      <c r="J70" s="75"/>
      <c r="K70" s="75"/>
      <c r="L70" s="75"/>
      <c r="M70" s="75"/>
    </row>
    <row r="71" spans="1:14">
      <c r="A71" s="66" t="s">
        <v>390</v>
      </c>
      <c r="B71" s="124"/>
      <c r="C71" s="81" t="s">
        <v>92</v>
      </c>
      <c r="D71" s="66" t="s">
        <v>25</v>
      </c>
      <c r="E71" s="75">
        <v>32</v>
      </c>
      <c r="F71" s="68">
        <f>E71*F62</f>
        <v>13.44</v>
      </c>
      <c r="G71" s="68"/>
      <c r="H71" s="68"/>
      <c r="I71" s="68"/>
      <c r="J71" s="68"/>
      <c r="K71" s="68"/>
      <c r="L71" s="68"/>
      <c r="M71" s="68"/>
    </row>
    <row r="72" spans="1:14">
      <c r="A72" s="66"/>
      <c r="B72" s="124"/>
      <c r="C72" s="81"/>
      <c r="D72" s="66"/>
      <c r="E72" s="68"/>
      <c r="F72" s="68"/>
      <c r="G72" s="68"/>
      <c r="H72" s="68"/>
      <c r="I72" s="68"/>
      <c r="J72" s="68"/>
      <c r="K72" s="68"/>
      <c r="L72" s="68"/>
      <c r="M72" s="68"/>
    </row>
    <row r="73" spans="1:14">
      <c r="A73" s="79">
        <v>1.1100000000000001</v>
      </c>
      <c r="B73" s="103" t="s">
        <v>378</v>
      </c>
      <c r="C73" s="81" t="s">
        <v>273</v>
      </c>
      <c r="D73" s="66" t="s">
        <v>329</v>
      </c>
      <c r="E73" s="68"/>
      <c r="F73" s="68">
        <v>168</v>
      </c>
      <c r="G73" s="68"/>
      <c r="H73" s="68"/>
      <c r="I73" s="68"/>
      <c r="J73" s="68"/>
      <c r="K73" s="68"/>
      <c r="L73" s="68"/>
      <c r="M73" s="68"/>
      <c r="N73" s="83"/>
    </row>
    <row r="74" spans="1:14">
      <c r="A74" s="79"/>
      <c r="B74" s="118"/>
      <c r="C74" s="81"/>
      <c r="D74" s="66" t="s">
        <v>379</v>
      </c>
      <c r="E74" s="68"/>
      <c r="F74" s="99">
        <f>F73/100</f>
        <v>1.68</v>
      </c>
      <c r="G74" s="68"/>
      <c r="H74" s="68"/>
      <c r="I74" s="68"/>
      <c r="J74" s="68"/>
      <c r="K74" s="68"/>
      <c r="L74" s="68"/>
      <c r="M74" s="68"/>
      <c r="N74" s="83"/>
    </row>
    <row r="75" spans="1:14">
      <c r="A75" s="66" t="s">
        <v>66</v>
      </c>
      <c r="B75" s="67"/>
      <c r="C75" s="81" t="s">
        <v>15</v>
      </c>
      <c r="D75" s="66" t="s">
        <v>1</v>
      </c>
      <c r="E75" s="75">
        <v>33.6</v>
      </c>
      <c r="F75" s="68">
        <f>E75*F74</f>
        <v>56.448</v>
      </c>
      <c r="G75" s="68"/>
      <c r="H75" s="68"/>
      <c r="I75" s="75"/>
      <c r="J75" s="68"/>
      <c r="K75" s="68"/>
      <c r="L75" s="68"/>
      <c r="M75" s="68"/>
    </row>
    <row r="76" spans="1:14">
      <c r="A76" s="66" t="s">
        <v>183</v>
      </c>
      <c r="B76" s="67"/>
      <c r="C76" s="81" t="s">
        <v>13</v>
      </c>
      <c r="D76" s="66" t="s">
        <v>25</v>
      </c>
      <c r="E76" s="75">
        <v>1.5</v>
      </c>
      <c r="F76" s="68">
        <f>E76*F74</f>
        <v>2.52</v>
      </c>
      <c r="G76" s="68"/>
      <c r="H76" s="68"/>
      <c r="I76" s="68"/>
      <c r="J76" s="68"/>
      <c r="K76" s="68"/>
      <c r="L76" s="68"/>
      <c r="M76" s="68"/>
    </row>
    <row r="77" spans="1:14">
      <c r="A77" s="66" t="s">
        <v>274</v>
      </c>
      <c r="B77" s="103" t="s">
        <v>380</v>
      </c>
      <c r="C77" s="123" t="s">
        <v>381</v>
      </c>
      <c r="D77" s="66" t="s">
        <v>23</v>
      </c>
      <c r="E77" s="75">
        <v>0.24</v>
      </c>
      <c r="F77" s="68">
        <f>E77*F74</f>
        <v>0.40319999999999995</v>
      </c>
      <c r="G77" s="75"/>
      <c r="H77" s="68"/>
      <c r="I77" s="68"/>
      <c r="J77" s="68"/>
      <c r="K77" s="68"/>
      <c r="L77" s="68"/>
      <c r="M77" s="68"/>
    </row>
    <row r="78" spans="1:14">
      <c r="A78" s="66" t="s">
        <v>275</v>
      </c>
      <c r="B78" s="67"/>
      <c r="C78" s="81" t="s">
        <v>92</v>
      </c>
      <c r="D78" s="66" t="s">
        <v>25</v>
      </c>
      <c r="E78" s="75">
        <v>2.2799999999999998</v>
      </c>
      <c r="F78" s="68">
        <f>E78*F74</f>
        <v>3.8303999999999996</v>
      </c>
      <c r="G78" s="68"/>
      <c r="H78" s="68"/>
      <c r="I78" s="68"/>
      <c r="J78" s="68"/>
      <c r="K78" s="68"/>
      <c r="L78" s="68"/>
      <c r="M78" s="68"/>
    </row>
    <row r="79" spans="1:14">
      <c r="A79" s="66"/>
      <c r="B79" s="67"/>
      <c r="C79" s="81"/>
      <c r="D79" s="66"/>
      <c r="E79" s="68"/>
      <c r="F79" s="68"/>
      <c r="G79" s="68"/>
      <c r="H79" s="68"/>
      <c r="I79" s="68"/>
      <c r="J79" s="68"/>
      <c r="K79" s="68"/>
      <c r="L79" s="68"/>
      <c r="M79" s="68"/>
    </row>
    <row r="80" spans="1:14">
      <c r="A80" s="79">
        <v>1.1200000000000001</v>
      </c>
      <c r="B80" s="103" t="s">
        <v>391</v>
      </c>
      <c r="C80" s="81" t="s">
        <v>276</v>
      </c>
      <c r="D80" s="66" t="s">
        <v>329</v>
      </c>
      <c r="E80" s="68"/>
      <c r="F80" s="68">
        <v>336</v>
      </c>
      <c r="G80" s="68"/>
      <c r="H80" s="68"/>
      <c r="I80" s="68"/>
      <c r="J80" s="68"/>
      <c r="K80" s="68"/>
      <c r="L80" s="68"/>
      <c r="M80" s="68"/>
    </row>
    <row r="81" spans="1:14">
      <c r="A81" s="79"/>
      <c r="B81" s="103" t="s">
        <v>392</v>
      </c>
      <c r="C81" s="81"/>
      <c r="D81" s="66" t="s">
        <v>379</v>
      </c>
      <c r="E81" s="68"/>
      <c r="F81" s="99">
        <f>F80/100</f>
        <v>3.36</v>
      </c>
      <c r="G81" s="68"/>
      <c r="H81" s="68"/>
      <c r="I81" s="68"/>
      <c r="J81" s="68"/>
      <c r="K81" s="68"/>
      <c r="L81" s="68"/>
      <c r="M81" s="68"/>
    </row>
    <row r="82" spans="1:14">
      <c r="A82" s="66" t="s">
        <v>198</v>
      </c>
      <c r="B82" s="67"/>
      <c r="C82" s="81" t="s">
        <v>15</v>
      </c>
      <c r="D82" s="66" t="s">
        <v>1</v>
      </c>
      <c r="E82" s="75">
        <f>95.94-14.36</f>
        <v>81.58</v>
      </c>
      <c r="F82" s="68">
        <f>E82*F81</f>
        <v>274.10879999999997</v>
      </c>
      <c r="G82" s="68"/>
      <c r="H82" s="68"/>
      <c r="I82" s="68"/>
      <c r="J82" s="68"/>
      <c r="K82" s="68"/>
      <c r="L82" s="68"/>
      <c r="M82" s="68"/>
    </row>
    <row r="83" spans="1:14">
      <c r="A83" s="66" t="s">
        <v>277</v>
      </c>
      <c r="B83" s="103" t="s">
        <v>393</v>
      </c>
      <c r="C83" s="81" t="s">
        <v>278</v>
      </c>
      <c r="D83" s="66" t="s">
        <v>329</v>
      </c>
      <c r="E83" s="75">
        <v>206</v>
      </c>
      <c r="F83" s="68">
        <f>E83*F81</f>
        <v>692.16</v>
      </c>
      <c r="G83" s="68"/>
      <c r="H83" s="68"/>
      <c r="I83" s="68"/>
      <c r="J83" s="68"/>
      <c r="K83" s="68"/>
      <c r="L83" s="68"/>
      <c r="M83" s="68"/>
    </row>
    <row r="84" spans="1:14">
      <c r="A84" s="66"/>
      <c r="B84" s="67"/>
      <c r="C84" s="81"/>
      <c r="D84" s="66"/>
      <c r="E84" s="68"/>
      <c r="F84" s="68"/>
      <c r="G84" s="68"/>
      <c r="H84" s="68"/>
      <c r="I84" s="68"/>
      <c r="J84" s="68"/>
      <c r="K84" s="68"/>
      <c r="L84" s="68"/>
      <c r="M84" s="68"/>
    </row>
    <row r="85" spans="1:14">
      <c r="A85" s="66">
        <v>1.1299999999999999</v>
      </c>
      <c r="B85" s="103" t="s">
        <v>394</v>
      </c>
      <c r="C85" s="81" t="s">
        <v>280</v>
      </c>
      <c r="D85" s="66" t="s">
        <v>329</v>
      </c>
      <c r="E85" s="68"/>
      <c r="F85" s="68">
        <v>120</v>
      </c>
      <c r="G85" s="68"/>
      <c r="H85" s="68"/>
      <c r="I85" s="68"/>
      <c r="J85" s="68"/>
      <c r="K85" s="68"/>
      <c r="L85" s="68"/>
      <c r="M85" s="68"/>
    </row>
    <row r="86" spans="1:14">
      <c r="A86" s="66"/>
      <c r="B86" s="118"/>
      <c r="C86" s="81"/>
      <c r="D86" s="66" t="s">
        <v>379</v>
      </c>
      <c r="E86" s="68"/>
      <c r="F86" s="99">
        <f>F85/100</f>
        <v>1.2</v>
      </c>
      <c r="G86" s="68"/>
      <c r="H86" s="68"/>
      <c r="I86" s="68"/>
      <c r="J86" s="68"/>
      <c r="K86" s="68"/>
      <c r="L86" s="68"/>
      <c r="M86" s="68"/>
    </row>
    <row r="87" spans="1:14">
      <c r="A87" s="66" t="s">
        <v>67</v>
      </c>
      <c r="B87" s="67"/>
      <c r="C87" s="81" t="s">
        <v>15</v>
      </c>
      <c r="D87" s="66" t="s">
        <v>1</v>
      </c>
      <c r="E87" s="75">
        <v>7</v>
      </c>
      <c r="F87" s="68">
        <f>E87*F86</f>
        <v>8.4</v>
      </c>
      <c r="G87" s="68"/>
      <c r="H87" s="68"/>
      <c r="I87" s="68"/>
      <c r="J87" s="68"/>
      <c r="K87" s="68"/>
      <c r="L87" s="68"/>
      <c r="M87" s="68"/>
    </row>
    <row r="88" spans="1:14">
      <c r="A88" s="66" t="s">
        <v>249</v>
      </c>
      <c r="B88" s="103" t="s">
        <v>395</v>
      </c>
      <c r="C88" s="81" t="s">
        <v>281</v>
      </c>
      <c r="D88" s="66" t="s">
        <v>329</v>
      </c>
      <c r="E88" s="75">
        <v>115</v>
      </c>
      <c r="F88" s="68">
        <f>E88*F86</f>
        <v>138</v>
      </c>
      <c r="G88" s="75"/>
      <c r="H88" s="68"/>
      <c r="I88" s="68"/>
      <c r="J88" s="68"/>
      <c r="K88" s="68"/>
      <c r="L88" s="68"/>
      <c r="M88" s="68"/>
    </row>
    <row r="89" spans="1:14">
      <c r="A89" s="66"/>
      <c r="B89" s="103" t="s">
        <v>396</v>
      </c>
      <c r="C89" s="104" t="s">
        <v>397</v>
      </c>
      <c r="D89" s="121" t="s">
        <v>398</v>
      </c>
      <c r="E89" s="75">
        <v>400</v>
      </c>
      <c r="F89" s="75">
        <f>E89*F86</f>
        <v>480</v>
      </c>
      <c r="G89" s="75"/>
      <c r="H89" s="75"/>
      <c r="I89" s="75"/>
      <c r="J89" s="75"/>
      <c r="K89" s="75"/>
      <c r="L89" s="75"/>
      <c r="M89" s="75"/>
    </row>
    <row r="90" spans="1:14">
      <c r="A90" s="66"/>
      <c r="B90" s="67"/>
      <c r="C90" s="81"/>
      <c r="D90" s="66"/>
      <c r="E90" s="68"/>
      <c r="F90" s="68"/>
      <c r="G90" s="68"/>
      <c r="H90" s="68"/>
      <c r="I90" s="68"/>
      <c r="J90" s="68"/>
      <c r="K90" s="68"/>
      <c r="L90" s="68"/>
      <c r="M90" s="68"/>
    </row>
    <row r="91" spans="1:14">
      <c r="A91" s="79">
        <v>1.1399999999999999</v>
      </c>
      <c r="B91" s="159" t="s">
        <v>420</v>
      </c>
      <c r="C91" s="81" t="s">
        <v>282</v>
      </c>
      <c r="D91" s="66" t="s">
        <v>321</v>
      </c>
      <c r="E91" s="68"/>
      <c r="F91" s="68">
        <v>72</v>
      </c>
      <c r="G91" s="68"/>
      <c r="H91" s="68"/>
      <c r="I91" s="68"/>
      <c r="J91" s="68"/>
      <c r="K91" s="68"/>
      <c r="L91" s="68"/>
      <c r="M91" s="68"/>
      <c r="N91" s="83"/>
    </row>
    <row r="92" spans="1:14">
      <c r="A92" s="79"/>
      <c r="B92" s="67"/>
      <c r="C92" s="81"/>
      <c r="D92" s="66" t="s">
        <v>399</v>
      </c>
      <c r="E92" s="68"/>
      <c r="F92" s="68">
        <f>F91/10</f>
        <v>7.2</v>
      </c>
      <c r="G92" s="68"/>
      <c r="H92" s="68"/>
      <c r="I92" s="68"/>
      <c r="J92" s="68"/>
      <c r="K92" s="68"/>
      <c r="L92" s="68"/>
      <c r="M92" s="68"/>
      <c r="N92" s="83"/>
    </row>
    <row r="93" spans="1:14">
      <c r="A93" s="66" t="s">
        <v>184</v>
      </c>
      <c r="B93" s="67"/>
      <c r="C93" s="81" t="s">
        <v>15</v>
      </c>
      <c r="D93" s="66" t="s">
        <v>1</v>
      </c>
      <c r="E93" s="68">
        <v>17.8</v>
      </c>
      <c r="F93" s="68">
        <f>E93*F92</f>
        <v>128.16</v>
      </c>
      <c r="G93" s="68"/>
      <c r="H93" s="68"/>
      <c r="I93" s="68"/>
      <c r="J93" s="68"/>
      <c r="K93" s="68"/>
      <c r="L93" s="68"/>
      <c r="M93" s="68"/>
    </row>
    <row r="94" spans="1:14">
      <c r="A94" s="66" t="s">
        <v>203</v>
      </c>
      <c r="B94" s="103" t="s">
        <v>319</v>
      </c>
      <c r="C94" s="104" t="s">
        <v>320</v>
      </c>
      <c r="D94" s="66" t="s">
        <v>321</v>
      </c>
      <c r="E94" s="68">
        <v>11</v>
      </c>
      <c r="F94" s="68">
        <f>E94*F92</f>
        <v>79.2</v>
      </c>
      <c r="G94" s="75"/>
      <c r="H94" s="68"/>
      <c r="I94" s="68"/>
      <c r="J94" s="68"/>
      <c r="K94" s="68"/>
      <c r="L94" s="68"/>
      <c r="M94" s="68"/>
    </row>
    <row r="95" spans="1:14">
      <c r="A95" s="66"/>
      <c r="B95" s="67"/>
      <c r="C95" s="81"/>
      <c r="D95" s="66"/>
      <c r="E95" s="68"/>
      <c r="F95" s="68"/>
      <c r="G95" s="68"/>
      <c r="H95" s="68"/>
      <c r="I95" s="68"/>
      <c r="J95" s="68"/>
      <c r="K95" s="68"/>
      <c r="L95" s="68"/>
      <c r="M95" s="68"/>
    </row>
    <row r="96" spans="1:14">
      <c r="A96" s="66">
        <v>1.1499999999999999</v>
      </c>
      <c r="B96" s="122" t="s">
        <v>369</v>
      </c>
      <c r="C96" s="81" t="s">
        <v>370</v>
      </c>
      <c r="D96" s="66" t="s">
        <v>89</v>
      </c>
      <c r="E96" s="68"/>
      <c r="F96" s="68">
        <v>7</v>
      </c>
      <c r="G96" s="68"/>
      <c r="H96" s="68"/>
      <c r="I96" s="68"/>
      <c r="J96" s="68"/>
      <c r="K96" s="68"/>
      <c r="L96" s="68"/>
      <c r="M96" s="68"/>
      <c r="N96" s="83"/>
    </row>
    <row r="97" spans="1:14">
      <c r="A97" s="66"/>
      <c r="B97" s="126"/>
      <c r="C97" s="81"/>
      <c r="D97" s="66" t="s">
        <v>85</v>
      </c>
      <c r="E97" s="68"/>
      <c r="F97" s="99">
        <f>F96/100</f>
        <v>7.0000000000000007E-2</v>
      </c>
      <c r="G97" s="68"/>
      <c r="H97" s="68"/>
      <c r="I97" s="68"/>
      <c r="J97" s="68"/>
      <c r="K97" s="68"/>
      <c r="L97" s="68"/>
      <c r="M97" s="68"/>
      <c r="N97" s="83"/>
    </row>
    <row r="98" spans="1:14">
      <c r="A98" s="66" t="s">
        <v>283</v>
      </c>
      <c r="B98" s="124"/>
      <c r="C98" s="81" t="s">
        <v>40</v>
      </c>
      <c r="D98" s="66" t="s">
        <v>1</v>
      </c>
      <c r="E98" s="75">
        <v>33.1</v>
      </c>
      <c r="F98" s="68">
        <f>E98*F97</f>
        <v>2.3170000000000002</v>
      </c>
      <c r="G98" s="68"/>
      <c r="H98" s="68"/>
      <c r="I98" s="68"/>
      <c r="J98" s="68"/>
      <c r="K98" s="68"/>
      <c r="L98" s="68"/>
      <c r="M98" s="68"/>
    </row>
    <row r="99" spans="1:14">
      <c r="A99" s="66" t="s">
        <v>284</v>
      </c>
      <c r="B99" s="124"/>
      <c r="C99" s="81" t="s">
        <v>13</v>
      </c>
      <c r="D99" s="66" t="s">
        <v>25</v>
      </c>
      <c r="E99" s="75">
        <v>0.47</v>
      </c>
      <c r="F99" s="68">
        <f>E99*F97</f>
        <v>3.2899999999999999E-2</v>
      </c>
      <c r="G99" s="68"/>
      <c r="H99" s="68"/>
      <c r="I99" s="68"/>
      <c r="J99" s="68"/>
      <c r="K99" s="68"/>
      <c r="L99" s="68"/>
      <c r="M99" s="68"/>
    </row>
    <row r="100" spans="1:14">
      <c r="A100" s="66" t="s">
        <v>285</v>
      </c>
      <c r="B100" s="122" t="s">
        <v>371</v>
      </c>
      <c r="C100" s="129" t="s">
        <v>372</v>
      </c>
      <c r="D100" s="66" t="s">
        <v>89</v>
      </c>
      <c r="E100" s="75" t="s">
        <v>373</v>
      </c>
      <c r="F100" s="68">
        <v>13</v>
      </c>
      <c r="G100" s="75"/>
      <c r="H100" s="68"/>
      <c r="I100" s="68"/>
      <c r="J100" s="68"/>
      <c r="K100" s="68"/>
      <c r="L100" s="68"/>
      <c r="M100" s="68"/>
    </row>
    <row r="101" spans="1:14">
      <c r="A101" s="66" t="s">
        <v>286</v>
      </c>
      <c r="B101" s="124"/>
      <c r="C101" s="81" t="s">
        <v>92</v>
      </c>
      <c r="D101" s="66" t="s">
        <v>25</v>
      </c>
      <c r="E101" s="75">
        <v>10.9</v>
      </c>
      <c r="F101" s="68">
        <f>E101*F97</f>
        <v>0.76300000000000012</v>
      </c>
      <c r="G101" s="68"/>
      <c r="H101" s="68"/>
      <c r="I101" s="68"/>
      <c r="J101" s="68"/>
      <c r="K101" s="68"/>
      <c r="L101" s="68"/>
      <c r="M101" s="68"/>
    </row>
    <row r="102" spans="1:14">
      <c r="A102" s="66"/>
      <c r="B102" s="124"/>
      <c r="C102" s="81"/>
      <c r="D102" s="66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14">
      <c r="A103" s="79">
        <v>1.1599999999999999</v>
      </c>
      <c r="B103" s="67" t="s">
        <v>172</v>
      </c>
      <c r="C103" s="81" t="s">
        <v>226</v>
      </c>
      <c r="D103" s="66" t="s">
        <v>321</v>
      </c>
      <c r="E103" s="68"/>
      <c r="F103" s="68">
        <v>456</v>
      </c>
      <c r="G103" s="68"/>
      <c r="H103" s="68"/>
      <c r="I103" s="68"/>
      <c r="J103" s="68"/>
      <c r="K103" s="68"/>
      <c r="L103" s="68"/>
      <c r="M103" s="68"/>
      <c r="N103" s="83"/>
    </row>
    <row r="104" spans="1:14">
      <c r="A104" s="79"/>
      <c r="B104" s="67"/>
      <c r="C104" s="81"/>
      <c r="D104" s="66" t="s">
        <v>316</v>
      </c>
      <c r="E104" s="68"/>
      <c r="F104" s="99">
        <f>F103/1000</f>
        <v>0.45600000000000002</v>
      </c>
      <c r="G104" s="68"/>
      <c r="H104" s="68"/>
      <c r="I104" s="68"/>
      <c r="J104" s="68"/>
      <c r="K104" s="68"/>
      <c r="L104" s="68"/>
      <c r="M104" s="68"/>
      <c r="N104" s="83"/>
    </row>
    <row r="105" spans="1:14">
      <c r="A105" s="66" t="s">
        <v>287</v>
      </c>
      <c r="B105" s="67"/>
      <c r="C105" s="81" t="s">
        <v>15</v>
      </c>
      <c r="D105" s="66" t="s">
        <v>1</v>
      </c>
      <c r="E105" s="68">
        <v>15.5</v>
      </c>
      <c r="F105" s="68">
        <f>E105*F104</f>
        <v>7.0680000000000005</v>
      </c>
      <c r="G105" s="68"/>
      <c r="H105" s="68"/>
      <c r="I105" s="68"/>
      <c r="J105" s="68"/>
      <c r="K105" s="68"/>
      <c r="L105" s="68"/>
      <c r="M105" s="68"/>
    </row>
    <row r="106" spans="1:14">
      <c r="A106" s="66" t="s">
        <v>288</v>
      </c>
      <c r="B106" s="103" t="s">
        <v>317</v>
      </c>
      <c r="C106" s="80" t="s">
        <v>318</v>
      </c>
      <c r="D106" s="66" t="s">
        <v>24</v>
      </c>
      <c r="E106" s="68">
        <v>34.700000000000003</v>
      </c>
      <c r="F106" s="68">
        <f>E106*F104</f>
        <v>15.823200000000002</v>
      </c>
      <c r="G106" s="68"/>
      <c r="H106" s="68"/>
      <c r="I106" s="68"/>
      <c r="J106" s="68"/>
      <c r="K106" s="68"/>
      <c r="L106" s="68"/>
      <c r="M106" s="68"/>
    </row>
    <row r="107" spans="1:14">
      <c r="A107" s="66" t="s">
        <v>289</v>
      </c>
      <c r="B107" s="67"/>
      <c r="C107" s="81" t="s">
        <v>13</v>
      </c>
      <c r="D107" s="66" t="s">
        <v>25</v>
      </c>
      <c r="E107" s="68">
        <v>2.1</v>
      </c>
      <c r="F107" s="68">
        <f>E107*F104</f>
        <v>0.95760000000000012</v>
      </c>
      <c r="G107" s="68"/>
      <c r="H107" s="68"/>
      <c r="I107" s="68"/>
      <c r="J107" s="68"/>
      <c r="K107" s="68"/>
      <c r="L107" s="68"/>
      <c r="M107" s="68"/>
    </row>
    <row r="108" spans="1:14">
      <c r="A108" s="66" t="s">
        <v>290</v>
      </c>
      <c r="B108" s="103" t="s">
        <v>319</v>
      </c>
      <c r="C108" s="104" t="s">
        <v>320</v>
      </c>
      <c r="D108" s="66" t="s">
        <v>321</v>
      </c>
      <c r="E108" s="68">
        <v>0.04</v>
      </c>
      <c r="F108" s="68">
        <f>E108*F104</f>
        <v>1.8240000000000003E-2</v>
      </c>
      <c r="G108" s="75"/>
      <c r="H108" s="68"/>
      <c r="I108" s="68"/>
      <c r="J108" s="68"/>
      <c r="K108" s="68"/>
      <c r="L108" s="68"/>
      <c r="M108" s="68"/>
    </row>
    <row r="109" spans="1:14">
      <c r="A109" s="66"/>
      <c r="B109" s="67"/>
      <c r="C109" s="81"/>
      <c r="D109" s="66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4">
      <c r="A110" s="66">
        <v>1.17</v>
      </c>
      <c r="B110" s="67" t="s">
        <v>292</v>
      </c>
      <c r="C110" s="81" t="s">
        <v>291</v>
      </c>
      <c r="D110" s="66" t="s">
        <v>321</v>
      </c>
      <c r="E110" s="68"/>
      <c r="F110" s="68">
        <f>F103</f>
        <v>456</v>
      </c>
      <c r="G110" s="68"/>
      <c r="H110" s="68"/>
      <c r="I110" s="68"/>
      <c r="J110" s="68"/>
      <c r="K110" s="68"/>
      <c r="L110" s="68"/>
      <c r="M110" s="68"/>
      <c r="N110" s="83"/>
    </row>
    <row r="111" spans="1:14">
      <c r="A111" s="66"/>
      <c r="B111" s="67"/>
      <c r="C111" s="81"/>
      <c r="D111" s="66" t="s">
        <v>334</v>
      </c>
      <c r="E111" s="68"/>
      <c r="F111" s="99">
        <f>F110/100</f>
        <v>4.5599999999999996</v>
      </c>
      <c r="G111" s="68"/>
      <c r="H111" s="68"/>
      <c r="I111" s="68"/>
      <c r="J111" s="68"/>
      <c r="K111" s="68"/>
      <c r="L111" s="68"/>
      <c r="M111" s="68"/>
      <c r="N111" s="83"/>
    </row>
    <row r="112" spans="1:14">
      <c r="A112" s="66" t="s">
        <v>293</v>
      </c>
      <c r="B112" s="67"/>
      <c r="C112" s="81" t="s">
        <v>15</v>
      </c>
      <c r="D112" s="66" t="s">
        <v>1</v>
      </c>
      <c r="E112" s="68">
        <v>13.4</v>
      </c>
      <c r="F112" s="68">
        <f>E112*F111</f>
        <v>61.103999999999999</v>
      </c>
      <c r="G112" s="68"/>
      <c r="H112" s="68"/>
      <c r="I112" s="68"/>
      <c r="J112" s="68"/>
      <c r="K112" s="68"/>
      <c r="L112" s="68"/>
      <c r="M112" s="68"/>
    </row>
    <row r="113" spans="1:13">
      <c r="A113" s="66" t="s">
        <v>294</v>
      </c>
      <c r="B113" s="103" t="s">
        <v>400</v>
      </c>
      <c r="C113" s="81" t="s">
        <v>295</v>
      </c>
      <c r="D113" s="66" t="s">
        <v>24</v>
      </c>
      <c r="E113" s="68">
        <v>13</v>
      </c>
      <c r="F113" s="68">
        <f>E113*F111</f>
        <v>59.279999999999994</v>
      </c>
      <c r="G113" s="68"/>
      <c r="H113" s="68"/>
      <c r="I113" s="68"/>
      <c r="J113" s="68"/>
      <c r="K113" s="68"/>
      <c r="L113" s="68"/>
      <c r="M113" s="68"/>
    </row>
    <row r="114" spans="1:13">
      <c r="A114" s="66" t="s">
        <v>296</v>
      </c>
      <c r="B114" s="103" t="s">
        <v>401</v>
      </c>
      <c r="C114" s="81" t="s">
        <v>402</v>
      </c>
      <c r="D114" s="66" t="s">
        <v>24</v>
      </c>
      <c r="E114" s="68">
        <f>E113/4</f>
        <v>3.25</v>
      </c>
      <c r="F114" s="68">
        <f>E114*F111</f>
        <v>14.819999999999999</v>
      </c>
      <c r="G114" s="68"/>
      <c r="H114" s="68"/>
      <c r="I114" s="68"/>
      <c r="J114" s="68"/>
      <c r="K114" s="75"/>
      <c r="L114" s="68"/>
      <c r="M114" s="68"/>
    </row>
    <row r="115" spans="1:13">
      <c r="A115" s="66"/>
      <c r="B115" s="67"/>
      <c r="C115" s="81"/>
      <c r="D115" s="66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1:13">
      <c r="A116" s="66">
        <v>1.18</v>
      </c>
      <c r="B116" s="67" t="s">
        <v>84</v>
      </c>
      <c r="C116" s="105" t="s">
        <v>297</v>
      </c>
      <c r="D116" s="66" t="s">
        <v>329</v>
      </c>
      <c r="E116" s="107"/>
      <c r="F116" s="107">
        <v>12.4</v>
      </c>
      <c r="G116" s="130"/>
      <c r="H116" s="106"/>
      <c r="I116" s="130"/>
      <c r="J116" s="106"/>
      <c r="K116" s="130"/>
      <c r="L116" s="102"/>
      <c r="M116" s="68"/>
    </row>
    <row r="117" spans="1:13">
      <c r="A117" s="66" t="s">
        <v>298</v>
      </c>
      <c r="B117" s="67"/>
      <c r="C117" s="105" t="s">
        <v>83</v>
      </c>
      <c r="D117" s="66" t="s">
        <v>1</v>
      </c>
      <c r="E117" s="106">
        <v>2</v>
      </c>
      <c r="F117" s="107">
        <f>F116*E117</f>
        <v>24.8</v>
      </c>
      <c r="G117" s="108"/>
      <c r="H117" s="106"/>
      <c r="I117" s="106"/>
      <c r="J117" s="68"/>
      <c r="K117" s="108"/>
      <c r="L117" s="102"/>
      <c r="M117" s="68"/>
    </row>
    <row r="118" spans="1:13">
      <c r="A118" s="66" t="s">
        <v>299</v>
      </c>
      <c r="B118" s="103" t="s">
        <v>403</v>
      </c>
      <c r="C118" s="105" t="s">
        <v>300</v>
      </c>
      <c r="D118" s="66" t="s">
        <v>329</v>
      </c>
      <c r="E118" s="102">
        <v>1.1000000000000001</v>
      </c>
      <c r="F118" s="112">
        <f>F116*E118</f>
        <v>13.640000000000002</v>
      </c>
      <c r="G118" s="114"/>
      <c r="H118" s="68"/>
      <c r="I118" s="108"/>
      <c r="J118" s="106"/>
      <c r="K118" s="96"/>
      <c r="L118" s="102"/>
      <c r="M118" s="68"/>
    </row>
    <row r="119" spans="1:13">
      <c r="A119" s="66"/>
      <c r="B119" s="67"/>
      <c r="C119" s="105"/>
      <c r="D119" s="66"/>
      <c r="E119" s="106"/>
      <c r="F119" s="107"/>
      <c r="G119" s="106"/>
      <c r="H119" s="68"/>
      <c r="I119" s="108"/>
      <c r="J119" s="106"/>
      <c r="K119" s="96"/>
      <c r="L119" s="102"/>
      <c r="M119" s="68"/>
    </row>
    <row r="120" spans="1:13" s="95" customFormat="1">
      <c r="A120" s="43"/>
      <c r="B120" s="70"/>
      <c r="C120" s="43" t="s">
        <v>4</v>
      </c>
      <c r="D120" s="43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s="84" customFormat="1">
      <c r="A121" s="43"/>
      <c r="B121" s="67"/>
      <c r="C121" s="66"/>
      <c r="D121" s="66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1:13" s="84" customFormat="1">
      <c r="A122" s="43"/>
      <c r="B122" s="67"/>
      <c r="C122" s="66" t="s">
        <v>10</v>
      </c>
      <c r="D122" s="73">
        <v>0.1</v>
      </c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84" customFormat="1">
      <c r="A123" s="43"/>
      <c r="B123" s="67"/>
      <c r="C123" s="66" t="s">
        <v>4</v>
      </c>
      <c r="D123" s="73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1:13" s="84" customFormat="1">
      <c r="A124" s="43"/>
      <c r="B124" s="67"/>
      <c r="C124" s="66" t="s">
        <v>11</v>
      </c>
      <c r="D124" s="73">
        <v>0.08</v>
      </c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1:13" s="84" customFormat="1">
      <c r="A125" s="43"/>
      <c r="B125" s="67"/>
      <c r="C125" s="66"/>
      <c r="D125" s="73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s="95" customFormat="1">
      <c r="A126" s="43"/>
      <c r="B126" s="70"/>
      <c r="C126" s="43" t="s">
        <v>4</v>
      </c>
      <c r="D126" s="43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>
      <c r="B127" s="87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8"/>
    </row>
    <row r="128" spans="1:13">
      <c r="B128" s="87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8"/>
    </row>
    <row r="129" spans="2:13">
      <c r="B129" s="87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8"/>
    </row>
    <row r="130" spans="2:13">
      <c r="B130" s="87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8"/>
    </row>
    <row r="131" spans="2:13">
      <c r="B131" s="87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8"/>
    </row>
    <row r="132" spans="2:13">
      <c r="B132" s="87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8"/>
    </row>
    <row r="133" spans="2:13">
      <c r="B133" s="87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8"/>
    </row>
    <row r="134" spans="2:13">
      <c r="B134" s="87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8"/>
    </row>
    <row r="135" spans="2:13">
      <c r="B135" s="87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8"/>
    </row>
    <row r="136" spans="2:13">
      <c r="B136" s="87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8"/>
    </row>
    <row r="137" spans="2:13">
      <c r="B137" s="87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8"/>
    </row>
    <row r="138" spans="2:13">
      <c r="B138" s="87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8"/>
    </row>
    <row r="139" spans="2:13">
      <c r="B139" s="87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8"/>
    </row>
    <row r="140" spans="2:13">
      <c r="B140" s="87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8"/>
    </row>
    <row r="141" spans="2:13">
      <c r="B141" s="87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8"/>
    </row>
    <row r="142" spans="2:13">
      <c r="B142" s="87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8"/>
    </row>
    <row r="143" spans="2:13">
      <c r="B143" s="87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8"/>
    </row>
    <row r="144" spans="2:13">
      <c r="B144" s="87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8"/>
    </row>
    <row r="145" spans="2:13">
      <c r="B145" s="87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8"/>
    </row>
    <row r="146" spans="2:13">
      <c r="B146" s="87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8"/>
    </row>
    <row r="147" spans="2:13">
      <c r="B147" s="87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8"/>
    </row>
    <row r="148" spans="2:13">
      <c r="B148" s="87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8"/>
    </row>
    <row r="149" spans="2:13">
      <c r="B149" s="87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8"/>
    </row>
    <row r="150" spans="2:13">
      <c r="B150" s="87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8"/>
    </row>
    <row r="151" spans="2:13">
      <c r="B151" s="87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8"/>
    </row>
    <row r="152" spans="2:13">
      <c r="B152" s="87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8"/>
    </row>
    <row r="153" spans="2:13">
      <c r="B153" s="87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8"/>
    </row>
    <row r="154" spans="2:13">
      <c r="B154" s="87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8"/>
    </row>
    <row r="155" spans="2:13">
      <c r="B155" s="87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8"/>
    </row>
    <row r="156" spans="2:13">
      <c r="B156" s="87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8"/>
    </row>
    <row r="157" spans="2:13">
      <c r="B157" s="87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8"/>
    </row>
    <row r="158" spans="2:13">
      <c r="B158" s="87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8"/>
    </row>
    <row r="159" spans="2:13">
      <c r="B159" s="87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8"/>
    </row>
    <row r="160" spans="2:13">
      <c r="B160" s="87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8"/>
    </row>
    <row r="161" spans="2:13">
      <c r="B161" s="87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8"/>
    </row>
    <row r="162" spans="2:13">
      <c r="B162" s="87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8"/>
    </row>
    <row r="163" spans="2:13">
      <c r="B163" s="87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8"/>
    </row>
    <row r="164" spans="2:13">
      <c r="B164" s="87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8"/>
    </row>
    <row r="165" spans="2:13">
      <c r="B165" s="87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8"/>
    </row>
    <row r="166" spans="2:13">
      <c r="B166" s="87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8"/>
    </row>
    <row r="167" spans="2:13">
      <c r="B167" s="87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8"/>
    </row>
    <row r="168" spans="2:13">
      <c r="B168" s="87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9"/>
    </row>
    <row r="169" spans="2:13">
      <c r="B169" s="87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9"/>
    </row>
    <row r="170" spans="2:13">
      <c r="B170" s="87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9"/>
    </row>
    <row r="171" spans="2:13">
      <c r="B171" s="87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9"/>
    </row>
    <row r="172" spans="2:13">
      <c r="B172" s="87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9"/>
    </row>
    <row r="173" spans="2:13">
      <c r="B173" s="87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9"/>
    </row>
    <row r="174" spans="2:13">
      <c r="B174" s="87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9"/>
    </row>
    <row r="175" spans="2:13">
      <c r="B175" s="87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9"/>
    </row>
    <row r="176" spans="2:13">
      <c r="B176" s="87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9"/>
    </row>
    <row r="177" spans="2:13">
      <c r="B177" s="87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9"/>
    </row>
    <row r="178" spans="2:13">
      <c r="B178" s="87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9"/>
    </row>
    <row r="179" spans="2:13">
      <c r="B179" s="87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9"/>
    </row>
    <row r="180" spans="2:13">
      <c r="B180" s="87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9"/>
    </row>
  </sheetData>
  <autoFilter ref="A1:M181"/>
  <mergeCells count="10">
    <mergeCell ref="A2:M2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conditionalFormatting sqref="L80:L88">
    <cfRule type="cellIs" dxfId="4" priority="10" stopIfTrue="1" operator="equal">
      <formula>8223.307275</formula>
    </cfRule>
  </conditionalFormatting>
  <conditionalFormatting sqref="L90">
    <cfRule type="cellIs" dxfId="3" priority="9" stopIfTrue="1" operator="equal">
      <formula>8223.307275</formula>
    </cfRule>
  </conditionalFormatting>
  <conditionalFormatting sqref="L118:L119">
    <cfRule type="cellIs" dxfId="2" priority="7" stopIfTrue="1" operator="equal">
      <formula>8223.307275</formula>
    </cfRule>
  </conditionalFormatting>
  <conditionalFormatting sqref="L116:L117">
    <cfRule type="cellIs" dxfId="1" priority="6" stopIfTrue="1" operator="equal">
      <formula>8223.307275</formula>
    </cfRule>
  </conditionalFormatting>
  <conditionalFormatting sqref="L89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view="pageBreakPreview" topLeftCell="A52" zoomScaleNormal="60" zoomScaleSheetLayoutView="100" workbookViewId="0">
      <selection activeCell="A64" sqref="A64:XFD71"/>
    </sheetView>
  </sheetViews>
  <sheetFormatPr defaultRowHeight="12.75"/>
  <cols>
    <col min="1" max="1" width="6.42578125" style="98" customWidth="1"/>
    <col min="2" max="2" width="13.42578125" style="85" customWidth="1"/>
    <col min="3" max="3" width="57.5703125" style="85" customWidth="1"/>
    <col min="4" max="12" width="10.140625" style="85" customWidth="1"/>
    <col min="13" max="13" width="11.28515625" style="90" customWidth="1"/>
    <col min="14" max="16" width="20.7109375" style="77" customWidth="1"/>
    <col min="17" max="16384" width="9.140625" style="77"/>
  </cols>
  <sheetData>
    <row r="1" spans="1:1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79"/>
    </row>
    <row r="2" spans="1:13" s="92" customFormat="1">
      <c r="A2" s="174" t="s">
        <v>255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92" customFormat="1">
      <c r="A3" s="9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78" customFormat="1" ht="27" customHeight="1">
      <c r="A4" s="172" t="s">
        <v>307</v>
      </c>
      <c r="B4" s="173" t="s">
        <v>308</v>
      </c>
      <c r="C4" s="173" t="s">
        <v>309</v>
      </c>
      <c r="D4" s="173" t="s">
        <v>310</v>
      </c>
      <c r="E4" s="172" t="s">
        <v>311</v>
      </c>
      <c r="F4" s="172"/>
      <c r="G4" s="173" t="s">
        <v>312</v>
      </c>
      <c r="H4" s="173"/>
      <c r="I4" s="173" t="s">
        <v>6</v>
      </c>
      <c r="J4" s="173"/>
      <c r="K4" s="172" t="s">
        <v>313</v>
      </c>
      <c r="L4" s="172"/>
      <c r="M4" s="172" t="s">
        <v>4</v>
      </c>
    </row>
    <row r="5" spans="1:13" s="78" customFormat="1">
      <c r="A5" s="172"/>
      <c r="B5" s="173"/>
      <c r="C5" s="173"/>
      <c r="D5" s="173"/>
      <c r="E5" s="61" t="s">
        <v>314</v>
      </c>
      <c r="F5" s="61" t="s">
        <v>231</v>
      </c>
      <c r="G5" s="61" t="s">
        <v>314</v>
      </c>
      <c r="H5" s="61" t="s">
        <v>231</v>
      </c>
      <c r="I5" s="61" t="s">
        <v>314</v>
      </c>
      <c r="J5" s="61" t="s">
        <v>231</v>
      </c>
      <c r="K5" s="61" t="s">
        <v>314</v>
      </c>
      <c r="L5" s="61" t="s">
        <v>231</v>
      </c>
      <c r="M5" s="172"/>
    </row>
    <row r="6" spans="1:13" s="78" customFormat="1">
      <c r="A6" s="61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3">
        <v>8</v>
      </c>
      <c r="I6" s="61">
        <v>9</v>
      </c>
      <c r="J6" s="63">
        <v>10</v>
      </c>
      <c r="K6" s="61">
        <v>11</v>
      </c>
      <c r="L6" s="63">
        <v>12</v>
      </c>
      <c r="M6" s="63">
        <v>13</v>
      </c>
    </row>
    <row r="7" spans="1:13" s="78" customFormat="1">
      <c r="A7" s="43"/>
      <c r="B7" s="43"/>
      <c r="C7" s="43"/>
      <c r="D7" s="43"/>
      <c r="E7" s="64"/>
      <c r="F7" s="64"/>
      <c r="G7" s="64"/>
      <c r="H7" s="64"/>
      <c r="I7" s="64"/>
      <c r="J7" s="64"/>
      <c r="K7" s="64"/>
      <c r="L7" s="64"/>
      <c r="M7" s="64"/>
    </row>
    <row r="8" spans="1:13" s="78" customFormat="1">
      <c r="A8" s="43"/>
      <c r="B8" s="66"/>
      <c r="C8" s="44" t="s">
        <v>254</v>
      </c>
      <c r="D8" s="66"/>
      <c r="E8" s="68"/>
      <c r="F8" s="68"/>
      <c r="G8" s="68"/>
      <c r="H8" s="68"/>
      <c r="I8" s="68"/>
      <c r="J8" s="68"/>
      <c r="K8" s="68"/>
      <c r="L8" s="68"/>
      <c r="M8" s="68"/>
    </row>
    <row r="9" spans="1:13" s="78" customFormat="1">
      <c r="A9" s="43"/>
      <c r="B9" s="66"/>
      <c r="C9" s="44"/>
      <c r="D9" s="66"/>
      <c r="E9" s="68"/>
      <c r="F9" s="68"/>
      <c r="G9" s="68"/>
      <c r="H9" s="68"/>
      <c r="I9" s="68"/>
      <c r="J9" s="68"/>
      <c r="K9" s="68"/>
      <c r="L9" s="68"/>
      <c r="M9" s="68"/>
    </row>
    <row r="10" spans="1:13">
      <c r="A10" s="66">
        <v>1.1000000000000001</v>
      </c>
      <c r="B10" s="67" t="s">
        <v>404</v>
      </c>
      <c r="C10" s="81" t="s">
        <v>241</v>
      </c>
      <c r="D10" s="139" t="s">
        <v>321</v>
      </c>
      <c r="E10" s="68"/>
      <c r="F10" s="68">
        <v>415</v>
      </c>
      <c r="G10" s="68"/>
      <c r="H10" s="68"/>
      <c r="I10" s="68"/>
      <c r="J10" s="68"/>
      <c r="K10" s="68"/>
      <c r="L10" s="68"/>
      <c r="M10" s="68"/>
    </row>
    <row r="11" spans="1:13">
      <c r="A11" s="66"/>
      <c r="B11" s="140"/>
      <c r="C11" s="141"/>
      <c r="D11" s="139" t="s">
        <v>334</v>
      </c>
      <c r="E11" s="142"/>
      <c r="F11" s="142">
        <f>F10/100</f>
        <v>4.1500000000000004</v>
      </c>
      <c r="G11" s="142"/>
      <c r="H11" s="142"/>
      <c r="I11" s="142"/>
      <c r="J11" s="142"/>
      <c r="K11" s="142"/>
      <c r="L11" s="142"/>
      <c r="M11" s="142"/>
    </row>
    <row r="12" spans="1:13">
      <c r="A12" s="66" t="s">
        <v>0</v>
      </c>
      <c r="B12" s="140"/>
      <c r="C12" s="141" t="s">
        <v>15</v>
      </c>
      <c r="D12" s="139" t="s">
        <v>1</v>
      </c>
      <c r="E12" s="142">
        <v>15</v>
      </c>
      <c r="F12" s="142">
        <f>E12*F11</f>
        <v>62.250000000000007</v>
      </c>
      <c r="G12" s="142"/>
      <c r="H12" s="142"/>
      <c r="I12" s="142"/>
      <c r="J12" s="142"/>
      <c r="K12" s="142"/>
      <c r="L12" s="142"/>
      <c r="M12" s="142"/>
    </row>
    <row r="13" spans="1:13">
      <c r="A13" s="66" t="s">
        <v>174</v>
      </c>
      <c r="B13" s="143" t="s">
        <v>331</v>
      </c>
      <c r="C13" s="141" t="s">
        <v>69</v>
      </c>
      <c r="D13" s="139" t="s">
        <v>24</v>
      </c>
      <c r="E13" s="142">
        <v>2.16</v>
      </c>
      <c r="F13" s="142">
        <f>E13*F11</f>
        <v>8.9640000000000022</v>
      </c>
      <c r="G13" s="142"/>
      <c r="H13" s="142"/>
      <c r="I13" s="142"/>
      <c r="J13" s="142"/>
      <c r="K13" s="142"/>
      <c r="L13" s="142"/>
      <c r="M13" s="142"/>
    </row>
    <row r="14" spans="1:13">
      <c r="A14" s="66" t="s">
        <v>175</v>
      </c>
      <c r="B14" s="143" t="s">
        <v>406</v>
      </c>
      <c r="C14" s="141" t="s">
        <v>77</v>
      </c>
      <c r="D14" s="139" t="s">
        <v>24</v>
      </c>
      <c r="E14" s="142">
        <v>2.73</v>
      </c>
      <c r="F14" s="142">
        <f>E14*F11</f>
        <v>11.329500000000001</v>
      </c>
      <c r="G14" s="142"/>
      <c r="H14" s="142"/>
      <c r="I14" s="142"/>
      <c r="J14" s="142"/>
      <c r="K14" s="142"/>
      <c r="L14" s="142"/>
      <c r="M14" s="142"/>
    </row>
    <row r="15" spans="1:13">
      <c r="A15" s="66" t="s">
        <v>176</v>
      </c>
      <c r="B15" s="143" t="s">
        <v>407</v>
      </c>
      <c r="C15" s="141" t="s">
        <v>70</v>
      </c>
      <c r="D15" s="139" t="s">
        <v>24</v>
      </c>
      <c r="E15" s="142">
        <v>0.97</v>
      </c>
      <c r="F15" s="142">
        <f>E15*F11</f>
        <v>4.0255000000000001</v>
      </c>
      <c r="G15" s="142"/>
      <c r="H15" s="142"/>
      <c r="I15" s="142"/>
      <c r="J15" s="142"/>
      <c r="K15" s="142"/>
      <c r="L15" s="142"/>
      <c r="M15" s="142"/>
    </row>
    <row r="16" spans="1:13">
      <c r="A16" s="66" t="s">
        <v>181</v>
      </c>
      <c r="B16" s="140"/>
      <c r="C16" s="141" t="s">
        <v>71</v>
      </c>
      <c r="D16" s="139" t="s">
        <v>321</v>
      </c>
      <c r="E16" s="142">
        <v>7</v>
      </c>
      <c r="F16" s="142">
        <f>E16*F11</f>
        <v>29.050000000000004</v>
      </c>
      <c r="G16" s="142"/>
      <c r="H16" s="142"/>
      <c r="I16" s="142"/>
      <c r="J16" s="142"/>
      <c r="K16" s="142"/>
      <c r="L16" s="142"/>
      <c r="M16" s="142"/>
    </row>
    <row r="17" spans="1:13">
      <c r="A17" s="66" t="s">
        <v>182</v>
      </c>
      <c r="B17" s="143" t="s">
        <v>348</v>
      </c>
      <c r="C17" s="141" t="s">
        <v>144</v>
      </c>
      <c r="D17" s="139" t="s">
        <v>321</v>
      </c>
      <c r="E17" s="142">
        <v>122</v>
      </c>
      <c r="F17" s="142">
        <f>E17*F11</f>
        <v>506.30000000000007</v>
      </c>
      <c r="G17" s="142"/>
      <c r="H17" s="142"/>
      <c r="I17" s="142"/>
      <c r="J17" s="142"/>
      <c r="K17" s="142"/>
      <c r="L17" s="142"/>
      <c r="M17" s="142"/>
    </row>
    <row r="18" spans="1:13">
      <c r="A18" s="66"/>
      <c r="B18" s="67"/>
      <c r="C18" s="81"/>
      <c r="D18" s="66"/>
      <c r="E18" s="68"/>
      <c r="F18" s="68"/>
      <c r="G18" s="68"/>
      <c r="H18" s="68"/>
      <c r="I18" s="68"/>
      <c r="J18" s="68"/>
      <c r="K18" s="68"/>
      <c r="L18" s="68"/>
      <c r="M18" s="68"/>
    </row>
    <row r="19" spans="1:13">
      <c r="A19" s="66">
        <v>1.2</v>
      </c>
      <c r="B19" s="143" t="s">
        <v>408</v>
      </c>
      <c r="C19" s="141" t="s">
        <v>262</v>
      </c>
      <c r="D19" s="144" t="s">
        <v>89</v>
      </c>
      <c r="E19" s="145"/>
      <c r="F19" s="145">
        <v>490</v>
      </c>
      <c r="G19" s="142"/>
      <c r="H19" s="142"/>
      <c r="I19" s="142"/>
      <c r="J19" s="142"/>
      <c r="K19" s="142"/>
      <c r="L19" s="142"/>
      <c r="M19" s="142"/>
    </row>
    <row r="20" spans="1:13">
      <c r="A20" s="66"/>
      <c r="B20" s="140"/>
      <c r="C20" s="141"/>
      <c r="D20" s="144" t="s">
        <v>334</v>
      </c>
      <c r="E20" s="145">
        <v>0.11</v>
      </c>
      <c r="F20" s="145">
        <f>F19*E20/100</f>
        <v>0.53900000000000003</v>
      </c>
      <c r="G20" s="142"/>
      <c r="H20" s="142"/>
      <c r="I20" s="142"/>
      <c r="J20" s="142"/>
      <c r="K20" s="142"/>
      <c r="L20" s="142"/>
      <c r="M20" s="142"/>
    </row>
    <row r="21" spans="1:13">
      <c r="A21" s="66" t="s">
        <v>21</v>
      </c>
      <c r="B21" s="140"/>
      <c r="C21" s="141" t="s">
        <v>15</v>
      </c>
      <c r="D21" s="139" t="s">
        <v>1</v>
      </c>
      <c r="E21" s="145">
        <v>854</v>
      </c>
      <c r="F21" s="142">
        <f>E21*F20</f>
        <v>460.30600000000004</v>
      </c>
      <c r="G21" s="142"/>
      <c r="H21" s="142"/>
      <c r="I21" s="142"/>
      <c r="J21" s="142"/>
      <c r="K21" s="142"/>
      <c r="L21" s="142"/>
      <c r="M21" s="142"/>
    </row>
    <row r="22" spans="1:13">
      <c r="A22" s="66" t="s">
        <v>35</v>
      </c>
      <c r="B22" s="140"/>
      <c r="C22" s="141" t="s">
        <v>13</v>
      </c>
      <c r="D22" s="139" t="s">
        <v>25</v>
      </c>
      <c r="E22" s="145">
        <v>106</v>
      </c>
      <c r="F22" s="142">
        <f>E22*F20</f>
        <v>57.134</v>
      </c>
      <c r="G22" s="142"/>
      <c r="H22" s="142"/>
      <c r="I22" s="142"/>
      <c r="J22" s="142"/>
      <c r="K22" s="142"/>
      <c r="L22" s="142"/>
      <c r="M22" s="142"/>
    </row>
    <row r="23" spans="1:13">
      <c r="A23" s="66" t="s">
        <v>36</v>
      </c>
      <c r="B23" s="143" t="s">
        <v>409</v>
      </c>
      <c r="C23" s="141" t="s">
        <v>100</v>
      </c>
      <c r="D23" s="139" t="s">
        <v>321</v>
      </c>
      <c r="E23" s="145">
        <v>101.5</v>
      </c>
      <c r="F23" s="142">
        <f>E23*F20</f>
        <v>54.708500000000001</v>
      </c>
      <c r="G23" s="142"/>
      <c r="H23" s="142"/>
      <c r="I23" s="142"/>
      <c r="J23" s="142"/>
      <c r="K23" s="142"/>
      <c r="L23" s="142"/>
      <c r="M23" s="142"/>
    </row>
    <row r="24" spans="1:13">
      <c r="A24" s="66"/>
      <c r="B24" s="143" t="s">
        <v>410</v>
      </c>
      <c r="C24" s="146" t="s">
        <v>411</v>
      </c>
      <c r="D24" s="144" t="s">
        <v>23</v>
      </c>
      <c r="E24" s="145">
        <v>0.33</v>
      </c>
      <c r="F24" s="147">
        <f>F19*E24/1000</f>
        <v>0.16170000000000001</v>
      </c>
      <c r="G24" s="145"/>
      <c r="H24" s="145"/>
      <c r="I24" s="145"/>
      <c r="J24" s="145"/>
      <c r="K24" s="145"/>
      <c r="L24" s="145"/>
      <c r="M24" s="145"/>
    </row>
    <row r="25" spans="1:13">
      <c r="A25" s="66" t="s">
        <v>37</v>
      </c>
      <c r="B25" s="143" t="s">
        <v>356</v>
      </c>
      <c r="C25" s="141" t="s">
        <v>116</v>
      </c>
      <c r="D25" s="139" t="s">
        <v>23</v>
      </c>
      <c r="E25" s="145">
        <v>5.33</v>
      </c>
      <c r="F25" s="142">
        <f>F19*E25/1000</f>
        <v>2.6116999999999999</v>
      </c>
      <c r="G25" s="145"/>
      <c r="H25" s="142"/>
      <c r="I25" s="142"/>
      <c r="J25" s="142"/>
      <c r="K25" s="142"/>
      <c r="L25" s="142"/>
      <c r="M25" s="142"/>
    </row>
    <row r="26" spans="1:13">
      <c r="A26" s="66" t="s">
        <v>38</v>
      </c>
      <c r="B26" s="148" t="s">
        <v>357</v>
      </c>
      <c r="C26" s="149" t="s">
        <v>358</v>
      </c>
      <c r="D26" s="139" t="s">
        <v>329</v>
      </c>
      <c r="E26" s="145">
        <v>140</v>
      </c>
      <c r="F26" s="142">
        <f>E26*F20</f>
        <v>75.460000000000008</v>
      </c>
      <c r="G26" s="142"/>
      <c r="H26" s="142"/>
      <c r="I26" s="142"/>
      <c r="J26" s="142"/>
      <c r="K26" s="142"/>
      <c r="L26" s="142"/>
      <c r="M26" s="142"/>
    </row>
    <row r="27" spans="1:13">
      <c r="A27" s="66" t="s">
        <v>39</v>
      </c>
      <c r="B27" s="148" t="s">
        <v>359</v>
      </c>
      <c r="C27" s="149" t="s">
        <v>412</v>
      </c>
      <c r="D27" s="139" t="s">
        <v>321</v>
      </c>
      <c r="E27" s="145">
        <v>1.45</v>
      </c>
      <c r="F27" s="142">
        <f>E27*F20</f>
        <v>0.78155000000000008</v>
      </c>
      <c r="G27" s="142"/>
      <c r="H27" s="142"/>
      <c r="I27" s="142"/>
      <c r="J27" s="142"/>
      <c r="K27" s="142"/>
      <c r="L27" s="142"/>
      <c r="M27" s="142"/>
    </row>
    <row r="28" spans="1:13">
      <c r="A28" s="66"/>
      <c r="B28" s="148" t="s">
        <v>361</v>
      </c>
      <c r="C28" s="149" t="s">
        <v>362</v>
      </c>
      <c r="D28" s="144" t="s">
        <v>363</v>
      </c>
      <c r="E28" s="145">
        <v>250</v>
      </c>
      <c r="F28" s="145">
        <f>E28*F20</f>
        <v>134.75</v>
      </c>
      <c r="G28" s="145"/>
      <c r="H28" s="145"/>
      <c r="I28" s="145"/>
      <c r="J28" s="145"/>
      <c r="K28" s="145"/>
      <c r="L28" s="145"/>
      <c r="M28" s="145"/>
    </row>
    <row r="29" spans="1:13">
      <c r="A29" s="66" t="s">
        <v>205</v>
      </c>
      <c r="B29" s="140"/>
      <c r="C29" s="141" t="s">
        <v>14</v>
      </c>
      <c r="D29" s="139" t="s">
        <v>25</v>
      </c>
      <c r="E29" s="145">
        <v>74</v>
      </c>
      <c r="F29" s="142">
        <f>E29*F20</f>
        <v>39.886000000000003</v>
      </c>
      <c r="G29" s="142"/>
      <c r="H29" s="142"/>
      <c r="I29" s="142"/>
      <c r="J29" s="142"/>
      <c r="K29" s="142"/>
      <c r="L29" s="142"/>
      <c r="M29" s="142"/>
    </row>
    <row r="30" spans="1:13">
      <c r="A30" s="66"/>
      <c r="B30" s="124"/>
      <c r="C30" s="81"/>
      <c r="D30" s="66"/>
      <c r="E30" s="68"/>
      <c r="F30" s="68"/>
      <c r="G30" s="68"/>
      <c r="H30" s="68"/>
      <c r="I30" s="68"/>
      <c r="J30" s="68"/>
      <c r="K30" s="68"/>
      <c r="L30" s="68"/>
      <c r="M30" s="68"/>
    </row>
    <row r="31" spans="1:13">
      <c r="A31" s="66"/>
      <c r="B31" s="124"/>
      <c r="C31" s="80"/>
      <c r="D31" s="66"/>
      <c r="E31" s="68"/>
      <c r="F31" s="68"/>
      <c r="G31" s="68"/>
      <c r="H31" s="68"/>
      <c r="I31" s="68"/>
      <c r="J31" s="68"/>
      <c r="K31" s="68"/>
      <c r="L31" s="68"/>
      <c r="M31" s="68"/>
    </row>
    <row r="32" spans="1:13">
      <c r="A32" s="66">
        <v>1.4</v>
      </c>
      <c r="B32" s="143" t="s">
        <v>408</v>
      </c>
      <c r="C32" s="141" t="s">
        <v>234</v>
      </c>
      <c r="D32" s="144" t="s">
        <v>89</v>
      </c>
      <c r="E32" s="145"/>
      <c r="F32" s="145">
        <v>2029</v>
      </c>
      <c r="G32" s="142"/>
      <c r="H32" s="142"/>
      <c r="I32" s="142"/>
      <c r="J32" s="142"/>
      <c r="K32" s="142"/>
      <c r="L32" s="142"/>
      <c r="M32" s="142"/>
    </row>
    <row r="33" spans="1:13">
      <c r="A33" s="66"/>
      <c r="B33" s="140"/>
      <c r="C33" s="141"/>
      <c r="D33" s="144" t="s">
        <v>334</v>
      </c>
      <c r="E33" s="145">
        <v>0.04</v>
      </c>
      <c r="F33" s="145">
        <f>F32*E33/100</f>
        <v>0.81159999999999999</v>
      </c>
      <c r="G33" s="142"/>
      <c r="H33" s="142"/>
      <c r="I33" s="142"/>
      <c r="J33" s="142"/>
      <c r="K33" s="142"/>
      <c r="L33" s="142"/>
      <c r="M33" s="142"/>
    </row>
    <row r="34" spans="1:13">
      <c r="A34" s="66" t="s">
        <v>22</v>
      </c>
      <c r="B34" s="140"/>
      <c r="C34" s="141" t="s">
        <v>15</v>
      </c>
      <c r="D34" s="139" t="s">
        <v>1</v>
      </c>
      <c r="E34" s="145">
        <v>854</v>
      </c>
      <c r="F34" s="142">
        <f>E34*F33</f>
        <v>693.10640000000001</v>
      </c>
      <c r="G34" s="142"/>
      <c r="H34" s="142"/>
      <c r="I34" s="142"/>
      <c r="J34" s="142"/>
      <c r="K34" s="142"/>
      <c r="L34" s="142"/>
      <c r="M34" s="142"/>
    </row>
    <row r="35" spans="1:13">
      <c r="A35" s="66" t="s">
        <v>200</v>
      </c>
      <c r="B35" s="140"/>
      <c r="C35" s="141" t="s">
        <v>13</v>
      </c>
      <c r="D35" s="139" t="s">
        <v>25</v>
      </c>
      <c r="E35" s="145">
        <v>106</v>
      </c>
      <c r="F35" s="142">
        <f>E35*F33</f>
        <v>86.029600000000002</v>
      </c>
      <c r="G35" s="142"/>
      <c r="H35" s="142"/>
      <c r="I35" s="142"/>
      <c r="J35" s="142"/>
      <c r="K35" s="142"/>
      <c r="L35" s="142"/>
      <c r="M35" s="142"/>
    </row>
    <row r="36" spans="1:13">
      <c r="A36" s="66" t="s">
        <v>201</v>
      </c>
      <c r="B36" s="143" t="s">
        <v>409</v>
      </c>
      <c r="C36" s="141" t="s">
        <v>100</v>
      </c>
      <c r="D36" s="139" t="s">
        <v>321</v>
      </c>
      <c r="E36" s="145">
        <v>101.5</v>
      </c>
      <c r="F36" s="142">
        <f>E36*F33</f>
        <v>82.377399999999994</v>
      </c>
      <c r="G36" s="142"/>
      <c r="H36" s="142"/>
      <c r="I36" s="142"/>
      <c r="J36" s="142"/>
      <c r="K36" s="142"/>
      <c r="L36" s="142"/>
      <c r="M36" s="142"/>
    </row>
    <row r="37" spans="1:13">
      <c r="A37" s="66"/>
      <c r="B37" s="143" t="s">
        <v>410</v>
      </c>
      <c r="C37" s="146" t="s">
        <v>411</v>
      </c>
      <c r="D37" s="144" t="s">
        <v>23</v>
      </c>
      <c r="E37" s="145">
        <v>0.2</v>
      </c>
      <c r="F37" s="147">
        <f>F32*E37/1000</f>
        <v>0.40579999999999999</v>
      </c>
      <c r="G37" s="145"/>
      <c r="H37" s="145"/>
      <c r="I37" s="145"/>
      <c r="J37" s="145"/>
      <c r="K37" s="145"/>
      <c r="L37" s="145"/>
      <c r="M37" s="145"/>
    </row>
    <row r="38" spans="1:13">
      <c r="A38" s="66" t="s">
        <v>202</v>
      </c>
      <c r="B38" s="143" t="s">
        <v>356</v>
      </c>
      <c r="C38" s="141" t="s">
        <v>116</v>
      </c>
      <c r="D38" s="139" t="s">
        <v>23</v>
      </c>
      <c r="E38" s="142">
        <v>3.6</v>
      </c>
      <c r="F38" s="142">
        <f>F32*E38/1000</f>
        <v>7.3044000000000002</v>
      </c>
      <c r="G38" s="145"/>
      <c r="H38" s="142"/>
      <c r="I38" s="142"/>
      <c r="J38" s="142"/>
      <c r="K38" s="142"/>
      <c r="L38" s="142"/>
      <c r="M38" s="142"/>
    </row>
    <row r="39" spans="1:13">
      <c r="A39" s="66" t="s">
        <v>206</v>
      </c>
      <c r="B39" s="148" t="s">
        <v>357</v>
      </c>
      <c r="C39" s="149" t="s">
        <v>358</v>
      </c>
      <c r="D39" s="139" t="s">
        <v>329</v>
      </c>
      <c r="E39" s="145">
        <v>140</v>
      </c>
      <c r="F39" s="142">
        <f>E39*F33</f>
        <v>113.624</v>
      </c>
      <c r="G39" s="142"/>
      <c r="H39" s="142"/>
      <c r="I39" s="142"/>
      <c r="J39" s="142"/>
      <c r="K39" s="142"/>
      <c r="L39" s="142"/>
      <c r="M39" s="142"/>
    </row>
    <row r="40" spans="1:13">
      <c r="A40" s="66" t="s">
        <v>207</v>
      </c>
      <c r="B40" s="148" t="s">
        <v>359</v>
      </c>
      <c r="C40" s="149" t="s">
        <v>412</v>
      </c>
      <c r="D40" s="139" t="s">
        <v>321</v>
      </c>
      <c r="E40" s="145">
        <v>1.45</v>
      </c>
      <c r="F40" s="142">
        <f>E40*F33</f>
        <v>1.17682</v>
      </c>
      <c r="G40" s="142"/>
      <c r="H40" s="142"/>
      <c r="I40" s="142"/>
      <c r="J40" s="142"/>
      <c r="K40" s="142"/>
      <c r="L40" s="142"/>
      <c r="M40" s="142"/>
    </row>
    <row r="41" spans="1:13">
      <c r="A41" s="66"/>
      <c r="B41" s="148" t="s">
        <v>361</v>
      </c>
      <c r="C41" s="149" t="s">
        <v>362</v>
      </c>
      <c r="D41" s="144" t="s">
        <v>363</v>
      </c>
      <c r="E41" s="145">
        <v>250</v>
      </c>
      <c r="F41" s="145">
        <f>E41*F33</f>
        <v>202.9</v>
      </c>
      <c r="G41" s="145"/>
      <c r="H41" s="145"/>
      <c r="I41" s="145"/>
      <c r="J41" s="145"/>
      <c r="K41" s="145"/>
      <c r="L41" s="145"/>
      <c r="M41" s="145"/>
    </row>
    <row r="42" spans="1:13">
      <c r="A42" s="66" t="s">
        <v>208</v>
      </c>
      <c r="B42" s="140"/>
      <c r="C42" s="141" t="s">
        <v>14</v>
      </c>
      <c r="D42" s="139" t="s">
        <v>25</v>
      </c>
      <c r="E42" s="145">
        <v>74</v>
      </c>
      <c r="F42" s="142">
        <f>E42*F33</f>
        <v>60.058399999999999</v>
      </c>
      <c r="G42" s="142"/>
      <c r="H42" s="142"/>
      <c r="I42" s="142"/>
      <c r="J42" s="142"/>
      <c r="K42" s="142"/>
      <c r="L42" s="142"/>
      <c r="M42" s="142"/>
    </row>
    <row r="43" spans="1:13">
      <c r="A43" s="66"/>
      <c r="B43" s="124"/>
      <c r="C43" s="81"/>
      <c r="D43" s="66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66"/>
      <c r="B44" s="124"/>
      <c r="C44" s="80"/>
      <c r="D44" s="66"/>
      <c r="E44" s="68"/>
      <c r="F44" s="68"/>
      <c r="G44" s="68"/>
      <c r="H44" s="68"/>
      <c r="I44" s="68"/>
      <c r="J44" s="68"/>
      <c r="K44" s="68"/>
      <c r="L44" s="68"/>
      <c r="M44" s="68"/>
    </row>
    <row r="45" spans="1:13">
      <c r="A45" s="66">
        <v>1.6</v>
      </c>
      <c r="B45" s="67" t="s">
        <v>404</v>
      </c>
      <c r="C45" s="81" t="s">
        <v>235</v>
      </c>
      <c r="D45" s="139" t="s">
        <v>321</v>
      </c>
      <c r="E45" s="68"/>
      <c r="F45" s="68">
        <v>258</v>
      </c>
      <c r="G45" s="68"/>
      <c r="H45" s="68"/>
      <c r="I45" s="68"/>
      <c r="J45" s="68"/>
      <c r="K45" s="68"/>
      <c r="L45" s="68"/>
      <c r="M45" s="68"/>
    </row>
    <row r="46" spans="1:13">
      <c r="A46" s="66"/>
      <c r="B46" s="140"/>
      <c r="C46" s="141"/>
      <c r="D46" s="139" t="s">
        <v>334</v>
      </c>
      <c r="E46" s="142"/>
      <c r="F46" s="150">
        <f>F45/100</f>
        <v>2.58</v>
      </c>
      <c r="G46" s="142"/>
      <c r="H46" s="142"/>
      <c r="I46" s="142"/>
      <c r="J46" s="142"/>
      <c r="K46" s="142"/>
      <c r="L46" s="142"/>
      <c r="M46" s="142"/>
    </row>
    <row r="47" spans="1:13">
      <c r="A47" s="66" t="s">
        <v>56</v>
      </c>
      <c r="B47" s="140"/>
      <c r="C47" s="141" t="s">
        <v>15</v>
      </c>
      <c r="D47" s="139" t="s">
        <v>1</v>
      </c>
      <c r="E47" s="142">
        <v>15</v>
      </c>
      <c r="F47" s="142">
        <f>E47*F46</f>
        <v>38.700000000000003</v>
      </c>
      <c r="G47" s="142"/>
      <c r="H47" s="142"/>
      <c r="I47" s="142"/>
      <c r="J47" s="142"/>
      <c r="K47" s="142"/>
      <c r="L47" s="142"/>
      <c r="M47" s="142"/>
    </row>
    <row r="48" spans="1:13">
      <c r="A48" s="66" t="s">
        <v>57</v>
      </c>
      <c r="B48" s="143" t="s">
        <v>331</v>
      </c>
      <c r="C48" s="141" t="s">
        <v>69</v>
      </c>
      <c r="D48" s="139" t="s">
        <v>24</v>
      </c>
      <c r="E48" s="142">
        <v>2.16</v>
      </c>
      <c r="F48" s="142">
        <f>E48*F46</f>
        <v>5.5728000000000009</v>
      </c>
      <c r="G48" s="142"/>
      <c r="H48" s="142"/>
      <c r="I48" s="142"/>
      <c r="J48" s="142"/>
      <c r="K48" s="142"/>
      <c r="L48" s="142"/>
      <c r="M48" s="142"/>
    </row>
    <row r="49" spans="1:13">
      <c r="A49" s="66" t="s">
        <v>185</v>
      </c>
      <c r="B49" s="143" t="s">
        <v>406</v>
      </c>
      <c r="C49" s="141" t="s">
        <v>77</v>
      </c>
      <c r="D49" s="139" t="s">
        <v>24</v>
      </c>
      <c r="E49" s="142">
        <v>2.73</v>
      </c>
      <c r="F49" s="142">
        <f>E49*F46</f>
        <v>7.0434000000000001</v>
      </c>
      <c r="G49" s="142"/>
      <c r="H49" s="142"/>
      <c r="I49" s="142"/>
      <c r="J49" s="142"/>
      <c r="K49" s="142"/>
      <c r="L49" s="142"/>
      <c r="M49" s="142"/>
    </row>
    <row r="50" spans="1:13">
      <c r="A50" s="66" t="s">
        <v>186</v>
      </c>
      <c r="B50" s="143" t="s">
        <v>407</v>
      </c>
      <c r="C50" s="141" t="s">
        <v>70</v>
      </c>
      <c r="D50" s="139" t="s">
        <v>24</v>
      </c>
      <c r="E50" s="142">
        <v>0.97</v>
      </c>
      <c r="F50" s="142">
        <f>E50*F46</f>
        <v>2.5026000000000002</v>
      </c>
      <c r="G50" s="142"/>
      <c r="H50" s="142"/>
      <c r="I50" s="142"/>
      <c r="J50" s="142"/>
      <c r="K50" s="142"/>
      <c r="L50" s="142"/>
      <c r="M50" s="142"/>
    </row>
    <row r="51" spans="1:13">
      <c r="A51" s="66" t="s">
        <v>187</v>
      </c>
      <c r="B51" s="140"/>
      <c r="C51" s="141" t="s">
        <v>71</v>
      </c>
      <c r="D51" s="139" t="s">
        <v>321</v>
      </c>
      <c r="E51" s="142">
        <v>7</v>
      </c>
      <c r="F51" s="142">
        <f>E51*F46</f>
        <v>18.060000000000002</v>
      </c>
      <c r="G51" s="142"/>
      <c r="H51" s="142"/>
      <c r="I51" s="142"/>
      <c r="J51" s="142"/>
      <c r="K51" s="142"/>
      <c r="L51" s="142"/>
      <c r="M51" s="142"/>
    </row>
    <row r="52" spans="1:13">
      <c r="A52" s="66" t="s">
        <v>188</v>
      </c>
      <c r="B52" s="143" t="s">
        <v>413</v>
      </c>
      <c r="C52" s="141" t="s">
        <v>240</v>
      </c>
      <c r="D52" s="139" t="s">
        <v>321</v>
      </c>
      <c r="E52" s="142">
        <f>122*95%</f>
        <v>115.89999999999999</v>
      </c>
      <c r="F52" s="142">
        <f>E52*F46</f>
        <v>299.02199999999999</v>
      </c>
      <c r="G52" s="142"/>
      <c r="H52" s="142"/>
      <c r="I52" s="142"/>
      <c r="J52" s="142"/>
      <c r="K52" s="142"/>
      <c r="L52" s="142"/>
      <c r="M52" s="142"/>
    </row>
    <row r="53" spans="1:13">
      <c r="A53" s="66" t="s">
        <v>189</v>
      </c>
      <c r="B53" s="143" t="s">
        <v>414</v>
      </c>
      <c r="C53" s="141" t="s">
        <v>236</v>
      </c>
      <c r="D53" s="139" t="s">
        <v>23</v>
      </c>
      <c r="E53" s="142">
        <f>122*5%</f>
        <v>6.1000000000000005</v>
      </c>
      <c r="F53" s="142">
        <f>F46*E53</f>
        <v>15.738000000000001</v>
      </c>
      <c r="G53" s="145"/>
      <c r="H53" s="142"/>
      <c r="I53" s="142"/>
      <c r="J53" s="142"/>
      <c r="K53" s="142"/>
      <c r="L53" s="142"/>
      <c r="M53" s="142"/>
    </row>
    <row r="54" spans="1:13">
      <c r="A54" s="66"/>
      <c r="B54" s="67"/>
      <c r="C54" s="81"/>
      <c r="D54" s="66"/>
      <c r="E54" s="68"/>
      <c r="F54" s="68"/>
      <c r="G54" s="68"/>
      <c r="H54" s="68"/>
      <c r="I54" s="68"/>
      <c r="J54" s="68"/>
      <c r="K54" s="68"/>
      <c r="L54" s="68"/>
      <c r="M54" s="68"/>
    </row>
    <row r="55" spans="1:13">
      <c r="A55" s="66">
        <v>1.7</v>
      </c>
      <c r="B55" s="124" t="s">
        <v>405</v>
      </c>
      <c r="C55" s="81" t="s">
        <v>238</v>
      </c>
      <c r="D55" s="139" t="s">
        <v>329</v>
      </c>
      <c r="E55" s="68"/>
      <c r="F55" s="68">
        <v>2580</v>
      </c>
      <c r="G55" s="68"/>
      <c r="H55" s="68"/>
      <c r="I55" s="68"/>
      <c r="J55" s="68"/>
      <c r="K55" s="68"/>
      <c r="L55" s="68"/>
      <c r="M55" s="68"/>
    </row>
    <row r="56" spans="1:13">
      <c r="A56" s="66"/>
      <c r="B56" s="140"/>
      <c r="C56" s="141"/>
      <c r="D56" s="139" t="s">
        <v>385</v>
      </c>
      <c r="E56" s="142"/>
      <c r="F56" s="150">
        <f>F55/1000</f>
        <v>2.58</v>
      </c>
      <c r="G56" s="142"/>
      <c r="H56" s="142"/>
      <c r="I56" s="142"/>
      <c r="J56" s="142"/>
      <c r="K56" s="142"/>
      <c r="L56" s="142"/>
      <c r="M56" s="142"/>
    </row>
    <row r="57" spans="1:13">
      <c r="A57" s="66" t="s">
        <v>58</v>
      </c>
      <c r="B57" s="140"/>
      <c r="C57" s="141" t="s">
        <v>15</v>
      </c>
      <c r="D57" s="139" t="s">
        <v>1</v>
      </c>
      <c r="E57" s="142">
        <v>737</v>
      </c>
      <c r="F57" s="142">
        <f>ROUND(E57*F56,2)</f>
        <v>1901.46</v>
      </c>
      <c r="G57" s="142"/>
      <c r="H57" s="142"/>
      <c r="I57" s="142"/>
      <c r="J57" s="142"/>
      <c r="K57" s="142"/>
      <c r="L57" s="142"/>
      <c r="M57" s="142"/>
    </row>
    <row r="58" spans="1:13">
      <c r="A58" s="66" t="s">
        <v>59</v>
      </c>
      <c r="B58" s="143" t="s">
        <v>407</v>
      </c>
      <c r="C58" s="141" t="s">
        <v>70</v>
      </c>
      <c r="D58" s="139" t="s">
        <v>24</v>
      </c>
      <c r="E58" s="142">
        <v>15.3</v>
      </c>
      <c r="F58" s="142">
        <f>ROUND(E58*F56,1)</f>
        <v>39.5</v>
      </c>
      <c r="G58" s="142"/>
      <c r="H58" s="142"/>
      <c r="I58" s="142"/>
      <c r="J58" s="142"/>
      <c r="K58" s="142"/>
      <c r="L58" s="142"/>
      <c r="M58" s="142"/>
    </row>
    <row r="59" spans="1:13">
      <c r="A59" s="66" t="s">
        <v>258</v>
      </c>
      <c r="B59" s="143" t="s">
        <v>415</v>
      </c>
      <c r="C59" s="141" t="s">
        <v>416</v>
      </c>
      <c r="D59" s="144" t="s">
        <v>321</v>
      </c>
      <c r="E59" s="145">
        <f>8+123</f>
        <v>131</v>
      </c>
      <c r="F59" s="142">
        <f>ROUND(E59*F56,1)</f>
        <v>338</v>
      </c>
      <c r="G59" s="142"/>
      <c r="H59" s="142"/>
      <c r="I59" s="142"/>
      <c r="J59" s="142"/>
      <c r="K59" s="142"/>
      <c r="L59" s="142"/>
      <c r="M59" s="142"/>
    </row>
    <row r="60" spans="1:13">
      <c r="A60" s="66" t="s">
        <v>259</v>
      </c>
      <c r="B60" s="143" t="s">
        <v>417</v>
      </c>
      <c r="C60" s="141" t="s">
        <v>237</v>
      </c>
      <c r="D60" s="139" t="s">
        <v>321</v>
      </c>
      <c r="E60" s="142">
        <v>18.8</v>
      </c>
      <c r="F60" s="142">
        <f>ROUND(E60*F56,2)</f>
        <v>48.5</v>
      </c>
      <c r="G60" s="142"/>
      <c r="H60" s="142"/>
      <c r="I60" s="142"/>
      <c r="J60" s="142"/>
      <c r="K60" s="142"/>
      <c r="L60" s="142"/>
      <c r="M60" s="142"/>
    </row>
    <row r="61" spans="1:13">
      <c r="A61" s="66" t="s">
        <v>263</v>
      </c>
      <c r="B61" s="140"/>
      <c r="C61" s="141" t="s">
        <v>14</v>
      </c>
      <c r="D61" s="139" t="s">
        <v>25</v>
      </c>
      <c r="E61" s="142">
        <v>3.32</v>
      </c>
      <c r="F61" s="142">
        <f>ROUND(E61*F56,1)</f>
        <v>8.6</v>
      </c>
      <c r="G61" s="142"/>
      <c r="H61" s="142"/>
      <c r="I61" s="142"/>
      <c r="J61" s="142"/>
      <c r="K61" s="142"/>
      <c r="L61" s="142"/>
      <c r="M61" s="142"/>
    </row>
    <row r="62" spans="1:13">
      <c r="A62" s="66"/>
      <c r="B62" s="143" t="s">
        <v>413</v>
      </c>
      <c r="C62" s="146" t="s">
        <v>418</v>
      </c>
      <c r="D62" s="144" t="s">
        <v>321</v>
      </c>
      <c r="E62" s="145">
        <v>9.1999999999999993</v>
      </c>
      <c r="F62" s="145">
        <f>E62*F56</f>
        <v>23.735999999999997</v>
      </c>
      <c r="G62" s="145"/>
      <c r="H62" s="145"/>
      <c r="I62" s="145"/>
      <c r="J62" s="145"/>
      <c r="K62" s="145"/>
      <c r="L62" s="145"/>
      <c r="M62" s="145"/>
    </row>
    <row r="63" spans="1:13">
      <c r="A63" s="66"/>
      <c r="B63" s="124"/>
      <c r="C63" s="80"/>
      <c r="D63" s="66"/>
      <c r="E63" s="68"/>
      <c r="F63" s="68"/>
      <c r="G63" s="68"/>
      <c r="H63" s="68"/>
      <c r="I63" s="68"/>
      <c r="J63" s="68"/>
      <c r="K63" s="68"/>
      <c r="L63" s="68"/>
      <c r="M63" s="68"/>
    </row>
    <row r="64" spans="1:13">
      <c r="A64" s="66"/>
      <c r="B64" s="67"/>
      <c r="C64" s="81"/>
      <c r="D64" s="66"/>
      <c r="E64" s="68"/>
      <c r="F64" s="68"/>
      <c r="G64" s="68"/>
      <c r="H64" s="68"/>
      <c r="I64" s="68"/>
      <c r="J64" s="68"/>
      <c r="K64" s="68"/>
      <c r="L64" s="68"/>
      <c r="M64" s="68"/>
    </row>
    <row r="65" spans="1:13" s="95" customFormat="1">
      <c r="A65" s="52"/>
      <c r="B65" s="70"/>
      <c r="C65" s="52" t="s">
        <v>4</v>
      </c>
      <c r="D65" s="52"/>
      <c r="E65" s="64"/>
      <c r="F65" s="64"/>
      <c r="G65" s="64"/>
      <c r="H65" s="64"/>
      <c r="I65" s="64"/>
      <c r="J65" s="64"/>
      <c r="K65" s="64"/>
      <c r="L65" s="64"/>
      <c r="M65" s="64"/>
    </row>
    <row r="66" spans="1:13" s="84" customFormat="1">
      <c r="A66" s="52"/>
      <c r="B66" s="67"/>
      <c r="C66" s="66"/>
      <c r="D66" s="66"/>
      <c r="E66" s="68"/>
      <c r="F66" s="68"/>
      <c r="G66" s="68"/>
      <c r="H66" s="68"/>
      <c r="I66" s="68"/>
      <c r="J66" s="68"/>
      <c r="K66" s="68"/>
      <c r="L66" s="68"/>
      <c r="M66" s="68"/>
    </row>
    <row r="67" spans="1:13" s="84" customFormat="1">
      <c r="A67" s="43"/>
      <c r="B67" s="67"/>
      <c r="C67" s="66" t="s">
        <v>10</v>
      </c>
      <c r="D67" s="73">
        <v>0.1</v>
      </c>
      <c r="E67" s="68"/>
      <c r="F67" s="68"/>
      <c r="G67" s="68"/>
      <c r="H67" s="68"/>
      <c r="I67" s="68"/>
      <c r="J67" s="68"/>
      <c r="K67" s="68"/>
      <c r="L67" s="68"/>
      <c r="M67" s="68"/>
    </row>
    <row r="68" spans="1:13" s="84" customFormat="1">
      <c r="A68" s="43"/>
      <c r="B68" s="67"/>
      <c r="C68" s="66" t="s">
        <v>4</v>
      </c>
      <c r="D68" s="73"/>
      <c r="E68" s="68"/>
      <c r="F68" s="68"/>
      <c r="G68" s="68"/>
      <c r="H68" s="68"/>
      <c r="I68" s="68"/>
      <c r="J68" s="68"/>
      <c r="K68" s="68"/>
      <c r="L68" s="68"/>
      <c r="M68" s="68"/>
    </row>
    <row r="69" spans="1:13" s="84" customFormat="1">
      <c r="A69" s="43"/>
      <c r="B69" s="67"/>
      <c r="C69" s="66" t="s">
        <v>11</v>
      </c>
      <c r="D69" s="73">
        <v>0.08</v>
      </c>
      <c r="E69" s="68"/>
      <c r="F69" s="68"/>
      <c r="G69" s="68"/>
      <c r="H69" s="68"/>
      <c r="I69" s="68"/>
      <c r="J69" s="68"/>
      <c r="K69" s="68"/>
      <c r="L69" s="68"/>
      <c r="M69" s="68"/>
    </row>
    <row r="70" spans="1:13" s="84" customFormat="1">
      <c r="A70" s="52"/>
      <c r="B70" s="67"/>
      <c r="C70" s="66"/>
      <c r="D70" s="73"/>
      <c r="E70" s="68"/>
      <c r="F70" s="68"/>
      <c r="G70" s="68"/>
      <c r="H70" s="68"/>
      <c r="I70" s="68"/>
      <c r="J70" s="68"/>
      <c r="K70" s="68"/>
      <c r="L70" s="68"/>
      <c r="M70" s="68"/>
    </row>
    <row r="71" spans="1:13" s="84" customFormat="1">
      <c r="A71" s="43"/>
      <c r="B71" s="67"/>
      <c r="C71" s="52" t="s">
        <v>4</v>
      </c>
      <c r="D71" s="52"/>
      <c r="E71" s="64"/>
      <c r="F71" s="64"/>
      <c r="G71" s="64"/>
      <c r="H71" s="64"/>
      <c r="I71" s="64"/>
      <c r="J71" s="64"/>
      <c r="K71" s="64"/>
      <c r="L71" s="64"/>
      <c r="M71" s="64"/>
    </row>
    <row r="72" spans="1:13">
      <c r="B72" s="87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8"/>
    </row>
    <row r="73" spans="1:13">
      <c r="B73" s="87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8"/>
    </row>
    <row r="74" spans="1:13">
      <c r="B74" s="87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8"/>
    </row>
    <row r="75" spans="1:13">
      <c r="B75" s="87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8"/>
    </row>
    <row r="76" spans="1:13">
      <c r="B76" s="87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8"/>
    </row>
    <row r="77" spans="1:13">
      <c r="B77" s="87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8"/>
    </row>
    <row r="78" spans="1:13">
      <c r="B78" s="87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8"/>
    </row>
    <row r="79" spans="1:13">
      <c r="B79" s="87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8"/>
    </row>
    <row r="80" spans="1:13">
      <c r="B80" s="87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8"/>
    </row>
    <row r="81" spans="2:13">
      <c r="B81" s="87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8"/>
    </row>
    <row r="82" spans="2:13">
      <c r="B82" s="87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8"/>
    </row>
    <row r="83" spans="2:13">
      <c r="B83" s="87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2:13">
      <c r="B84" s="87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8"/>
    </row>
    <row r="85" spans="2:13">
      <c r="B85" s="87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8"/>
    </row>
    <row r="86" spans="2:13">
      <c r="B86" s="87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8"/>
    </row>
    <row r="87" spans="2:13">
      <c r="B87" s="87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8"/>
    </row>
    <row r="88" spans="2:13">
      <c r="B88" s="87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8"/>
    </row>
    <row r="89" spans="2:13">
      <c r="B89" s="87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8"/>
    </row>
    <row r="90" spans="2:13">
      <c r="B90" s="87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8"/>
    </row>
    <row r="91" spans="2:13">
      <c r="B91" s="87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8"/>
    </row>
    <row r="92" spans="2:13">
      <c r="B92" s="87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8"/>
    </row>
    <row r="93" spans="2:13">
      <c r="B93" s="87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8"/>
    </row>
    <row r="94" spans="2:13">
      <c r="B94" s="87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8"/>
    </row>
    <row r="95" spans="2:13">
      <c r="B95" s="87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8"/>
    </row>
    <row r="96" spans="2:13">
      <c r="B96" s="87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8"/>
    </row>
    <row r="97" spans="2:13">
      <c r="B97" s="87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8"/>
    </row>
    <row r="98" spans="2:13">
      <c r="B98" s="87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2:13">
      <c r="B99" s="87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8"/>
    </row>
    <row r="100" spans="2:13">
      <c r="B100" s="87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8"/>
    </row>
    <row r="101" spans="2:13">
      <c r="B101" s="87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8"/>
    </row>
    <row r="102" spans="2:13">
      <c r="B102" s="87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8"/>
    </row>
    <row r="103" spans="2:13">
      <c r="B103" s="87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8"/>
    </row>
    <row r="104" spans="2:13">
      <c r="B104" s="87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8"/>
    </row>
    <row r="105" spans="2:13">
      <c r="B105" s="87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8"/>
    </row>
    <row r="106" spans="2:13">
      <c r="B106" s="87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8"/>
    </row>
    <row r="107" spans="2:13">
      <c r="B107" s="87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8"/>
    </row>
    <row r="108" spans="2:13">
      <c r="B108" s="87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8"/>
    </row>
    <row r="109" spans="2:13">
      <c r="B109" s="87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8"/>
    </row>
    <row r="110" spans="2:13">
      <c r="B110" s="87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8"/>
    </row>
    <row r="111" spans="2:13">
      <c r="B111" s="87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8"/>
    </row>
    <row r="112" spans="2:13">
      <c r="B112" s="87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8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9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9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9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9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9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9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9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9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9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9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9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9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9"/>
    </row>
  </sheetData>
  <autoFilter ref="A1:M126"/>
  <mergeCells count="10">
    <mergeCell ref="B4:B5"/>
    <mergeCell ref="C4:C5"/>
    <mergeCell ref="D4:D5"/>
    <mergeCell ref="M4:M5"/>
    <mergeCell ref="A2:M2"/>
    <mergeCell ref="E4:F4"/>
    <mergeCell ref="G4:H4"/>
    <mergeCell ref="I4:J4"/>
    <mergeCell ref="K4:L4"/>
    <mergeCell ref="A4:A5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4"/>
  <sheetViews>
    <sheetView view="pageBreakPreview" topLeftCell="A19" zoomScale="60" zoomScaleNormal="55" workbookViewId="0">
      <selection activeCell="E20" sqref="E20"/>
    </sheetView>
  </sheetViews>
  <sheetFormatPr defaultRowHeight="15"/>
  <cols>
    <col min="1" max="1" width="15.7109375" style="15" customWidth="1"/>
    <col min="2" max="2" width="200.7109375" style="15" customWidth="1"/>
    <col min="3" max="3" width="9.7109375" style="15" customWidth="1"/>
    <col min="4" max="4" width="34.7109375" style="15" customWidth="1"/>
    <col min="5" max="7" width="20.7109375" customWidth="1"/>
  </cols>
  <sheetData>
    <row r="1" spans="1:4">
      <c r="A1" s="10"/>
      <c r="B1" s="10"/>
      <c r="C1" s="1"/>
      <c r="D1" s="1"/>
    </row>
    <row r="2" spans="1:4">
      <c r="A2" s="10"/>
      <c r="B2" s="10"/>
      <c r="C2" s="1"/>
      <c r="D2" s="1"/>
    </row>
    <row r="3" spans="1:4" ht="15" customHeight="1">
      <c r="A3" s="11">
        <f>სატენდერო!A3</f>
        <v>0</v>
      </c>
      <c r="B3" s="11"/>
      <c r="C3" s="1"/>
      <c r="D3" s="175"/>
    </row>
    <row r="4" spans="1:4" ht="15" customHeight="1">
      <c r="A4" s="11"/>
      <c r="B4" s="11"/>
      <c r="C4" s="1"/>
      <c r="D4" s="175"/>
    </row>
    <row r="5" spans="1:4" ht="15" customHeight="1">
      <c r="A5" s="11" t="s">
        <v>28</v>
      </c>
      <c r="B5" s="11"/>
      <c r="C5" s="1"/>
      <c r="D5" s="175"/>
    </row>
    <row r="6" spans="1:4" ht="15" customHeight="1">
      <c r="A6" s="11"/>
      <c r="B6" s="11"/>
      <c r="C6" s="1"/>
      <c r="D6" s="175"/>
    </row>
    <row r="7" spans="1:4" ht="15" customHeight="1">
      <c r="A7" s="11">
        <f>სატენდერო!A7</f>
        <v>0</v>
      </c>
      <c r="B7" s="11"/>
      <c r="C7" s="1"/>
      <c r="D7" s="175"/>
    </row>
    <row r="8" spans="1:4" ht="15" customHeight="1">
      <c r="A8" s="11"/>
      <c r="B8" s="11"/>
      <c r="C8" s="1"/>
      <c r="D8" s="175"/>
    </row>
    <row r="9" spans="1:4" ht="15" customHeight="1">
      <c r="A9" s="11" t="s">
        <v>29</v>
      </c>
      <c r="B9" s="11"/>
      <c r="C9" s="1"/>
      <c r="D9" s="175"/>
    </row>
    <row r="10" spans="1:4" ht="15" customHeight="1">
      <c r="A10" s="11"/>
      <c r="B10" s="11"/>
      <c r="C10" s="2"/>
      <c r="D10" s="175"/>
    </row>
    <row r="11" spans="1:4" ht="15" customHeight="1">
      <c r="A11" s="175"/>
      <c r="B11" s="175"/>
      <c r="C11" s="1"/>
      <c r="D11" s="175"/>
    </row>
    <row r="12" spans="1:4" ht="15" customHeight="1">
      <c r="A12" s="175"/>
      <c r="B12" s="175"/>
      <c r="C12" s="1"/>
      <c r="D12" s="175"/>
    </row>
    <row r="13" spans="1:4" s="7" customFormat="1" ht="80.099999999999994" customHeight="1">
      <c r="A13" s="178" t="s">
        <v>45</v>
      </c>
      <c r="B13" s="179"/>
      <c r="C13" s="179"/>
      <c r="D13" s="179"/>
    </row>
    <row r="14" spans="1:4" s="7" customFormat="1" ht="39.950000000000003" customHeight="1">
      <c r="A14" s="180" t="s">
        <v>2</v>
      </c>
      <c r="B14" s="180" t="s">
        <v>3</v>
      </c>
      <c r="C14" s="180" t="s">
        <v>12</v>
      </c>
      <c r="D14" s="181" t="s">
        <v>49</v>
      </c>
    </row>
    <row r="15" spans="1:4" s="7" customFormat="1" ht="39.950000000000003" customHeight="1">
      <c r="A15" s="180"/>
      <c r="B15" s="180"/>
      <c r="C15" s="180"/>
      <c r="D15" s="181"/>
    </row>
    <row r="16" spans="1:4" s="7" customFormat="1" ht="39.950000000000003" customHeight="1">
      <c r="A16" s="180"/>
      <c r="B16" s="180"/>
      <c r="C16" s="180"/>
      <c r="D16" s="181"/>
    </row>
    <row r="17" spans="1:4" s="7" customFormat="1" ht="39.950000000000003" customHeight="1">
      <c r="A17" s="16">
        <v>1</v>
      </c>
      <c r="B17" s="16">
        <v>2</v>
      </c>
      <c r="C17" s="16">
        <v>3</v>
      </c>
      <c r="D17" s="16">
        <v>4</v>
      </c>
    </row>
    <row r="18" spans="1:4" s="6" customFormat="1" ht="39.950000000000003" customHeight="1">
      <c r="A18" s="176" t="s">
        <v>50</v>
      </c>
      <c r="B18" s="177"/>
      <c r="C18" s="177"/>
      <c r="D18" s="177"/>
    </row>
    <row r="19" spans="1:4" s="6" customFormat="1" ht="39.950000000000003" customHeight="1">
      <c r="A19" s="17" t="s">
        <v>136</v>
      </c>
      <c r="B19" s="18" t="str">
        <f>სატენდერო!B20</f>
        <v>მოსამზადებელი სამუშაოები</v>
      </c>
      <c r="C19" s="18"/>
      <c r="D19" s="19">
        <f>სატენდერო!H26</f>
        <v>0</v>
      </c>
    </row>
    <row r="20" spans="1:4" s="6" customFormat="1" ht="39.950000000000003" customHeight="1">
      <c r="A20" s="176" t="s">
        <v>51</v>
      </c>
      <c r="B20" s="177"/>
      <c r="C20" s="177"/>
      <c r="D20" s="177"/>
    </row>
    <row r="21" spans="1:4" s="6" customFormat="1" ht="39.950000000000003" customHeight="1">
      <c r="A21" s="17" t="s">
        <v>149</v>
      </c>
      <c r="B21" s="18" t="str">
        <f>სატენდერო!B27</f>
        <v>მიწის ვაკისი</v>
      </c>
      <c r="C21" s="18"/>
      <c r="D21" s="19">
        <f>სატენდერო!H40</f>
        <v>0</v>
      </c>
    </row>
    <row r="22" spans="1:4" s="6" customFormat="1" ht="39.950000000000003" customHeight="1">
      <c r="A22" s="176" t="s">
        <v>52</v>
      </c>
      <c r="B22" s="177"/>
      <c r="C22" s="177"/>
      <c r="D22" s="177"/>
    </row>
    <row r="23" spans="1:4" s="6" customFormat="1" ht="39.950000000000003" customHeight="1">
      <c r="A23" s="17" t="s">
        <v>173</v>
      </c>
      <c r="B23" s="18" t="str">
        <f>სატენდერო!B41</f>
        <v>ღობის მოწყობის სამუშაოები</v>
      </c>
      <c r="C23" s="18"/>
      <c r="D23" s="19">
        <f>სატენდერო!H60</f>
        <v>0</v>
      </c>
    </row>
    <row r="24" spans="1:4" s="6" customFormat="1" ht="39.950000000000003" customHeight="1">
      <c r="A24" s="17" t="s">
        <v>302</v>
      </c>
      <c r="B24" s="18" t="str">
        <f>სატენდერო!B61</f>
        <v>რ/ბ კედლის მოწყობის სამუშაოები</v>
      </c>
      <c r="C24" s="18"/>
      <c r="D24" s="19">
        <f>სატენდერო!H84</f>
        <v>0</v>
      </c>
    </row>
    <row r="25" spans="1:4" s="6" customFormat="1" ht="39.950000000000003" customHeight="1">
      <c r="A25" s="176" t="s">
        <v>53</v>
      </c>
      <c r="B25" s="177"/>
      <c r="C25" s="177"/>
      <c r="D25" s="177"/>
    </row>
    <row r="26" spans="1:4" s="6" customFormat="1" ht="39.950000000000003" customHeight="1">
      <c r="A26" s="17" t="s">
        <v>163</v>
      </c>
      <c r="B26" s="18" t="str">
        <f>სატენდერო!B85</f>
        <v>საგზაო სამოსი</v>
      </c>
      <c r="C26" s="18"/>
      <c r="D26" s="19" t="e">
        <f>სატენდერო!H98</f>
        <v>#REF!</v>
      </c>
    </row>
    <row r="27" spans="1:4" s="7" customFormat="1" ht="39.950000000000003" customHeight="1">
      <c r="A27" s="16"/>
      <c r="B27" s="18" t="s">
        <v>4</v>
      </c>
      <c r="C27" s="20"/>
      <c r="D27" s="21" t="e">
        <f>ROUND(D19+D21+D24+D23+D26,2)</f>
        <v>#REF!</v>
      </c>
    </row>
    <row r="28" spans="1:4" s="7" customFormat="1" ht="39.950000000000003" customHeight="1">
      <c r="A28" s="22"/>
      <c r="B28" s="16" t="s">
        <v>26</v>
      </c>
      <c r="C28" s="23">
        <v>0.05</v>
      </c>
      <c r="D28" s="20" t="e">
        <f>ROUND(D27*C28,2)</f>
        <v>#REF!</v>
      </c>
    </row>
    <row r="29" spans="1:4" s="7" customFormat="1" ht="39.950000000000003" customHeight="1">
      <c r="A29" s="22"/>
      <c r="B29" s="16" t="s">
        <v>4</v>
      </c>
      <c r="C29" s="16"/>
      <c r="D29" s="21" t="e">
        <f>ROUND(SUM(D27:D28),2)</f>
        <v>#REF!</v>
      </c>
    </row>
    <row r="30" spans="1:4" s="7" customFormat="1" ht="39.950000000000003" customHeight="1">
      <c r="A30" s="22"/>
      <c r="B30" s="16" t="s">
        <v>27</v>
      </c>
      <c r="C30" s="23">
        <v>0.18</v>
      </c>
      <c r="D30" s="21" t="e">
        <f>ROUND(D29*C30,2)</f>
        <v>#REF!</v>
      </c>
    </row>
    <row r="31" spans="1:4" s="7" customFormat="1" ht="39.950000000000003" customHeight="1">
      <c r="A31" s="22"/>
      <c r="B31" s="16" t="s">
        <v>4</v>
      </c>
      <c r="C31" s="16"/>
      <c r="D31" s="24" t="e">
        <f>ROUND(SUM(D29:D30),2)</f>
        <v>#REF!</v>
      </c>
    </row>
    <row r="32" spans="1:4" ht="39.950000000000003" customHeight="1">
      <c r="A32" s="25"/>
      <c r="B32" s="26"/>
      <c r="C32" s="27"/>
      <c r="D32" s="27"/>
    </row>
    <row r="33" spans="1:4" ht="39.950000000000003" customHeight="1">
      <c r="A33" s="25"/>
      <c r="B33" s="26"/>
      <c r="C33" s="27"/>
      <c r="D33" s="33"/>
    </row>
    <row r="34" spans="1:4" ht="39.950000000000003" customHeight="1">
      <c r="A34" s="25"/>
      <c r="B34" s="26"/>
      <c r="C34" s="27"/>
      <c r="D34" s="27"/>
    </row>
    <row r="35" spans="1:4" ht="39.950000000000003" customHeight="1">
      <c r="A35" s="25"/>
      <c r="B35" s="26"/>
      <c r="C35" s="27"/>
      <c r="D35" s="27"/>
    </row>
    <row r="36" spans="1:4" ht="39.950000000000003" customHeight="1">
      <c r="A36" s="25"/>
      <c r="B36" s="26"/>
      <c r="C36" s="27"/>
      <c r="D36" s="27"/>
    </row>
    <row r="37" spans="1:4" ht="39.950000000000003" customHeight="1">
      <c r="A37" s="25"/>
      <c r="B37" s="26"/>
      <c r="C37" s="27"/>
      <c r="D37" s="27"/>
    </row>
    <row r="38" spans="1:4" ht="39.950000000000003" customHeight="1">
      <c r="A38" s="25"/>
      <c r="B38" s="26"/>
      <c r="C38" s="27"/>
      <c r="D38" s="27"/>
    </row>
    <row r="39" spans="1:4" ht="39.950000000000003" customHeight="1">
      <c r="A39" s="25"/>
      <c r="B39" s="26"/>
      <c r="C39" s="27"/>
      <c r="D39" s="27"/>
    </row>
    <row r="40" spans="1:4" ht="39.950000000000003" customHeight="1">
      <c r="A40" s="25"/>
      <c r="B40" s="26"/>
      <c r="C40" s="27"/>
      <c r="D40" s="27"/>
    </row>
    <row r="41" spans="1:4" ht="39.950000000000003" customHeight="1">
      <c r="A41" s="25"/>
      <c r="B41" s="26"/>
      <c r="C41" s="27"/>
      <c r="D41" s="27"/>
    </row>
    <row r="42" spans="1:4" ht="39.950000000000003" customHeight="1">
      <c r="A42" s="25"/>
      <c r="B42" s="26"/>
      <c r="C42" s="27"/>
      <c r="D42" s="27"/>
    </row>
    <row r="43" spans="1:4" ht="39.950000000000003" customHeight="1">
      <c r="A43" s="25"/>
      <c r="B43" s="26"/>
      <c r="C43" s="27"/>
      <c r="D43" s="27"/>
    </row>
    <row r="44" spans="1:4" ht="39.950000000000003" customHeight="1">
      <c r="A44" s="25"/>
      <c r="B44" s="26"/>
      <c r="C44" s="27"/>
      <c r="D44" s="27"/>
    </row>
    <row r="45" spans="1:4" ht="39.950000000000003" customHeight="1">
      <c r="A45" s="25"/>
      <c r="B45" s="26"/>
      <c r="C45" s="27"/>
      <c r="D45" s="27"/>
    </row>
    <row r="46" spans="1:4" ht="39.950000000000003" customHeight="1">
      <c r="A46" s="25"/>
      <c r="B46" s="26"/>
      <c r="C46" s="27"/>
      <c r="D46" s="27"/>
    </row>
    <row r="47" spans="1:4" ht="39.950000000000003" customHeight="1">
      <c r="A47" s="25"/>
      <c r="B47" s="26"/>
      <c r="C47" s="27"/>
      <c r="D47" s="27"/>
    </row>
    <row r="48" spans="1:4" ht="39.950000000000003" customHeight="1">
      <c r="A48" s="25"/>
      <c r="B48" s="26"/>
      <c r="C48" s="27"/>
      <c r="D48" s="27"/>
    </row>
    <row r="49" spans="1:4" ht="39.950000000000003" customHeight="1">
      <c r="A49" s="25"/>
      <c r="B49" s="26"/>
      <c r="C49" s="27"/>
      <c r="D49" s="27"/>
    </row>
    <row r="50" spans="1:4" ht="39.950000000000003" customHeight="1">
      <c r="A50" s="25"/>
      <c r="B50" s="26"/>
      <c r="C50" s="27"/>
      <c r="D50" s="27"/>
    </row>
    <row r="51" spans="1:4" ht="39.950000000000003" customHeight="1">
      <c r="A51" s="25"/>
      <c r="B51" s="26"/>
      <c r="C51" s="27"/>
      <c r="D51" s="27"/>
    </row>
    <row r="52" spans="1:4" ht="39.950000000000003" customHeight="1">
      <c r="A52" s="25"/>
      <c r="B52" s="26"/>
      <c r="C52" s="27"/>
      <c r="D52" s="27"/>
    </row>
    <row r="53" spans="1:4" ht="39.950000000000003" customHeight="1">
      <c r="A53" s="25"/>
      <c r="B53" s="26"/>
      <c r="C53" s="27"/>
      <c r="D53" s="27"/>
    </row>
    <row r="54" spans="1:4" ht="39.950000000000003" customHeight="1">
      <c r="A54" s="25"/>
      <c r="B54" s="26"/>
      <c r="C54" s="27"/>
      <c r="D54" s="27"/>
    </row>
    <row r="55" spans="1:4" ht="39.950000000000003" customHeight="1">
      <c r="A55" s="25"/>
      <c r="B55" s="26"/>
      <c r="C55" s="27"/>
      <c r="D55" s="27"/>
    </row>
    <row r="56" spans="1:4" ht="39.950000000000003" customHeight="1">
      <c r="A56" s="25"/>
      <c r="B56" s="26"/>
      <c r="C56" s="27"/>
      <c r="D56" s="27"/>
    </row>
    <row r="57" spans="1:4" ht="39.950000000000003" customHeight="1">
      <c r="A57" s="25"/>
      <c r="B57" s="26"/>
      <c r="C57" s="27"/>
      <c r="D57" s="27"/>
    </row>
    <row r="58" spans="1:4" ht="39.950000000000003" customHeight="1">
      <c r="A58" s="25"/>
      <c r="B58" s="26"/>
      <c r="C58" s="27"/>
      <c r="D58" s="27"/>
    </row>
    <row r="59" spans="1:4" ht="39.950000000000003" customHeight="1">
      <c r="A59" s="25"/>
      <c r="B59" s="26"/>
      <c r="C59" s="27"/>
      <c r="D59" s="27"/>
    </row>
    <row r="60" spans="1:4" ht="39.950000000000003" customHeight="1">
      <c r="A60" s="25"/>
      <c r="B60" s="26"/>
      <c r="C60" s="27"/>
      <c r="D60" s="27"/>
    </row>
    <row r="61" spans="1:4" ht="39.950000000000003" customHeight="1">
      <c r="A61" s="25"/>
      <c r="B61" s="26"/>
      <c r="C61" s="27"/>
      <c r="D61" s="27"/>
    </row>
    <row r="62" spans="1:4" ht="39.950000000000003" customHeight="1">
      <c r="A62" s="25"/>
      <c r="B62" s="26"/>
      <c r="C62" s="27"/>
      <c r="D62" s="27"/>
    </row>
    <row r="63" spans="1:4" ht="39.950000000000003" customHeight="1">
      <c r="A63" s="25"/>
      <c r="B63" s="26"/>
      <c r="C63" s="27"/>
      <c r="D63" s="27"/>
    </row>
    <row r="64" spans="1:4" ht="39.950000000000003" customHeight="1">
      <c r="A64" s="25"/>
      <c r="B64" s="26"/>
      <c r="C64" s="27"/>
      <c r="D64" s="27"/>
    </row>
    <row r="65" spans="1:4" ht="39.950000000000003" customHeight="1">
      <c r="A65" s="25"/>
      <c r="B65" s="26"/>
      <c r="C65" s="27"/>
      <c r="D65" s="27"/>
    </row>
    <row r="66" spans="1:4" ht="39.950000000000003" customHeight="1">
      <c r="A66" s="25"/>
      <c r="B66" s="26"/>
      <c r="C66" s="27"/>
      <c r="D66" s="27"/>
    </row>
    <row r="67" spans="1:4" ht="39.950000000000003" customHeight="1">
      <c r="A67" s="25"/>
      <c r="B67" s="26"/>
      <c r="C67" s="27"/>
      <c r="D67" s="27"/>
    </row>
    <row r="68" spans="1:4">
      <c r="B68" s="28"/>
      <c r="C68" s="29"/>
      <c r="D68" s="29"/>
    </row>
    <row r="69" spans="1:4">
      <c r="B69" s="28"/>
      <c r="C69" s="29"/>
      <c r="D69" s="29"/>
    </row>
    <row r="70" spans="1:4">
      <c r="B70" s="28"/>
      <c r="C70" s="29"/>
      <c r="D70" s="29"/>
    </row>
    <row r="71" spans="1:4">
      <c r="B71" s="28"/>
      <c r="C71" s="29"/>
      <c r="D71" s="29"/>
    </row>
    <row r="72" spans="1:4">
      <c r="B72" s="28"/>
      <c r="C72" s="28"/>
      <c r="D72" s="28"/>
    </row>
    <row r="73" spans="1:4">
      <c r="B73" s="28"/>
      <c r="C73" s="28"/>
      <c r="D73" s="28"/>
    </row>
    <row r="74" spans="1:4">
      <c r="B74" s="28"/>
      <c r="C74" s="28"/>
      <c r="D74" s="28"/>
    </row>
    <row r="75" spans="1:4">
      <c r="B75" s="28"/>
      <c r="C75" s="28"/>
      <c r="D75" s="28"/>
    </row>
    <row r="76" spans="1:4">
      <c r="B76" s="28"/>
      <c r="C76" s="28"/>
      <c r="D76" s="28"/>
    </row>
    <row r="77" spans="1:4">
      <c r="B77" s="28"/>
      <c r="C77" s="28"/>
      <c r="D77" s="28"/>
    </row>
    <row r="78" spans="1:4">
      <c r="B78" s="28"/>
      <c r="C78" s="28"/>
      <c r="D78" s="28"/>
    </row>
    <row r="79" spans="1:4">
      <c r="B79" s="28"/>
      <c r="C79" s="28"/>
      <c r="D79" s="28"/>
    </row>
    <row r="80" spans="1:4">
      <c r="B80" s="28"/>
      <c r="C80" s="28"/>
      <c r="D80" s="28"/>
    </row>
    <row r="81" spans="2:4">
      <c r="B81" s="28"/>
      <c r="C81" s="28"/>
      <c r="D81" s="28"/>
    </row>
    <row r="82" spans="2:4">
      <c r="B82" s="28"/>
      <c r="C82" s="28"/>
      <c r="D82" s="28"/>
    </row>
    <row r="83" spans="2:4">
      <c r="B83" s="28"/>
      <c r="C83" s="28"/>
      <c r="D83" s="28"/>
    </row>
    <row r="84" spans="2:4">
      <c r="B84" s="28"/>
      <c r="C84" s="28"/>
      <c r="D84" s="28"/>
    </row>
  </sheetData>
  <mergeCells count="15">
    <mergeCell ref="A20:D20"/>
    <mergeCell ref="A22:D22"/>
    <mergeCell ref="A25:D25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topLeftCell="A80" zoomScale="60" zoomScaleNormal="55" workbookViewId="0">
      <selection activeCell="I58" sqref="I58"/>
    </sheetView>
  </sheetViews>
  <sheetFormatPr defaultRowHeight="15"/>
  <cols>
    <col min="1" max="1" width="15.7109375" style="15" customWidth="1"/>
    <col min="2" max="2" width="181.7109375" style="15" customWidth="1"/>
    <col min="3" max="4" width="15.7109375" style="15" customWidth="1"/>
    <col min="5" max="5" width="17.7109375" style="15" customWidth="1"/>
    <col min="6" max="6" width="15.7109375" style="15" customWidth="1"/>
    <col min="7" max="7" width="17.7109375" style="15" customWidth="1"/>
    <col min="8" max="8" width="21.28515625" style="34" bestFit="1" customWidth="1"/>
    <col min="9" max="9" width="20.7109375" style="15" customWidth="1"/>
    <col min="10" max="11" width="20.7109375" customWidth="1"/>
  </cols>
  <sheetData>
    <row r="1" spans="1:9">
      <c r="A1" s="183"/>
      <c r="B1" s="183"/>
      <c r="C1" s="1"/>
      <c r="D1" s="1"/>
      <c r="E1" s="1"/>
      <c r="F1" s="1"/>
      <c r="G1" s="1"/>
      <c r="H1" s="4"/>
      <c r="I1" s="1"/>
    </row>
    <row r="2" spans="1:9">
      <c r="A2" s="183"/>
      <c r="B2" s="183"/>
      <c r="C2" s="1"/>
      <c r="D2" s="1"/>
      <c r="E2" s="1"/>
      <c r="F2" s="1"/>
      <c r="G2" s="1"/>
      <c r="H2" s="4"/>
      <c r="I2" s="1"/>
    </row>
    <row r="3" spans="1:9" ht="15" customHeight="1">
      <c r="A3" s="175">
        <f>'1-1'!A3:C3</f>
        <v>0</v>
      </c>
      <c r="B3" s="175"/>
      <c r="C3" s="1"/>
      <c r="D3" s="1"/>
      <c r="E3" s="182" t="s">
        <v>17</v>
      </c>
      <c r="F3" s="182"/>
      <c r="G3" s="182"/>
      <c r="H3" s="175"/>
      <c r="I3" s="175"/>
    </row>
    <row r="4" spans="1:9" ht="15" customHeight="1">
      <c r="A4" s="175"/>
      <c r="B4" s="175"/>
      <c r="C4" s="1"/>
      <c r="D4" s="1"/>
      <c r="E4" s="182"/>
      <c r="F4" s="182"/>
      <c r="G4" s="182"/>
      <c r="H4" s="175"/>
      <c r="I4" s="175"/>
    </row>
    <row r="5" spans="1:9" ht="15" customHeight="1">
      <c r="A5" s="175" t="s">
        <v>28</v>
      </c>
      <c r="B5" s="175"/>
      <c r="C5" s="1"/>
      <c r="D5" s="1"/>
      <c r="E5" s="182" t="s">
        <v>18</v>
      </c>
      <c r="F5" s="182"/>
      <c r="G5" s="182"/>
      <c r="H5" s="175"/>
      <c r="I5" s="175"/>
    </row>
    <row r="6" spans="1:9" ht="15" customHeight="1">
      <c r="A6" s="175"/>
      <c r="B6" s="175"/>
      <c r="C6" s="1"/>
      <c r="D6" s="1"/>
      <c r="E6" s="182"/>
      <c r="F6" s="182"/>
      <c r="G6" s="182"/>
      <c r="H6" s="175"/>
      <c r="I6" s="175"/>
    </row>
    <row r="7" spans="1:9" ht="15" customHeight="1">
      <c r="A7" s="175">
        <f>'1-1'!A5:C5</f>
        <v>0</v>
      </c>
      <c r="B7" s="175"/>
      <c r="C7" s="1"/>
      <c r="D7" s="1"/>
      <c r="E7" s="182" t="s">
        <v>55</v>
      </c>
      <c r="F7" s="182"/>
      <c r="G7" s="182"/>
      <c r="H7" s="175" t="s">
        <v>20</v>
      </c>
      <c r="I7" s="175"/>
    </row>
    <row r="8" spans="1:9" ht="15" customHeight="1">
      <c r="A8" s="175"/>
      <c r="B8" s="175"/>
      <c r="C8" s="1"/>
      <c r="D8" s="1"/>
      <c r="E8" s="182"/>
      <c r="F8" s="182"/>
      <c r="G8" s="182"/>
      <c r="H8" s="175"/>
      <c r="I8" s="175"/>
    </row>
    <row r="9" spans="1:9" ht="15" customHeight="1">
      <c r="A9" s="175" t="s">
        <v>29</v>
      </c>
      <c r="B9" s="175"/>
      <c r="C9" s="1"/>
      <c r="D9" s="1"/>
      <c r="E9" s="182" t="s">
        <v>19</v>
      </c>
      <c r="F9" s="182"/>
      <c r="G9" s="182"/>
      <c r="H9" s="175"/>
      <c r="I9" s="175"/>
    </row>
    <row r="10" spans="1:9" ht="15" customHeight="1">
      <c r="A10" s="175"/>
      <c r="B10" s="175"/>
      <c r="C10" s="1"/>
      <c r="D10" s="1"/>
      <c r="E10" s="182"/>
      <c r="F10" s="182"/>
      <c r="G10" s="182"/>
      <c r="H10" s="175"/>
      <c r="I10" s="175"/>
    </row>
    <row r="11" spans="1:9" ht="15" customHeight="1">
      <c r="A11" s="175"/>
      <c r="B11" s="175"/>
      <c r="C11" s="1"/>
      <c r="D11" s="182"/>
      <c r="E11" s="182"/>
      <c r="F11" s="182"/>
      <c r="G11" s="182"/>
      <c r="H11" s="175"/>
      <c r="I11" s="175"/>
    </row>
    <row r="12" spans="1:9" ht="15" customHeight="1">
      <c r="A12" s="175"/>
      <c r="B12" s="175"/>
      <c r="C12" s="1"/>
      <c r="D12" s="182"/>
      <c r="E12" s="182"/>
      <c r="F12" s="182"/>
      <c r="G12" s="182"/>
      <c r="H12" s="175"/>
      <c r="I12" s="175"/>
    </row>
    <row r="13" spans="1:9" ht="15" customHeight="1">
      <c r="A13" s="187" t="e">
        <f>'1-1'!A8:M9</f>
        <v>#VALUE!</v>
      </c>
      <c r="B13" s="187"/>
      <c r="C13" s="187"/>
      <c r="D13" s="187"/>
      <c r="E13" s="187"/>
      <c r="F13" s="187"/>
      <c r="G13" s="187"/>
      <c r="H13" s="187"/>
      <c r="I13" s="187"/>
    </row>
    <row r="14" spans="1:9" ht="15" customHeight="1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ht="15" customHeight="1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s="5" customFormat="1" ht="39.950000000000003" customHeight="1">
      <c r="A16" s="180" t="s">
        <v>2</v>
      </c>
      <c r="B16" s="188" t="s">
        <v>3</v>
      </c>
      <c r="C16" s="191" t="s">
        <v>7</v>
      </c>
      <c r="D16" s="191" t="s">
        <v>8</v>
      </c>
      <c r="E16" s="191" t="s">
        <v>7</v>
      </c>
      <c r="F16" s="191" t="s">
        <v>8</v>
      </c>
      <c r="G16" s="184" t="s">
        <v>230</v>
      </c>
      <c r="H16" s="180" t="s">
        <v>231</v>
      </c>
      <c r="I16" s="180" t="s">
        <v>5</v>
      </c>
    </row>
    <row r="17" spans="1:9" s="5" customFormat="1" ht="39.950000000000003" customHeight="1">
      <c r="A17" s="180"/>
      <c r="B17" s="189"/>
      <c r="C17" s="192"/>
      <c r="D17" s="192"/>
      <c r="E17" s="192"/>
      <c r="F17" s="192"/>
      <c r="G17" s="185"/>
      <c r="H17" s="180"/>
      <c r="I17" s="180"/>
    </row>
    <row r="18" spans="1:9" s="5" customFormat="1" ht="39.950000000000003" customHeight="1">
      <c r="A18" s="180"/>
      <c r="B18" s="190"/>
      <c r="C18" s="193"/>
      <c r="D18" s="193"/>
      <c r="E18" s="193"/>
      <c r="F18" s="193"/>
      <c r="G18" s="186"/>
      <c r="H18" s="180"/>
      <c r="I18" s="180"/>
    </row>
    <row r="19" spans="1:9" s="5" customFormat="1" ht="39.950000000000003" customHeight="1">
      <c r="A19" s="16">
        <v>1</v>
      </c>
      <c r="B19" s="16">
        <v>2</v>
      </c>
      <c r="C19" s="16">
        <v>3</v>
      </c>
      <c r="D19" s="16">
        <v>4</v>
      </c>
      <c r="E19" s="16">
        <v>3</v>
      </c>
      <c r="F19" s="16">
        <v>4</v>
      </c>
      <c r="G19" s="16">
        <v>5</v>
      </c>
      <c r="H19" s="16">
        <v>6</v>
      </c>
      <c r="I19" s="16">
        <v>7</v>
      </c>
    </row>
    <row r="20" spans="1:9" s="5" customFormat="1" ht="80.099999999999994" customHeight="1">
      <c r="A20" s="16"/>
      <c r="B20" s="18" t="str">
        <f>'1-1'!C14</f>
        <v>მოსამზადებელი სამუშაოები</v>
      </c>
      <c r="C20" s="20"/>
      <c r="D20" s="20"/>
      <c r="E20" s="20"/>
      <c r="F20" s="20"/>
      <c r="G20" s="20"/>
      <c r="H20" s="21"/>
      <c r="I20" s="20"/>
    </row>
    <row r="21" spans="1:9" ht="39.950000000000003" customHeight="1">
      <c r="A21" s="31">
        <f>'1-1'!A16</f>
        <v>1.1000000000000001</v>
      </c>
      <c r="B21" s="31" t="str">
        <f>'1-1'!C16</f>
        <v>ტრასის აღდგენა და გამაგრება</v>
      </c>
      <c r="C21" s="31" t="str">
        <f>'1-1'!D16</f>
        <v>კმ</v>
      </c>
      <c r="D21" s="31">
        <f>'1-1'!F16</f>
        <v>0.49</v>
      </c>
      <c r="E21" s="30" t="str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კმ</v>
      </c>
      <c r="F21" s="21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0.49</v>
      </c>
      <c r="G21" s="30">
        <f t="shared" ref="G21" si="2">ROUND(H21/F21,2)</f>
        <v>0</v>
      </c>
      <c r="H21" s="31">
        <f>'1-1'!M16</f>
        <v>0</v>
      </c>
      <c r="I21" s="31" t="str">
        <f>'1-1'!B16</f>
        <v>СЦИР-82, გვ. 557, ცხრ. 17; პ. 7 ა კ=1.1;  პ. 15 კ=1.13</v>
      </c>
    </row>
    <row r="22" spans="1:9" s="5" customFormat="1" ht="39.950000000000003" customHeight="1">
      <c r="A22" s="22"/>
      <c r="B22" s="16" t="s">
        <v>4</v>
      </c>
      <c r="C22" s="20"/>
      <c r="D22" s="21"/>
      <c r="E22" s="21"/>
      <c r="F22" s="30"/>
      <c r="G22" s="21"/>
      <c r="H22" s="21">
        <f>ROUND(SUM(H21:H21),2)</f>
        <v>0</v>
      </c>
      <c r="I22" s="32"/>
    </row>
    <row r="23" spans="1:9" s="5" customFormat="1" ht="39.950000000000003" customHeight="1">
      <c r="A23" s="22"/>
      <c r="B23" s="16" t="s">
        <v>10</v>
      </c>
      <c r="C23" s="20"/>
      <c r="D23" s="20"/>
      <c r="E23" s="35" t="s">
        <v>12</v>
      </c>
      <c r="F23" s="20">
        <v>10</v>
      </c>
      <c r="G23" s="20"/>
      <c r="H23" s="21">
        <f>ROUND(H22*F23%,2)</f>
        <v>0</v>
      </c>
      <c r="I23" s="32"/>
    </row>
    <row r="24" spans="1:9" s="5" customFormat="1" ht="39.950000000000003" customHeight="1">
      <c r="A24" s="22"/>
      <c r="B24" s="16" t="s">
        <v>4</v>
      </c>
      <c r="C24" s="20"/>
      <c r="D24" s="20"/>
      <c r="E24" s="30"/>
      <c r="F24" s="20"/>
      <c r="G24" s="30"/>
      <c r="H24" s="30">
        <f>ROUND(SUM(H22:H23),2)</f>
        <v>0</v>
      </c>
      <c r="I24" s="32"/>
    </row>
    <row r="25" spans="1:9" s="5" customFormat="1" ht="39.950000000000003" customHeight="1">
      <c r="A25" s="22"/>
      <c r="B25" s="16" t="s">
        <v>11</v>
      </c>
      <c r="C25" s="20"/>
      <c r="D25" s="20"/>
      <c r="E25" s="35" t="s">
        <v>12</v>
      </c>
      <c r="F25" s="20">
        <v>8</v>
      </c>
      <c r="G25" s="20"/>
      <c r="H25" s="21">
        <f>ROUND(H24*F25%,2)</f>
        <v>0</v>
      </c>
      <c r="I25" s="32"/>
    </row>
    <row r="26" spans="1:9" s="5" customFormat="1" ht="39.950000000000003" customHeight="1">
      <c r="A26" s="22"/>
      <c r="B26" s="16" t="s">
        <v>4</v>
      </c>
      <c r="C26" s="20"/>
      <c r="D26" s="20"/>
      <c r="E26" s="20"/>
      <c r="F26" s="20"/>
      <c r="G26" s="20"/>
      <c r="H26" s="21">
        <f>ROUND(SUM(H24:H25),2)</f>
        <v>0</v>
      </c>
      <c r="I26" s="32"/>
    </row>
    <row r="27" spans="1:9" s="5" customFormat="1" ht="80.099999999999994" customHeight="1">
      <c r="A27" s="16"/>
      <c r="B27" s="18" t="str">
        <f>'2-1'!C7</f>
        <v>მიწის ვაკისი</v>
      </c>
      <c r="C27" s="20"/>
      <c r="D27" s="20"/>
      <c r="E27" s="20"/>
      <c r="F27" s="20"/>
      <c r="G27" s="20"/>
      <c r="H27" s="21"/>
      <c r="I27" s="20"/>
    </row>
    <row r="28" spans="1:9" ht="39.950000000000003" customHeight="1">
      <c r="A28" s="31">
        <f>'2-1'!A8</f>
        <v>1.1000000000000001</v>
      </c>
      <c r="B28" s="31" t="str">
        <f>'2-1'!C8</f>
        <v xml:space="preserve">მე-3 კატეგორიის გრუნტის დამუშავება და დატვირთვა ექსკავატორით ავტოთვითმცლელზე </v>
      </c>
      <c r="C28" s="31" t="str">
        <f>'2-1'!D8</f>
        <v>მ3</v>
      </c>
      <c r="D28" s="31">
        <f>'2-1'!F8</f>
        <v>628</v>
      </c>
      <c r="E28" s="30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21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0" t="e">
        <f t="shared" ref="G28" si="5">ROUND(H28/F28,2)</f>
        <v>#DIV/0!</v>
      </c>
      <c r="H28" s="31">
        <f>'2-1'!M8</f>
        <v>0</v>
      </c>
      <c r="I28" s="31" t="str">
        <f>'2-1'!B8</f>
        <v>1-22-15</v>
      </c>
    </row>
    <row r="29" spans="1:9" ht="39.950000000000003" customHeight="1">
      <c r="A29" s="31">
        <f>'2-1'!A15</f>
        <v>1.2</v>
      </c>
      <c r="B29" s="31" t="str">
        <f>'2-1'!C15</f>
        <v xml:space="preserve">კიუვეტის მოსაწყობად მე-3 კატეგორიის გრუნტის დამუშავება  და დატვირთვა ექსკავატორით ავტოთვითმცლელზე </v>
      </c>
      <c r="C29" s="31" t="str">
        <f>'2-1'!D15</f>
        <v>მ3</v>
      </c>
      <c r="D29" s="31">
        <f>'2-1'!F15</f>
        <v>24</v>
      </c>
      <c r="E29" s="30" t="b">
        <f t="shared" ref="E29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0</v>
      </c>
      <c r="F29" s="21" t="b">
        <f t="shared" ref="F29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</v>
      </c>
      <c r="G29" s="30" t="e">
        <f t="shared" ref="G29" si="8">ROUND(H29/F29,2)</f>
        <v>#DIV/0!</v>
      </c>
      <c r="H29" s="31">
        <f>'2-1'!M15</f>
        <v>0</v>
      </c>
      <c r="I29" s="31" t="str">
        <f>'2-1'!B15</f>
        <v>1-22-15</v>
      </c>
    </row>
    <row r="30" spans="1:9" ht="39.950000000000003" customHeight="1">
      <c r="A30" s="31">
        <f>'2-1'!A22</f>
        <v>1.3</v>
      </c>
      <c r="B30" s="31" t="str">
        <f>'2-1'!C22</f>
        <v>ტვირთის ტრანსპორტირება ნაყარში 3 კმ მანძილზე</v>
      </c>
      <c r="C30" s="31" t="str">
        <f>'2-1'!D22</f>
        <v>ტ</v>
      </c>
      <c r="D30" s="31">
        <f>'2-1'!F22</f>
        <v>1271.3999999999999</v>
      </c>
      <c r="E30" s="30" t="str">
        <f t="shared" ref="E30:E35" si="9">IF(C30="კმ","კმ",IF(C30="1 ჰა","1 ჰა",IF(C30="100 ც","ც",IF(C30="1 ც","ც",IF(C30="ც","ც",IF(C30="ტ","ტ",IF(C30="1 ტ","ტ",IF(C30="მ³","მ³",IF(C30="1 მ³","მ³",IF(C30="10 მ³","მ³",IF(C30="100 მ³","მ³",IF(C30="1000 მ³","მ³",IF(C30="1000 მ","მ",IF(C30="100 მ","მ",IF(C30="10 მ","მ",IF(C30="10 მ ","მ",IF(C30="მ","მ",IF(C30="1000 მ²","მ²",IF(C30="1000 მ² ","მ²",IF(C30="100 მ²","მ²",IF(C30="100 მ² ","მ²",IF(C30="10 მ²","მ²",IF(C30="მ² ","მ²",IF(C30="ლარი","ლარი",IF(C30="ხიდი","ლარი",IF(C30="100 მ","მ",IF(C30="გ.მ.","მ")))))))))))))))))))))))))))</f>
        <v>ტ</v>
      </c>
      <c r="F30" s="21">
        <f t="shared" ref="F30:F35" si="10">IF(C30="კმ",D30,IF(C30="1 ჰა",D30,IF(C30="100 ც",D30*100,IF(C30="1 ც",D30,IF(C30="ც",D30,IF(C30="ტ",D30,IF(C30="1 ტ",D30,IF(C30="მ³",D30,IF(C30="1 მ³",D30,IF(C30="10 მ³",D30*10,IF(C30="100 მ³",D30*100,IF(C30="1000 მ³",D30*1000,IF(C30="1000 მ",D30*1000,IF(C30="100 მ",D30*100,IF(C30="10 მ",D30*10,IF(C30="10 მ ",D30*10,IF(C30="მ",D30,IF(C30="1000 მ²",D30*1000,IF(C30="1000 მ² ",D30*1000,IF(C30="100 მ²",D30*100,IF(C30="100 მ² ",D30*100,IF(C30="10 მ²",D30*10,IF(C30="მ² ",D30,IF(C30="ლარი",D30,IF(C30="ხიდი",D30,IF(C30="100 მ",D30*100,IF(C30="გ.მ.",D30)))))))))))))))))))))))))))</f>
        <v>1271.3999999999999</v>
      </c>
      <c r="G30" s="30">
        <f t="shared" ref="G30:G35" si="11">ROUND(H30/F30,2)</f>
        <v>0</v>
      </c>
      <c r="H30" s="31">
        <f>'2-1'!M22</f>
        <v>0</v>
      </c>
      <c r="I30" s="31" t="str">
        <f>'2-1'!B22</f>
        <v>15-ტრ-3</v>
      </c>
    </row>
    <row r="31" spans="1:9" ht="39.950000000000003" customHeight="1">
      <c r="A31" s="31">
        <f>'2-1'!A24</f>
        <v>1.4</v>
      </c>
      <c r="B31" s="31" t="str">
        <f>'2-1'!C24</f>
        <v>მე-2 კატეგორიის გრუნტის დამუშავება ნაყარში</v>
      </c>
      <c r="C31" s="31" t="str">
        <f>'2-1'!D24</f>
        <v>მ3</v>
      </c>
      <c r="D31" s="31">
        <f>'2-1'!F24</f>
        <v>652</v>
      </c>
      <c r="E31" s="30" t="b">
        <f t="shared" si="9"/>
        <v>0</v>
      </c>
      <c r="F31" s="21" t="b">
        <f t="shared" si="10"/>
        <v>0</v>
      </c>
      <c r="G31" s="30" t="e">
        <f t="shared" si="11"/>
        <v>#DIV/0!</v>
      </c>
      <c r="H31" s="31">
        <f>'2-1'!M24</f>
        <v>0</v>
      </c>
      <c r="I31" s="31" t="str">
        <f>'2-1'!B24</f>
        <v>1-25-2</v>
      </c>
    </row>
    <row r="32" spans="1:9" ht="39.950000000000003" customHeight="1">
      <c r="A32" s="31">
        <f>'2-1'!A31</f>
        <v>1.5</v>
      </c>
      <c r="B32" s="31" t="str">
        <f>'2-1'!C31</f>
        <v xml:space="preserve">ხრეშოვანი გრუნტის დატვირთვა კარიერში ექსკავატორით ავტოთვითმცლელზე </v>
      </c>
      <c r="C32" s="31" t="str">
        <f>'2-1'!D31</f>
        <v>მ3</v>
      </c>
      <c r="D32" s="31">
        <f>'2-1'!F31</f>
        <v>262</v>
      </c>
      <c r="E32" s="30" t="b">
        <f t="shared" si="9"/>
        <v>0</v>
      </c>
      <c r="F32" s="21" t="b">
        <f t="shared" si="10"/>
        <v>0</v>
      </c>
      <c r="G32" s="30" t="e">
        <f t="shared" si="11"/>
        <v>#DIV/0!</v>
      </c>
      <c r="H32" s="31">
        <f>'2-1'!M31</f>
        <v>0</v>
      </c>
      <c r="I32" s="31" t="str">
        <f>'2-1'!B31</f>
        <v>1-22-15</v>
      </c>
    </row>
    <row r="33" spans="1:10" ht="39.950000000000003" customHeight="1">
      <c r="A33" s="31">
        <f>'2-1'!A38</f>
        <v>1.6</v>
      </c>
      <c r="B33" s="31" t="str">
        <f>'2-1'!C38</f>
        <v>გრუნტის ტრანსპორტირება კარიერიდან 15 კმ მანძილზე</v>
      </c>
      <c r="C33" s="31" t="str">
        <f>'2-1'!D38</f>
        <v>ტ</v>
      </c>
      <c r="D33" s="31">
        <f>'2-1'!F38</f>
        <v>510.9</v>
      </c>
      <c r="E33" s="30" t="str">
        <f t="shared" si="9"/>
        <v>ტ</v>
      </c>
      <c r="F33" s="21">
        <f t="shared" si="10"/>
        <v>510.9</v>
      </c>
      <c r="G33" s="30">
        <f t="shared" si="11"/>
        <v>0</v>
      </c>
      <c r="H33" s="31">
        <f>'2-1'!M38</f>
        <v>0</v>
      </c>
      <c r="I33" s="31" t="str">
        <f>'2-1'!B38</f>
        <v>15-ტრ-15</v>
      </c>
    </row>
    <row r="34" spans="1:10" ht="39.950000000000003" customHeight="1">
      <c r="A34" s="31">
        <f>'2-1'!A40</f>
        <v>1.7</v>
      </c>
      <c r="B34" s="31" t="str">
        <f>'2-1'!C40</f>
        <v>შემოტანილი გრუნტის მოსწორება ბულდოზერით</v>
      </c>
      <c r="C34" s="31" t="str">
        <f>'2-1'!D40</f>
        <v>მ3</v>
      </c>
      <c r="D34" s="31">
        <f>'2-1'!F40</f>
        <v>262</v>
      </c>
      <c r="E34" s="30" t="b">
        <f t="shared" si="9"/>
        <v>0</v>
      </c>
      <c r="F34" s="21" t="b">
        <f t="shared" si="10"/>
        <v>0</v>
      </c>
      <c r="G34" s="30" t="e">
        <f t="shared" si="11"/>
        <v>#DIV/0!</v>
      </c>
      <c r="H34" s="31">
        <f>'2-1'!M40</f>
        <v>0</v>
      </c>
      <c r="I34" s="31" t="str">
        <f>'2-1'!B40</f>
        <v>1-29-6  -10</v>
      </c>
    </row>
    <row r="35" spans="1:10" ht="39.950000000000003" customHeight="1">
      <c r="A35" s="31">
        <f>'2-1'!A45</f>
        <v>0</v>
      </c>
      <c r="B35" s="31">
        <f>'2-1'!C45</f>
        <v>0</v>
      </c>
      <c r="C35" s="31" t="str">
        <f>'2-1'!D45</f>
        <v>10 000 მ2</v>
      </c>
      <c r="D35" s="31">
        <f>'2-1'!F45</f>
        <v>0.31</v>
      </c>
      <c r="E35" s="30" t="b">
        <f t="shared" si="9"/>
        <v>0</v>
      </c>
      <c r="F35" s="21" t="b">
        <f t="shared" si="10"/>
        <v>0</v>
      </c>
      <c r="G35" s="30" t="e">
        <f t="shared" si="11"/>
        <v>#DIV/0!</v>
      </c>
      <c r="H35" s="31">
        <f>'2-1'!M45</f>
        <v>0</v>
      </c>
      <c r="I35" s="31">
        <f>'2-1'!B45</f>
        <v>0</v>
      </c>
      <c r="J35" s="3"/>
    </row>
    <row r="36" spans="1:10" s="5" customFormat="1" ht="39.950000000000003" customHeight="1">
      <c r="A36" s="22"/>
      <c r="B36" s="16" t="s">
        <v>4</v>
      </c>
      <c r="C36" s="20"/>
      <c r="D36" s="21"/>
      <c r="E36" s="21"/>
      <c r="F36" s="30"/>
      <c r="G36" s="21"/>
      <c r="H36" s="21">
        <f>ROUND(SUM(H28:H35),2)</f>
        <v>0</v>
      </c>
      <c r="I36" s="32"/>
    </row>
    <row r="37" spans="1:10" s="5" customFormat="1" ht="39.950000000000003" customHeight="1">
      <c r="A37" s="22"/>
      <c r="B37" s="16" t="s">
        <v>10</v>
      </c>
      <c r="C37" s="20"/>
      <c r="D37" s="20"/>
      <c r="E37" s="35" t="s">
        <v>12</v>
      </c>
      <c r="F37" s="20">
        <v>10</v>
      </c>
      <c r="G37" s="20"/>
      <c r="H37" s="21">
        <f>ROUND(H36*F37%,2)</f>
        <v>0</v>
      </c>
      <c r="I37" s="32"/>
    </row>
    <row r="38" spans="1:10" s="5" customFormat="1" ht="39.950000000000003" customHeight="1">
      <c r="A38" s="22"/>
      <c r="B38" s="16" t="s">
        <v>4</v>
      </c>
      <c r="C38" s="20"/>
      <c r="D38" s="20"/>
      <c r="E38" s="30"/>
      <c r="F38" s="20"/>
      <c r="G38" s="30"/>
      <c r="H38" s="30">
        <f>ROUND(SUM(H36:H37),2)</f>
        <v>0</v>
      </c>
      <c r="I38" s="32"/>
    </row>
    <row r="39" spans="1:10" s="5" customFormat="1" ht="39.950000000000003" customHeight="1">
      <c r="A39" s="22"/>
      <c r="B39" s="16" t="s">
        <v>11</v>
      </c>
      <c r="C39" s="20"/>
      <c r="D39" s="20"/>
      <c r="E39" s="35" t="s">
        <v>12</v>
      </c>
      <c r="F39" s="20">
        <v>8</v>
      </c>
      <c r="G39" s="20"/>
      <c r="H39" s="21">
        <f>ROUND(H38*F39%,2)</f>
        <v>0</v>
      </c>
      <c r="I39" s="32"/>
    </row>
    <row r="40" spans="1:10" s="5" customFormat="1" ht="39.950000000000003" customHeight="1">
      <c r="A40" s="22"/>
      <c r="B40" s="16" t="s">
        <v>4</v>
      </c>
      <c r="C40" s="20"/>
      <c r="D40" s="20"/>
      <c r="E40" s="20"/>
      <c r="F40" s="20"/>
      <c r="G40" s="20"/>
      <c r="H40" s="21">
        <f>ROUND(SUM(H38:H39),2)</f>
        <v>0</v>
      </c>
      <c r="I40" s="32"/>
    </row>
    <row r="41" spans="1:10" s="5" customFormat="1" ht="80.099999999999994" customHeight="1">
      <c r="A41" s="16"/>
      <c r="B41" s="18" t="str">
        <f>'3-1'!C8</f>
        <v>ღობის მოწყობის სამუშაოები</v>
      </c>
      <c r="C41" s="20"/>
      <c r="D41" s="20"/>
      <c r="E41" s="20"/>
      <c r="F41" s="20"/>
      <c r="G41" s="20"/>
      <c r="H41" s="21"/>
      <c r="I41" s="20"/>
    </row>
    <row r="42" spans="1:10" ht="39.950000000000003" customHeight="1">
      <c r="A42" s="31">
        <f>'3-1'!A10</f>
        <v>1.1000000000000001</v>
      </c>
      <c r="B42" s="31" t="str">
        <f>'3-1'!C10</f>
        <v>არსებული ღობის დემონტაჟი</v>
      </c>
      <c r="C42" s="31" t="str">
        <f>'3-1'!D10</f>
        <v>მ</v>
      </c>
      <c r="D42" s="31">
        <f>'3-1'!F10</f>
        <v>397</v>
      </c>
      <c r="E42" s="30" t="str">
        <f t="shared" ref="E42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მ</v>
      </c>
      <c r="F42" s="30">
        <f t="shared" ref="F42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397</v>
      </c>
      <c r="G42" s="30">
        <f t="shared" ref="G42" si="14">ROUND(H42/F42,2)</f>
        <v>0</v>
      </c>
      <c r="H42" s="31">
        <f>'3-1'!M10</f>
        <v>0</v>
      </c>
      <c r="I42" s="31" t="str">
        <f>'3-1'!B10</f>
        <v>27-50-9.</v>
      </c>
    </row>
    <row r="43" spans="1:10" ht="39.950000000000003" customHeight="1">
      <c r="A43" s="31">
        <f>'3-1'!A17</f>
        <v>1.2</v>
      </c>
      <c r="B43" s="31" t="str">
        <f>'3-1'!C17</f>
        <v xml:space="preserve">მე-3 კატეგორიის გრუნტის დამუშავება და დატვირთვა ექსკავატორით ავტოთვითმცლელზე </v>
      </c>
      <c r="C43" s="31" t="str">
        <f>'3-1'!D17</f>
        <v>მ3</v>
      </c>
      <c r="D43" s="31">
        <f>'3-1'!F17</f>
        <v>555.79999999999995</v>
      </c>
      <c r="E43" s="30" t="b">
        <f t="shared" ref="E43:E55" si="15">IF(C43="კმ","კმ",IF(C43="1 ჰა","1 ჰა",IF(C43="100 ც","ც",IF(C43="1 ც","ც",IF(C43="ც","ც",IF(C43="ტ","ტ",IF(C43="1 ტ","ტ",IF(C43="მ³","მ³",IF(C43="1 მ³","მ³",IF(C43="10 მ³","მ³",IF(C43="100 მ³","მ³",IF(C43="1000 მ³","მ³",IF(C43="1000 მ","მ",IF(C43="100 მ","მ",IF(C43="10 მ","მ",IF(C43="10 მ ","მ",IF(C43="მ","მ",IF(C43="1000 მ²","მ²",IF(C43="1000 მ² ","მ²",IF(C43="100 მ²","მ²",IF(C43="100 მ² ","მ²",IF(C43="10 მ²","მ²",IF(C43="მ² ","მ²",IF(C43="ლარი","ლარი",IF(C43="ხიდი","ლარი",IF(C43="100 მ","მ",IF(C43="გ.მ.","მ")))))))))))))))))))))))))))</f>
        <v>0</v>
      </c>
      <c r="F43" s="30" t="b">
        <f t="shared" ref="F43:F55" si="16">IF(C43="კმ",D43,IF(C43="1 ჰა",D43,IF(C43="100 ც",D43*100,IF(C43="1 ც",D43,IF(C43="ც",D43,IF(C43="ტ",D43,IF(C43="1 ტ",D43,IF(C43="მ³",D43,IF(C43="1 მ³",D43,IF(C43="10 მ³",D43*10,IF(C43="100 მ³",D43*100,IF(C43="1000 მ³",D43*1000,IF(C43="1000 მ",D43*1000,IF(C43="100 მ",D43*100,IF(C43="10 მ",D43*10,IF(C43="10 მ ",D43*10,IF(C43="მ",D43,IF(C43="1000 მ²",D43*1000,IF(C43="1000 მ² ",D43*1000,IF(C43="100 მ²",D43*100,IF(C43="100 მ² ",D43*100,IF(C43="10 მ²",D43*10,IF(C43="მ² ",D43,IF(C43="ლარი",D43,IF(C43="ხიდი",D43,IF(C43="100 მ",D43*100,IF(C43="გ.მ.",D43)))))))))))))))))))))))))))</f>
        <v>0</v>
      </c>
      <c r="G43" s="30" t="e">
        <f t="shared" ref="G43:G55" si="17">ROUND(H43/F43,2)</f>
        <v>#DIV/0!</v>
      </c>
      <c r="H43" s="31">
        <f>'3-1'!M17</f>
        <v>0</v>
      </c>
      <c r="I43" s="31" t="str">
        <f>'3-1'!B17</f>
        <v>1-22-15.</v>
      </c>
    </row>
    <row r="44" spans="1:10" ht="39.950000000000003" customHeight="1">
      <c r="A44" s="31">
        <f>'3-1'!A25</f>
        <v>0</v>
      </c>
      <c r="B44" s="31">
        <f>'3-1'!C25</f>
        <v>0</v>
      </c>
      <c r="C44" s="31" t="str">
        <f>'3-1'!D25</f>
        <v>100 მ3</v>
      </c>
      <c r="D44" s="31">
        <f>'3-1'!F25</f>
        <v>0.18</v>
      </c>
      <c r="E44" s="30" t="b">
        <f t="shared" si="15"/>
        <v>0</v>
      </c>
      <c r="F44" s="30" t="b">
        <f t="shared" si="16"/>
        <v>0</v>
      </c>
      <c r="G44" s="30" t="e">
        <f t="shared" si="17"/>
        <v>#DIV/0!</v>
      </c>
      <c r="H44" s="31">
        <f>'3-1'!M25</f>
        <v>0</v>
      </c>
      <c r="I44" s="31" t="str">
        <f>'3-1'!B25</f>
        <v>პ. 3.105</v>
      </c>
    </row>
    <row r="45" spans="1:10" ht="39.950000000000003" customHeight="1">
      <c r="A45" s="31">
        <f>'3-1'!A28</f>
        <v>1.4</v>
      </c>
      <c r="B45" s="31" t="str">
        <f>'3-1'!C28</f>
        <v xml:space="preserve">გრუნტის დატვირთვა ავტოთვითმცლელზე ხელით </v>
      </c>
      <c r="C45" s="31" t="str">
        <f>'3-1'!D28</f>
        <v>ტ</v>
      </c>
      <c r="D45" s="31">
        <f>'3-1'!F28</f>
        <v>35.1</v>
      </c>
      <c r="E45" s="30" t="str">
        <f t="shared" si="15"/>
        <v>ტ</v>
      </c>
      <c r="F45" s="30">
        <f t="shared" si="16"/>
        <v>35.1</v>
      </c>
      <c r="G45" s="30">
        <f t="shared" si="17"/>
        <v>0</v>
      </c>
      <c r="H45" s="31">
        <f>'3-1'!M28</f>
        <v>0</v>
      </c>
      <c r="I45" s="31" t="str">
        <f>'3-1'!B28</f>
        <v>Е1-22/1-а</v>
      </c>
    </row>
    <row r="46" spans="1:10" ht="39.950000000000003" customHeight="1">
      <c r="A46" s="31">
        <f>'3-1'!A31</f>
        <v>1.5</v>
      </c>
      <c r="B46" s="31" t="str">
        <f>'3-1'!C31</f>
        <v>ტვირთის ტრანსპორტირება ნაყარში 3 კმ მანძილზე</v>
      </c>
      <c r="C46" s="31" t="str">
        <f>'3-1'!D31</f>
        <v>ტ</v>
      </c>
      <c r="D46" s="31">
        <f>'3-1'!F31</f>
        <v>1118.9099999999999</v>
      </c>
      <c r="E46" s="30" t="str">
        <f t="shared" si="15"/>
        <v>ტ</v>
      </c>
      <c r="F46" s="30">
        <f t="shared" si="16"/>
        <v>1118.9099999999999</v>
      </c>
      <c r="G46" s="30">
        <f t="shared" si="17"/>
        <v>0</v>
      </c>
      <c r="H46" s="31">
        <f>'3-1'!M31</f>
        <v>0</v>
      </c>
      <c r="I46" s="31" t="str">
        <f>'3-1'!B31</f>
        <v>15-ტრ-3</v>
      </c>
    </row>
    <row r="47" spans="1:10" ht="39.950000000000003" customHeight="1">
      <c r="A47" s="31">
        <f>'3-1'!A33</f>
        <v>1.6</v>
      </c>
      <c r="B47" s="31" t="str">
        <f>'3-1'!C33</f>
        <v>მე-3 კატეგორიის გრუნტის დამუშავება ნაყარში</v>
      </c>
      <c r="C47" s="31" t="str">
        <f>'3-1'!D33</f>
        <v>მ3</v>
      </c>
      <c r="D47" s="31">
        <f>'3-1'!F33</f>
        <v>573.79999999999995</v>
      </c>
      <c r="E47" s="30" t="b">
        <f t="shared" si="15"/>
        <v>0</v>
      </c>
      <c r="F47" s="30" t="b">
        <f t="shared" si="16"/>
        <v>0</v>
      </c>
      <c r="G47" s="30" t="e">
        <f t="shared" si="17"/>
        <v>#DIV/0!</v>
      </c>
      <c r="H47" s="31">
        <f>'3-1'!M33</f>
        <v>0</v>
      </c>
      <c r="I47" s="31" t="str">
        <f>'3-1'!B33</f>
        <v>1-25-2</v>
      </c>
    </row>
    <row r="48" spans="1:10" ht="39.950000000000003" customHeight="1">
      <c r="A48" s="31">
        <f>'3-1'!A40</f>
        <v>1.7</v>
      </c>
      <c r="B48" s="31" t="str">
        <f>'3-1'!C40</f>
        <v>ქვიშა-ხრეშოვანი ქვესაგები ფენის მოწყობა სისქით 20 სმ</v>
      </c>
      <c r="C48" s="31" t="str">
        <f>'3-1'!D40</f>
        <v>მ3</v>
      </c>
      <c r="D48" s="31">
        <f>'3-1'!F40</f>
        <v>79</v>
      </c>
      <c r="E48" s="30" t="b">
        <f t="shared" si="15"/>
        <v>0</v>
      </c>
      <c r="F48" s="30" t="b">
        <f t="shared" si="16"/>
        <v>0</v>
      </c>
      <c r="G48" s="30" t="e">
        <f t="shared" si="17"/>
        <v>#DIV/0!</v>
      </c>
      <c r="H48" s="31">
        <f>'3-1'!M40</f>
        <v>0</v>
      </c>
      <c r="I48" s="31" t="str">
        <f>'3-1'!B40</f>
        <v>8-3-2.</v>
      </c>
    </row>
    <row r="49" spans="1:10" ht="39.950000000000003" customHeight="1">
      <c r="A49" s="31">
        <f>'3-1'!A47</f>
        <v>1.8</v>
      </c>
      <c r="B49" s="31" t="str">
        <f>'3-1'!C47</f>
        <v>ბეტონის საგების  მომზადება სისქით 10 სმ</v>
      </c>
      <c r="C49" s="31" t="str">
        <f>'3-1'!D47</f>
        <v>მ3</v>
      </c>
      <c r="D49" s="31">
        <f>'3-1'!F47</f>
        <v>40</v>
      </c>
      <c r="E49" s="30" t="b">
        <f t="shared" si="15"/>
        <v>0</v>
      </c>
      <c r="F49" s="30" t="b">
        <f t="shared" si="16"/>
        <v>0</v>
      </c>
      <c r="G49" s="30" t="e">
        <f t="shared" si="17"/>
        <v>#DIV/0!</v>
      </c>
      <c r="H49" s="31">
        <f>'3-1'!M47</f>
        <v>0</v>
      </c>
      <c r="I49" s="31" t="str">
        <f>'3-1'!B47</f>
        <v>6-1-1.</v>
      </c>
      <c r="J49" s="3"/>
    </row>
    <row r="50" spans="1:10" ht="39.950000000000003" customHeight="1">
      <c r="A50" s="31">
        <f>'3-1'!A54</f>
        <v>1.9</v>
      </c>
      <c r="B50" s="31" t="str">
        <f>'3-1'!C54</f>
        <v>რ/ბ საყრდენი კედლის მოწყობა</v>
      </c>
      <c r="C50" s="31" t="str">
        <f>'3-1'!D54</f>
        <v>მ3</v>
      </c>
      <c r="D50" s="31">
        <f>'3-1'!F54</f>
        <v>299</v>
      </c>
      <c r="E50" s="30" t="b">
        <f t="shared" si="15"/>
        <v>0</v>
      </c>
      <c r="F50" s="30" t="b">
        <f t="shared" si="16"/>
        <v>0</v>
      </c>
      <c r="G50" s="30" t="e">
        <f t="shared" si="17"/>
        <v>#DIV/0!</v>
      </c>
      <c r="H50" s="31">
        <f>'3-1'!M54</f>
        <v>0</v>
      </c>
      <c r="I50" s="31" t="str">
        <f>'3-1'!B54</f>
        <v>6-11-7.</v>
      </c>
    </row>
    <row r="51" spans="1:10" ht="39.950000000000003" customHeight="1">
      <c r="A51" s="36">
        <f>'3-1'!A66</f>
        <v>1.1000000000000001</v>
      </c>
      <c r="B51" s="31" t="str">
        <f>'3-1'!C66</f>
        <v>პოლიეთილენის სადრენაჟე მილის მონტაჟი</v>
      </c>
      <c r="C51" s="31" t="str">
        <f>'3-1'!D66</f>
        <v>მ</v>
      </c>
      <c r="D51" s="31">
        <f>'3-1'!F66</f>
        <v>62</v>
      </c>
      <c r="E51" s="30" t="str">
        <f t="shared" si="15"/>
        <v>მ</v>
      </c>
      <c r="F51" s="30">
        <f t="shared" si="16"/>
        <v>62</v>
      </c>
      <c r="G51" s="30">
        <f t="shared" si="17"/>
        <v>0</v>
      </c>
      <c r="H51" s="31">
        <f>'3-1'!M66</f>
        <v>0</v>
      </c>
      <c r="I51" s="31" t="str">
        <f>'3-1'!B66</f>
        <v>27-5-3.</v>
      </c>
    </row>
    <row r="52" spans="1:10" ht="39.950000000000003" customHeight="1">
      <c r="A52" s="31">
        <f>'3-1'!A73</f>
        <v>1.1100000000000001</v>
      </c>
      <c r="B52" s="31" t="str">
        <f>'3-1'!C73</f>
        <v>ქვაყრილის მოყრა</v>
      </c>
      <c r="C52" s="31" t="str">
        <f>'3-1'!D73</f>
        <v>მ3</v>
      </c>
      <c r="D52" s="31">
        <f>'3-1'!F73</f>
        <v>150</v>
      </c>
      <c r="E52" s="30" t="b">
        <f t="shared" si="15"/>
        <v>0</v>
      </c>
      <c r="F52" s="30" t="b">
        <f t="shared" si="16"/>
        <v>0</v>
      </c>
      <c r="G52" s="30" t="e">
        <f t="shared" si="17"/>
        <v>#DIV/0!</v>
      </c>
      <c r="H52" s="31">
        <f>'3-1'!M73</f>
        <v>0</v>
      </c>
      <c r="I52" s="31" t="str">
        <f>'3-1'!B73</f>
        <v>1-31-6; -16</v>
      </c>
    </row>
    <row r="53" spans="1:10" ht="39.950000000000003" customHeight="1">
      <c r="A53" s="31">
        <f>'3-1'!A78</f>
        <v>1.1200000000000001</v>
      </c>
      <c r="B53" s="31" t="str">
        <f>'3-1'!C78</f>
        <v>პოხიერი თიხის ბალიშის მოწყობა სისქით 20 სმ</v>
      </c>
      <c r="C53" s="31" t="str">
        <f>'3-1'!D78</f>
        <v>მ3</v>
      </c>
      <c r="D53" s="31">
        <f>'3-1'!F78</f>
        <v>95</v>
      </c>
      <c r="E53" s="30" t="b">
        <f t="shared" si="15"/>
        <v>0</v>
      </c>
      <c r="F53" s="30" t="b">
        <f t="shared" si="16"/>
        <v>0</v>
      </c>
      <c r="G53" s="30" t="e">
        <f t="shared" si="17"/>
        <v>#DIV/0!</v>
      </c>
      <c r="H53" s="31">
        <f>'3-1'!M78</f>
        <v>0</v>
      </c>
      <c r="I53" s="31" t="str">
        <f>'3-1'!B78</f>
        <v>8-4-8.</v>
      </c>
    </row>
    <row r="54" spans="1:10" ht="39.950000000000003" customHeight="1">
      <c r="A54" s="31">
        <f>'3-1'!A85</f>
        <v>1.1299999999999999</v>
      </c>
      <c r="B54" s="31" t="str">
        <f>'3-1'!C85</f>
        <v>დრენირებადი გრუნტის უკუჩაყრა</v>
      </c>
      <c r="C54" s="31" t="str">
        <f>'3-1'!D85</f>
        <v>მ3</v>
      </c>
      <c r="D54" s="31">
        <f>'3-1'!F85</f>
        <v>659</v>
      </c>
      <c r="E54" s="30" t="b">
        <f t="shared" si="15"/>
        <v>0</v>
      </c>
      <c r="F54" s="30" t="b">
        <f t="shared" si="16"/>
        <v>0</v>
      </c>
      <c r="G54" s="30" t="e">
        <f t="shared" si="17"/>
        <v>#DIV/0!</v>
      </c>
      <c r="H54" s="31">
        <f>'3-1'!M85</f>
        <v>0</v>
      </c>
      <c r="I54" s="31" t="str">
        <f>'3-1'!B85</f>
        <v>1-22-14</v>
      </c>
    </row>
    <row r="55" spans="1:10" ht="39.950000000000003" customHeight="1">
      <c r="A55" s="31">
        <f>'3-1'!A92</f>
        <v>1.1399999999999999</v>
      </c>
      <c r="B55" s="31" t="str">
        <f>'3-1'!C92</f>
        <v xml:space="preserve"> წასაცხები ჰიდროიზოლაციის მოწყობა, 2 ფენა</v>
      </c>
      <c r="C55" s="31" t="str">
        <f>'3-1'!D92</f>
        <v>მ2</v>
      </c>
      <c r="D55" s="31">
        <f>'3-1'!F92</f>
        <v>1191</v>
      </c>
      <c r="E55" s="30" t="b">
        <f t="shared" si="15"/>
        <v>0</v>
      </c>
      <c r="F55" s="30" t="b">
        <f t="shared" si="16"/>
        <v>0</v>
      </c>
      <c r="G55" s="30" t="e">
        <f t="shared" si="17"/>
        <v>#DIV/0!</v>
      </c>
      <c r="H55" s="31">
        <f>'3-1'!M92</f>
        <v>0</v>
      </c>
      <c r="I55" s="31" t="str">
        <f>'3-1'!B92</f>
        <v>8-4-7.</v>
      </c>
    </row>
    <row r="56" spans="1:10" s="5" customFormat="1" ht="39.950000000000003" customHeight="1">
      <c r="A56" s="22"/>
      <c r="B56" s="16" t="s">
        <v>4</v>
      </c>
      <c r="C56" s="20"/>
      <c r="D56" s="21"/>
      <c r="E56" s="21"/>
      <c r="F56" s="30"/>
      <c r="G56" s="21"/>
      <c r="H56" s="21">
        <f>ROUND(SUM(H42:H55),2)</f>
        <v>0</v>
      </c>
      <c r="I56" s="32"/>
    </row>
    <row r="57" spans="1:10" s="5" customFormat="1" ht="39.950000000000003" customHeight="1">
      <c r="A57" s="22"/>
      <c r="B57" s="16" t="s">
        <v>10</v>
      </c>
      <c r="C57" s="20"/>
      <c r="D57" s="20"/>
      <c r="E57" s="35" t="s">
        <v>12</v>
      </c>
      <c r="F57" s="20">
        <v>10</v>
      </c>
      <c r="G57" s="20"/>
      <c r="H57" s="21">
        <f>ROUND(H56*F57%,2)</f>
        <v>0</v>
      </c>
      <c r="I57" s="32"/>
    </row>
    <row r="58" spans="1:10" s="5" customFormat="1" ht="39.950000000000003" customHeight="1">
      <c r="A58" s="22"/>
      <c r="B58" s="16" t="s">
        <v>4</v>
      </c>
      <c r="C58" s="20"/>
      <c r="D58" s="20"/>
      <c r="E58" s="30"/>
      <c r="F58" s="20"/>
      <c r="G58" s="30"/>
      <c r="H58" s="21">
        <f>ROUND(SUM(H56:H57),2)</f>
        <v>0</v>
      </c>
      <c r="I58" s="32"/>
    </row>
    <row r="59" spans="1:10" s="5" customFormat="1" ht="39.950000000000003" customHeight="1">
      <c r="A59" s="22"/>
      <c r="B59" s="16" t="s">
        <v>11</v>
      </c>
      <c r="C59" s="20"/>
      <c r="D59" s="20"/>
      <c r="E59" s="35" t="s">
        <v>12</v>
      </c>
      <c r="F59" s="20">
        <v>8</v>
      </c>
      <c r="G59" s="20"/>
      <c r="H59" s="21">
        <f>ROUND(H58*F59%,2)</f>
        <v>0</v>
      </c>
      <c r="I59" s="32"/>
    </row>
    <row r="60" spans="1:10" s="5" customFormat="1" ht="39.75" customHeight="1">
      <c r="A60" s="22"/>
      <c r="B60" s="16" t="s">
        <v>4</v>
      </c>
      <c r="C60" s="20"/>
      <c r="D60" s="20"/>
      <c r="E60" s="20"/>
      <c r="F60" s="20"/>
      <c r="G60" s="20"/>
      <c r="H60" s="21">
        <f>ROUND(SUM(H58:H59),2)</f>
        <v>0</v>
      </c>
      <c r="I60" s="32"/>
    </row>
    <row r="61" spans="1:10" s="5" customFormat="1" ht="80.099999999999994" customHeight="1">
      <c r="A61" s="16"/>
      <c r="B61" s="18" t="str">
        <f>'3-2'!C8</f>
        <v>რ/ბ კედლის მოწყობის სამუშაოები</v>
      </c>
      <c r="C61" s="20"/>
      <c r="D61" s="20"/>
      <c r="E61" s="20"/>
      <c r="F61" s="20"/>
      <c r="G61" s="20"/>
      <c r="H61" s="21"/>
      <c r="I61" s="20"/>
    </row>
    <row r="62" spans="1:10" ht="39.950000000000003" customHeight="1">
      <c r="A62" s="31">
        <f>'3-2'!A10</f>
        <v>1.1000000000000001</v>
      </c>
      <c r="B62" s="31" t="str">
        <f>'3-2'!C10</f>
        <v xml:space="preserve">მე-4 კატეგორიის გრუნტის დამუშავება და დატვირთვა ექსკავატორით ავტოთვითმცლელზე </v>
      </c>
      <c r="C62" s="31" t="str">
        <f>'3-2'!D10</f>
        <v>მ3</v>
      </c>
      <c r="D62" s="31">
        <f>'3-2'!F10</f>
        <v>744</v>
      </c>
      <c r="E62" s="30" t="b">
        <f t="shared" ref="E62" si="18">IF(C62="კმ","კმ",IF(C62="1 ჰა","1 ჰა",IF(C62="100 ც","ც",IF(C62="1 ც","ც",IF(C62="ც","ც",IF(C62="ტ","ტ",IF(C62="1 ტ","ტ",IF(C62="მ³","მ³",IF(C62="1 მ³","მ³",IF(C62="10 მ³","მ³",IF(C62="100 მ³","მ³",IF(C62="1000 მ³","მ³",IF(C62="1000 მ","მ",IF(C62="100 მ","მ",IF(C62="10 მ","მ",IF(C62="10 მ ","მ",IF(C62="მ","მ",IF(C62="1000 მ²","მ²",IF(C62="1000 მ² ","მ²",IF(C62="100 მ²","მ²",IF(C62="100 მ² ","მ²",IF(C62="10 მ²","მ²",IF(C62="მ² ","მ²",IF(C62="ლარი","ლარი",IF(C62="ხიდი","ლარი",IF(C62="100 მ","მ",IF(C62="გ.მ.","მ")))))))))))))))))))))))))))</f>
        <v>0</v>
      </c>
      <c r="F62" s="30" t="b">
        <f t="shared" ref="F62" si="19">IF(C62="კმ",D62,IF(C62="1 ჰა",D62,IF(C62="100 ც",D62*100,IF(C62="1 ც",D62,IF(C62="ც",D62,IF(C62="ტ",D62,IF(C62="1 ტ",D62,IF(C62="მ³",D62,IF(C62="1 მ³",D62,IF(C62="10 მ³",D62*10,IF(C62="100 მ³",D62*100,IF(C62="1000 მ³",D62*1000,IF(C62="1000 მ",D62*1000,IF(C62="100 მ",D62*100,IF(C62="10 მ",D62*10,IF(C62="10 მ ",D62*10,IF(C62="მ",D62,IF(C62="1000 მ²",D62*1000,IF(C62="1000 მ² ",D62*1000,IF(C62="100 მ²",D62*100,IF(C62="100 მ² ",D62*100,IF(C62="10 მ²",D62*10,IF(C62="მ² ",D62,IF(C62="ლარი",D62,IF(C62="ხიდი",D62,IF(C62="100 მ",D62*100,IF(C62="გ.მ.",D62)))))))))))))))))))))))))))</f>
        <v>0</v>
      </c>
      <c r="G62" s="30" t="e">
        <f t="shared" ref="G62" si="20">ROUND(H62/F62,2)</f>
        <v>#DIV/0!</v>
      </c>
      <c r="H62" s="31">
        <f>'3-2'!M10</f>
        <v>0</v>
      </c>
      <c r="I62" s="31" t="e">
        <f>'3-2'!#REF!</f>
        <v>#REF!</v>
      </c>
    </row>
    <row r="63" spans="1:10" ht="39.950000000000003" customHeight="1">
      <c r="A63" s="31">
        <f>'3-2'!A17</f>
        <v>1.2</v>
      </c>
      <c r="B63" s="31" t="str">
        <f>'3-2'!C17</f>
        <v xml:space="preserve">მე-4 კატეგორიის გრუნტის ფენის დამუშავება ხელით სიღრმით 2 მ-მდე </v>
      </c>
      <c r="C63" s="31" t="str">
        <f>'3-2'!D17</f>
        <v>მ3</v>
      </c>
      <c r="D63" s="31">
        <f>'3-2'!F17</f>
        <v>7</v>
      </c>
      <c r="E63" s="30" t="b">
        <f t="shared" ref="E63:E78" si="21">IF(C63="კმ","კმ",IF(C63="1 ჰა","1 ჰა",IF(C63="100 ც","ც",IF(C63="1 ც","ც",IF(C63="ც","ც",IF(C63="ტ","ტ",IF(C63="1 ტ","ტ",IF(C63="მ³","მ³",IF(C63="1 მ³","მ³",IF(C63="10 მ³","მ³",IF(C63="100 მ³","მ³",IF(C63="1000 მ³","მ³",IF(C63="1000 მ","მ",IF(C63="100 მ","მ",IF(C63="10 მ","მ",IF(C63="10 მ ","მ",IF(C63="მ","მ",IF(C63="1000 მ²","მ²",IF(C63="1000 მ² ","მ²",IF(C63="100 მ²","მ²",IF(C63="100 მ² ","მ²",IF(C63="10 მ²","მ²",IF(C63="მ² ","მ²",IF(C63="ლარი","ლარი",IF(C63="ხიდი","ლარი",IF(C63="100 მ","მ",IF(C63="გ.მ.","მ")))))))))))))))))))))))))))</f>
        <v>0</v>
      </c>
      <c r="F63" s="30" t="b">
        <f t="shared" ref="F63:F78" si="22">IF(C63="კმ",D63,IF(C63="1 ჰა",D63,IF(C63="100 ც",D63*100,IF(C63="1 ც",D63,IF(C63="ც",D63,IF(C63="ტ",D63,IF(C63="1 ტ",D63,IF(C63="მ³",D63,IF(C63="1 მ³",D63,IF(C63="10 მ³",D63*10,IF(C63="100 მ³",D63*100,IF(C63="1000 მ³",D63*1000,IF(C63="1000 მ",D63*1000,IF(C63="100 მ",D63*100,IF(C63="10 მ",D63*10,IF(C63="10 მ ",D63*10,IF(C63="მ",D63,IF(C63="1000 მ²",D63*1000,IF(C63="1000 მ² ",D63*1000,IF(C63="100 მ²",D63*100,IF(C63="100 მ² ",D63*100,IF(C63="10 მ²",D63*10,IF(C63="მ² ",D63,IF(C63="ლარი",D63,IF(C63="ხიდი",D63,IF(C63="100 მ",D63*100,IF(C63="გ.მ.",D63)))))))))))))))))))))))))))</f>
        <v>0</v>
      </c>
      <c r="G63" s="30" t="e">
        <f t="shared" ref="G63:G78" si="23">ROUND(H63/F63,2)</f>
        <v>#DIV/0!</v>
      </c>
      <c r="H63" s="31">
        <f>'3-2'!M17</f>
        <v>0</v>
      </c>
      <c r="I63" s="31" t="e">
        <f>'3-2'!#REF!</f>
        <v>#REF!</v>
      </c>
    </row>
    <row r="64" spans="1:10" ht="39.950000000000003" customHeight="1">
      <c r="A64" s="31">
        <f>'3-2'!A21</f>
        <v>1.3</v>
      </c>
      <c r="B64" s="31" t="str">
        <f>'3-2'!C21</f>
        <v xml:space="preserve">გრუნტის დატვირთვა ავტოთვითმცლელზე ხელით </v>
      </c>
      <c r="C64" s="31" t="str">
        <f>'3-2'!D21</f>
        <v>ტ</v>
      </c>
      <c r="D64" s="31">
        <f>'3-2'!F21</f>
        <v>13.65</v>
      </c>
      <c r="E64" s="30" t="str">
        <f t="shared" si="21"/>
        <v>ტ</v>
      </c>
      <c r="F64" s="30">
        <f t="shared" si="22"/>
        <v>13.65</v>
      </c>
      <c r="G64" s="30">
        <f t="shared" si="23"/>
        <v>0</v>
      </c>
      <c r="H64" s="31">
        <f>'3-2'!M21</f>
        <v>0</v>
      </c>
      <c r="I64" s="31" t="e">
        <f>'3-2'!#REF!</f>
        <v>#REF!</v>
      </c>
    </row>
    <row r="65" spans="1:10" ht="39.950000000000003" customHeight="1">
      <c r="A65" s="31">
        <f>'3-2'!A24</f>
        <v>1.4</v>
      </c>
      <c r="B65" s="31" t="str">
        <f>'3-2'!C24</f>
        <v>ტვირთის ტრანსპორტირება ნაყარში 3 კმ მანძილზე</v>
      </c>
      <c r="C65" s="31" t="str">
        <f>'3-2'!D24</f>
        <v>ტ</v>
      </c>
      <c r="D65" s="31">
        <f>'3-2'!F24</f>
        <v>1464.45</v>
      </c>
      <c r="E65" s="30" t="str">
        <f t="shared" si="21"/>
        <v>ტ</v>
      </c>
      <c r="F65" s="30">
        <f t="shared" si="22"/>
        <v>1464.45</v>
      </c>
      <c r="G65" s="30">
        <f t="shared" si="23"/>
        <v>0</v>
      </c>
      <c r="H65" s="31">
        <f>'3-2'!M24</f>
        <v>0</v>
      </c>
      <c r="I65" s="31" t="e">
        <f>'3-2'!#REF!</f>
        <v>#REF!</v>
      </c>
    </row>
    <row r="66" spans="1:10" ht="39.950000000000003" customHeight="1">
      <c r="A66" s="31">
        <f>'3-2'!A26</f>
        <v>1.5</v>
      </c>
      <c r="B66" s="31" t="str">
        <f>'3-2'!C26</f>
        <v>მე-4  III კატეგორიის გრუნტის დამუშავება ნაყარში</v>
      </c>
      <c r="C66" s="31" t="str">
        <f>'3-2'!D26</f>
        <v>მ3</v>
      </c>
      <c r="D66" s="31">
        <f>'3-2'!F26</f>
        <v>751</v>
      </c>
      <c r="E66" s="30" t="b">
        <f t="shared" si="21"/>
        <v>0</v>
      </c>
      <c r="F66" s="30" t="b">
        <f t="shared" si="22"/>
        <v>0</v>
      </c>
      <c r="G66" s="30" t="e">
        <f t="shared" si="23"/>
        <v>#DIV/0!</v>
      </c>
      <c r="H66" s="31">
        <f>'3-2'!M26</f>
        <v>0</v>
      </c>
      <c r="I66" s="31" t="e">
        <f>'3-2'!#REF!</f>
        <v>#REF!</v>
      </c>
    </row>
    <row r="67" spans="1:10" ht="39.950000000000003" customHeight="1">
      <c r="A67" s="31">
        <f>'3-2'!A33</f>
        <v>1.6</v>
      </c>
      <c r="B67" s="31" t="str">
        <f>'3-2'!C33</f>
        <v>მე-4 კატეგორიის გრუნტის ფერდობების მოშანდაკება ხელით</v>
      </c>
      <c r="C67" s="31" t="str">
        <f>'3-2'!D33</f>
        <v>მ2</v>
      </c>
      <c r="D67" s="31">
        <f>'3-2'!F33</f>
        <v>105.6</v>
      </c>
      <c r="E67" s="30" t="b">
        <f t="shared" si="21"/>
        <v>0</v>
      </c>
      <c r="F67" s="30" t="b">
        <f t="shared" si="22"/>
        <v>0</v>
      </c>
      <c r="G67" s="30" t="e">
        <f t="shared" si="23"/>
        <v>#DIV/0!</v>
      </c>
      <c r="H67" s="31">
        <f>'3-2'!M33</f>
        <v>0</v>
      </c>
      <c r="I67" s="31" t="e">
        <f>'3-2'!#REF!</f>
        <v>#REF!</v>
      </c>
    </row>
    <row r="68" spans="1:10" ht="39.950000000000003" customHeight="1">
      <c r="A68" s="31">
        <f>'3-2'!A37</f>
        <v>1.7</v>
      </c>
      <c r="B68" s="31" t="str">
        <f>'3-2'!C37</f>
        <v>ქვიშა-ხრეშოვანი ქვესაგები ფენის მოწყობა სისქით 20 სმ</v>
      </c>
      <c r="C68" s="31" t="str">
        <f>'3-2'!D37</f>
        <v>მ3</v>
      </c>
      <c r="D68" s="31">
        <f>'3-2'!F37</f>
        <v>48</v>
      </c>
      <c r="E68" s="30" t="b">
        <f t="shared" si="21"/>
        <v>0</v>
      </c>
      <c r="F68" s="30" t="b">
        <f t="shared" si="22"/>
        <v>0</v>
      </c>
      <c r="G68" s="30" t="e">
        <f t="shared" si="23"/>
        <v>#DIV/0!</v>
      </c>
      <c r="H68" s="31">
        <f>'3-2'!M37</f>
        <v>0</v>
      </c>
      <c r="I68" s="31" t="e">
        <f>'3-2'!#REF!</f>
        <v>#REF!</v>
      </c>
    </row>
    <row r="69" spans="1:10" ht="39.950000000000003" customHeight="1">
      <c r="A69" s="31">
        <f>'3-2'!A44</f>
        <v>1.8</v>
      </c>
      <c r="B69" s="31" t="str">
        <f>'3-2'!C44</f>
        <v>ბეტონის საგების  მომზადება სისქით 10 სმ</v>
      </c>
      <c r="C69" s="31" t="str">
        <f>'3-2'!D44</f>
        <v>მ3</v>
      </c>
      <c r="D69" s="31">
        <f>'3-2'!F44</f>
        <v>9.6</v>
      </c>
      <c r="E69" s="30" t="b">
        <f t="shared" si="21"/>
        <v>0</v>
      </c>
      <c r="F69" s="30" t="b">
        <f t="shared" si="22"/>
        <v>0</v>
      </c>
      <c r="G69" s="30" t="e">
        <f t="shared" si="23"/>
        <v>#DIV/0!</v>
      </c>
      <c r="H69" s="31">
        <f>'3-2'!M44</f>
        <v>0</v>
      </c>
      <c r="I69" s="31" t="e">
        <f>'3-2'!#REF!</f>
        <v>#REF!</v>
      </c>
      <c r="J69" s="3"/>
    </row>
    <row r="70" spans="1:10" ht="39.950000000000003" customHeight="1">
      <c r="A70" s="31">
        <f>'3-2'!A51</f>
        <v>1.9</v>
      </c>
      <c r="B70" s="31" t="str">
        <f>'3-2'!C51</f>
        <v>რ/ბ კედლის ფუნდამენტის მოწყობა</v>
      </c>
      <c r="C70" s="31" t="str">
        <f>'3-2'!D51</f>
        <v>100 მ³</v>
      </c>
      <c r="D70" s="31">
        <f>'3-2'!F51</f>
        <v>0.35759999999999997</v>
      </c>
      <c r="E70" s="30" t="str">
        <f t="shared" si="21"/>
        <v>მ³</v>
      </c>
      <c r="F70" s="30">
        <f t="shared" si="22"/>
        <v>35.76</v>
      </c>
      <c r="G70" s="30">
        <f t="shared" si="23"/>
        <v>0</v>
      </c>
      <c r="H70" s="31">
        <f>'3-2'!M51</f>
        <v>0</v>
      </c>
      <c r="I70" s="31" t="e">
        <f>'3-2'!#REF!</f>
        <v>#REF!</v>
      </c>
    </row>
    <row r="71" spans="1:10" ht="39.950000000000003" customHeight="1">
      <c r="A71" s="31">
        <f>'3-2'!A61</f>
        <v>1.1000000000000001</v>
      </c>
      <c r="B71" s="31" t="str">
        <f>'3-2'!C61</f>
        <v>რ/ბ საყრდენი კედლის მოწყობა</v>
      </c>
      <c r="C71" s="31" t="str">
        <f>'3-2'!D61</f>
        <v>მ3</v>
      </c>
      <c r="D71" s="31">
        <f>'3-2'!F61</f>
        <v>42</v>
      </c>
      <c r="E71" s="30" t="b">
        <f t="shared" si="21"/>
        <v>0</v>
      </c>
      <c r="F71" s="30" t="b">
        <f t="shared" si="22"/>
        <v>0</v>
      </c>
      <c r="G71" s="30" t="e">
        <f t="shared" si="23"/>
        <v>#DIV/0!</v>
      </c>
      <c r="H71" s="31">
        <f>'3-2'!M61</f>
        <v>0</v>
      </c>
      <c r="I71" s="31" t="e">
        <f>'3-2'!#REF!</f>
        <v>#REF!</v>
      </c>
    </row>
    <row r="72" spans="1:10" ht="39.950000000000003" customHeight="1">
      <c r="A72" s="31">
        <f>'3-2'!A73</f>
        <v>1.1100000000000001</v>
      </c>
      <c r="B72" s="31" t="str">
        <f>'3-2'!C73</f>
        <v>კედლის უკანა ზედაპირზე ბიტუმის წასმა 2 ჯერ</v>
      </c>
      <c r="C72" s="31" t="str">
        <f>'3-2'!D73</f>
        <v>მ2</v>
      </c>
      <c r="D72" s="31">
        <f>'3-2'!F73</f>
        <v>168</v>
      </c>
      <c r="E72" s="30" t="b">
        <f t="shared" si="21"/>
        <v>0</v>
      </c>
      <c r="F72" s="30" t="b">
        <f t="shared" si="22"/>
        <v>0</v>
      </c>
      <c r="G72" s="30" t="e">
        <f t="shared" si="23"/>
        <v>#DIV/0!</v>
      </c>
      <c r="H72" s="31">
        <f>'3-2'!M73</f>
        <v>0</v>
      </c>
      <c r="I72" s="31" t="e">
        <f>'3-2'!#REF!</f>
        <v>#REF!</v>
      </c>
    </row>
    <row r="73" spans="1:10" ht="39.950000000000003" customHeight="1">
      <c r="A73" s="31">
        <f>'3-2'!A80</f>
        <v>1.1200000000000001</v>
      </c>
      <c r="B73" s="31" t="str">
        <f>'3-2'!C80</f>
        <v>გეოტექსტილის ჰიდროიზოლაციის მოწყობა</v>
      </c>
      <c r="C73" s="31" t="str">
        <f>'3-2'!D80</f>
        <v>მ2</v>
      </c>
      <c r="D73" s="31">
        <f>'3-2'!F80</f>
        <v>336</v>
      </c>
      <c r="E73" s="30" t="b">
        <f t="shared" si="21"/>
        <v>0</v>
      </c>
      <c r="F73" s="30" t="b">
        <f t="shared" si="22"/>
        <v>0</v>
      </c>
      <c r="G73" s="30" t="e">
        <f t="shared" si="23"/>
        <v>#DIV/0!</v>
      </c>
      <c r="H73" s="31">
        <f>'3-2'!M80</f>
        <v>0</v>
      </c>
      <c r="I73" s="31" t="e">
        <f>'3-2'!#REF!</f>
        <v>#REF!</v>
      </c>
    </row>
    <row r="74" spans="1:10" ht="39.950000000000003" customHeight="1">
      <c r="A74" s="31">
        <f>'3-2'!A85</f>
        <v>1.1299999999999999</v>
      </c>
      <c r="B74" s="31" t="str">
        <f>'3-2'!C85</f>
        <v>გეომემბრანის ჰიდროიზოლაციის მოწყობა</v>
      </c>
      <c r="C74" s="31" t="str">
        <f>'3-2'!D85</f>
        <v>მ2</v>
      </c>
      <c r="D74" s="31">
        <f>'3-2'!F85</f>
        <v>120</v>
      </c>
      <c r="E74" s="30" t="b">
        <f t="shared" si="21"/>
        <v>0</v>
      </c>
      <c r="F74" s="30" t="b">
        <f t="shared" si="22"/>
        <v>0</v>
      </c>
      <c r="G74" s="30" t="e">
        <f t="shared" si="23"/>
        <v>#DIV/0!</v>
      </c>
      <c r="H74" s="31">
        <f>'3-2'!M85</f>
        <v>0</v>
      </c>
      <c r="I74" s="31" t="e">
        <f>'3-2'!#REF!</f>
        <v>#REF!</v>
      </c>
    </row>
    <row r="75" spans="1:10" ht="39.950000000000003" customHeight="1">
      <c r="A75" s="31">
        <f>'3-2'!A91</f>
        <v>1.1399999999999999</v>
      </c>
      <c r="B75" s="31" t="str">
        <f>'3-2'!C91</f>
        <v>სადრენაჟო ფენის მოწყობა ფრაქციული ღორღისგან</v>
      </c>
      <c r="C75" s="31" t="str">
        <f>'3-2'!D91</f>
        <v>მ3</v>
      </c>
      <c r="D75" s="31">
        <f>'3-2'!F91</f>
        <v>72</v>
      </c>
      <c r="E75" s="30" t="b">
        <f t="shared" si="21"/>
        <v>0</v>
      </c>
      <c r="F75" s="30" t="b">
        <f t="shared" si="22"/>
        <v>0</v>
      </c>
      <c r="G75" s="30" t="e">
        <f t="shared" si="23"/>
        <v>#DIV/0!</v>
      </c>
      <c r="H75" s="31">
        <f>'3-2'!M91</f>
        <v>0</v>
      </c>
      <c r="I75" s="31" t="e">
        <f>'3-2'!#REF!</f>
        <v>#REF!</v>
      </c>
    </row>
    <row r="76" spans="1:10" ht="39.950000000000003" customHeight="1">
      <c r="A76" s="31">
        <f>'3-2'!A96</f>
        <v>1.1499999999999999</v>
      </c>
      <c r="B76" s="31" t="str">
        <f>'3-2'!C96</f>
        <v>პოლიეთილენის სადრენაჟე მილის მონტაჟი</v>
      </c>
      <c r="C76" s="31" t="str">
        <f>'3-2'!D96</f>
        <v>მ</v>
      </c>
      <c r="D76" s="31">
        <f>'3-2'!F96</f>
        <v>7</v>
      </c>
      <c r="E76" s="30" t="str">
        <f t="shared" si="21"/>
        <v>მ</v>
      </c>
      <c r="F76" s="30">
        <f t="shared" si="22"/>
        <v>7</v>
      </c>
      <c r="G76" s="30">
        <f t="shared" si="23"/>
        <v>0</v>
      </c>
      <c r="H76" s="31">
        <f>'3-2'!M96</f>
        <v>0</v>
      </c>
      <c r="I76" s="31" t="e">
        <f>'3-2'!#REF!</f>
        <v>#REF!</v>
      </c>
    </row>
    <row r="77" spans="1:10" ht="39.950000000000003" customHeight="1">
      <c r="A77" s="31">
        <f>'3-2'!A103</f>
        <v>1.1599999999999999</v>
      </c>
      <c r="B77" s="31" t="str">
        <f>'3-2'!C103</f>
        <v>დრენირებადი გრუნტის უკუჩაყრა</v>
      </c>
      <c r="C77" s="31" t="str">
        <f>'3-2'!D103</f>
        <v>მ3</v>
      </c>
      <c r="D77" s="31">
        <f>'3-2'!F103</f>
        <v>456</v>
      </c>
      <c r="E77" s="30" t="b">
        <f t="shared" si="21"/>
        <v>0</v>
      </c>
      <c r="F77" s="30" t="b">
        <f t="shared" si="22"/>
        <v>0</v>
      </c>
      <c r="G77" s="30" t="e">
        <f t="shared" si="23"/>
        <v>#DIV/0!</v>
      </c>
      <c r="H77" s="31">
        <f>'3-2'!M103</f>
        <v>0</v>
      </c>
      <c r="I77" s="31" t="e">
        <f>'3-2'!#REF!</f>
        <v>#REF!</v>
      </c>
    </row>
    <row r="78" spans="1:10" ht="39.950000000000003" customHeight="1">
      <c r="A78" s="31">
        <f>'3-2'!A110</f>
        <v>1.17</v>
      </c>
      <c r="B78" s="31" t="str">
        <f>'3-2'!C110</f>
        <v>გრუნტის დატკეპნა ფენებად</v>
      </c>
      <c r="C78" s="31" t="str">
        <f>'3-2'!D110</f>
        <v>მ3</v>
      </c>
      <c r="D78" s="31">
        <f>'3-2'!F110</f>
        <v>456</v>
      </c>
      <c r="E78" s="30" t="b">
        <f t="shared" si="21"/>
        <v>0</v>
      </c>
      <c r="F78" s="30" t="b">
        <f t="shared" si="22"/>
        <v>0</v>
      </c>
      <c r="G78" s="30" t="e">
        <f t="shared" si="23"/>
        <v>#DIV/0!</v>
      </c>
      <c r="H78" s="31">
        <f>'3-2'!M110</f>
        <v>0</v>
      </c>
      <c r="I78" s="31" t="e">
        <f>'3-2'!#REF!</f>
        <v>#REF!</v>
      </c>
    </row>
    <row r="79" spans="1:10" ht="39.950000000000003" customHeight="1">
      <c r="A79" s="31">
        <f>'3-2'!A116</f>
        <v>1.18</v>
      </c>
      <c r="B79" s="31" t="str">
        <f>'3-2'!C116</f>
        <v>სადეფორმაციო ნაკერების მოწყობა პენოპლასტით</v>
      </c>
      <c r="C79" s="31" t="str">
        <f>'3-2'!D116</f>
        <v>მ2</v>
      </c>
      <c r="D79" s="31">
        <f>'3-2'!F116</f>
        <v>12.4</v>
      </c>
      <c r="E79" s="30" t="b">
        <f t="shared" ref="E79" si="24">IF(C79="კმ","კმ",IF(C79="1 ჰა","1 ჰა",IF(C79="100 ც","ც",IF(C79="1 ც","ც",IF(C79="ც","ც",IF(C79="ტ","ტ",IF(C79="1 ტ","ტ",IF(C79="მ³","მ³",IF(C79="1 მ³","მ³",IF(C79="10 მ³","მ³",IF(C79="100 მ³","მ³",IF(C79="1000 მ³","მ³",IF(C79="1000 მ","მ",IF(C79="100 მ","მ",IF(C79="10 მ","მ",IF(C79="10 მ ","მ",IF(C79="მ","მ",IF(C79="1000 მ²","მ²",IF(C79="1000 მ² ","მ²",IF(C79="100 მ²","მ²",IF(C79="100 მ² ","მ²",IF(C79="10 მ²","მ²",IF(C79="მ² ","მ²",IF(C79="ლარი","ლარი",IF(C79="ხიდი","ლარი",IF(C79="100 მ","მ",IF(C79="გ.მ.","მ")))))))))))))))))))))))))))</f>
        <v>0</v>
      </c>
      <c r="F79" s="30" t="b">
        <f t="shared" ref="F79" si="25">IF(C79="კმ",D79,IF(C79="1 ჰა",D79,IF(C79="100 ც",D79*100,IF(C79="1 ც",D79,IF(C79="ც",D79,IF(C79="ტ",D79,IF(C79="1 ტ",D79,IF(C79="მ³",D79,IF(C79="1 მ³",D79,IF(C79="10 მ³",D79*10,IF(C79="100 მ³",D79*100,IF(C79="1000 მ³",D79*1000,IF(C79="1000 მ",D79*1000,IF(C79="100 მ",D79*100,IF(C79="10 მ",D79*10,IF(C79="10 მ ",D79*10,IF(C79="მ",D79,IF(C79="1000 მ²",D79*1000,IF(C79="1000 მ² ",D79*1000,IF(C79="100 მ²",D79*100,IF(C79="100 მ² ",D79*100,IF(C79="10 მ²",D79*10,IF(C79="მ² ",D79,IF(C79="ლარი",D79,IF(C79="ხიდი",D79,IF(C79="100 მ",D79*100,IF(C79="გ.მ.",D79)))))))))))))))))))))))))))</f>
        <v>0</v>
      </c>
      <c r="G79" s="30" t="e">
        <f t="shared" ref="G79" si="26">ROUND(H79/F79,2)</f>
        <v>#DIV/0!</v>
      </c>
      <c r="H79" s="31">
        <f>'3-2'!M116</f>
        <v>0</v>
      </c>
      <c r="I79" s="31" t="e">
        <f>'3-2'!#REF!</f>
        <v>#REF!</v>
      </c>
    </row>
    <row r="80" spans="1:10" s="5" customFormat="1" ht="39.950000000000003" customHeight="1">
      <c r="A80" s="22"/>
      <c r="B80" s="16" t="s">
        <v>4</v>
      </c>
      <c r="C80" s="20"/>
      <c r="D80" s="21"/>
      <c r="E80" s="21"/>
      <c r="F80" s="30"/>
      <c r="G80" s="21"/>
      <c r="H80" s="21">
        <f>ROUND(SUM(H62:H79),2)</f>
        <v>0</v>
      </c>
      <c r="I80" s="32"/>
    </row>
    <row r="81" spans="1:9" s="5" customFormat="1" ht="39.950000000000003" customHeight="1">
      <c r="A81" s="22"/>
      <c r="B81" s="16" t="s">
        <v>10</v>
      </c>
      <c r="C81" s="20"/>
      <c r="D81" s="20"/>
      <c r="E81" s="35" t="s">
        <v>12</v>
      </c>
      <c r="F81" s="20">
        <v>10</v>
      </c>
      <c r="G81" s="20"/>
      <c r="H81" s="21">
        <f>ROUND(H80*F81%,2)</f>
        <v>0</v>
      </c>
      <c r="I81" s="32"/>
    </row>
    <row r="82" spans="1:9" s="5" customFormat="1" ht="39.950000000000003" customHeight="1">
      <c r="A82" s="22"/>
      <c r="B82" s="16" t="s">
        <v>4</v>
      </c>
      <c r="C82" s="20"/>
      <c r="D82" s="20"/>
      <c r="E82" s="30"/>
      <c r="F82" s="20"/>
      <c r="G82" s="30"/>
      <c r="H82" s="21">
        <f>ROUND(SUM(H80:H81),2)</f>
        <v>0</v>
      </c>
      <c r="I82" s="32"/>
    </row>
    <row r="83" spans="1:9" s="5" customFormat="1" ht="39.950000000000003" customHeight="1">
      <c r="A83" s="22"/>
      <c r="B83" s="16" t="s">
        <v>11</v>
      </c>
      <c r="C83" s="20"/>
      <c r="D83" s="20"/>
      <c r="E83" s="35" t="s">
        <v>12</v>
      </c>
      <c r="F83" s="20">
        <v>8</v>
      </c>
      <c r="G83" s="20"/>
      <c r="H83" s="21">
        <f>ROUND(H82*F83%,2)</f>
        <v>0</v>
      </c>
      <c r="I83" s="32"/>
    </row>
    <row r="84" spans="1:9" s="5" customFormat="1" ht="39.75" customHeight="1">
      <c r="A84" s="22"/>
      <c r="B84" s="16" t="s">
        <v>4</v>
      </c>
      <c r="C84" s="20"/>
      <c r="D84" s="20"/>
      <c r="E84" s="20"/>
      <c r="F84" s="20"/>
      <c r="G84" s="20"/>
      <c r="H84" s="21">
        <f>ROUND(SUM(H82:H83),2)</f>
        <v>0</v>
      </c>
      <c r="I84" s="32"/>
    </row>
    <row r="85" spans="1:9" s="5" customFormat="1" ht="80.099999999999994" customHeight="1">
      <c r="A85" s="16"/>
      <c r="B85" s="18" t="str">
        <f>'4-1'!C8</f>
        <v>საგზაო სამოსი</v>
      </c>
      <c r="C85" s="20"/>
      <c r="D85" s="20"/>
      <c r="E85" s="20"/>
      <c r="F85" s="20"/>
      <c r="G85" s="20"/>
      <c r="H85" s="21"/>
      <c r="I85" s="20"/>
    </row>
    <row r="86" spans="1:9" ht="39.950000000000003" customHeight="1">
      <c r="A86" s="31">
        <f>'4-1'!A10</f>
        <v>1.1000000000000001</v>
      </c>
      <c r="B86" s="31" t="str">
        <f>'4-1'!C10</f>
        <v xml:space="preserve">ქვესაგები ფენის მოწყობა ქვიშახრეშოვანი ნარევით </v>
      </c>
      <c r="C86" s="31" t="str">
        <f>'4-1'!D10</f>
        <v>მ3</v>
      </c>
      <c r="D86" s="31">
        <f>'4-1'!F10</f>
        <v>415</v>
      </c>
      <c r="E86" s="30" t="b">
        <f t="shared" ref="E86" si="27">IF(C86="კმ","კმ",IF(C86="1 ჰა","1 ჰა",IF(C86="100 ც","ც",IF(C86="1 ც","ც",IF(C86="ც","ც",IF(C86="ტ","ტ",IF(C86="1 ტ","ტ",IF(C86="მ³","მ³",IF(C86="1 მ³","მ³",IF(C86="10 მ³","მ³",IF(C86="100 მ³","მ³",IF(C86="1000 მ³","მ³",IF(C86="1000 მ","მ",IF(C86="100 მ","მ",IF(C86="10 მ","მ",IF(C86="10 მ ","მ",IF(C86="მ","მ",IF(C86="1000 მ²","მ²",IF(C86="1000 მ² ","მ²",IF(C86="100 მ²","მ²",IF(C86="100 მ² ","მ²",IF(C86="10 მ²","მ²",IF(C86="მ² ","მ²",IF(C86="ლარი","ლარი",IF(C86="ხიდი","ლარი",IF(C86="100 მ","მ",IF(C86="გ.მ.","მ")))))))))))))))))))))))))))</f>
        <v>0</v>
      </c>
      <c r="F86" s="30" t="b">
        <f t="shared" ref="F86" si="28">IF(C86="კმ",D86,IF(C86="1 ჰა",D86,IF(C86="100 ც",D86*100,IF(C86="1 ც",D86,IF(C86="ც",D86,IF(C86="ტ",D86,IF(C86="1 ტ",D86,IF(C86="მ³",D86,IF(C86="1 მ³",D86,IF(C86="10 მ³",D86*10,IF(C86="100 მ³",D86*100,IF(C86="1000 მ³",D86*1000,IF(C86="1000 მ",D86*1000,IF(C86="100 მ",D86*100,IF(C86="10 მ",D86*10,IF(C86="10 მ ",D86*10,IF(C86="მ",D86,IF(C86="1000 მ²",D86*1000,IF(C86="1000 მ² ",D86*1000,IF(C86="100 მ²",D86*100,IF(C86="100 მ² ",D86*100,IF(C86="10 მ²",D86*10,IF(C86="მ² ",D86,IF(C86="ლარი",D86,IF(C86="ხიდი",D86,IF(C86="100 მ",D86*100,IF(C86="გ.მ.",D86)))))))))))))))))))))))))))</f>
        <v>0</v>
      </c>
      <c r="G86" s="30" t="e">
        <f t="shared" ref="G86" si="29">ROUND(H86/F86,2)</f>
        <v>#DIV/0!</v>
      </c>
      <c r="H86" s="31">
        <f>'4-1'!M10</f>
        <v>0</v>
      </c>
      <c r="I86" s="31" t="str">
        <f>'4-1'!B10</f>
        <v>27-7-2.</v>
      </c>
    </row>
    <row r="87" spans="1:9" ht="39.950000000000003" customHeight="1">
      <c r="A87" s="31">
        <f>'4-1'!A19</f>
        <v>1.2</v>
      </c>
      <c r="B87" s="31" t="str">
        <f>'4-1'!C19</f>
        <v>რ/ბ  ღარის  მოწყობა</v>
      </c>
      <c r="C87" s="31" t="str">
        <f>'4-1'!D19</f>
        <v>მ</v>
      </c>
      <c r="D87" s="31">
        <f>'4-1'!F19</f>
        <v>490</v>
      </c>
      <c r="E87" s="30" t="str">
        <f t="shared" ref="E87:E88" si="30">IF(C87="კმ","კმ",IF(C87="1 ჰა","1 ჰა",IF(C87="100 ც","ც",IF(C87="1 ც","ც",IF(C87="ც","ც",IF(C87="ტ","ტ",IF(C87="1 ტ","ტ",IF(C87="მ³","მ³",IF(C87="1 მ³","მ³",IF(C87="10 მ³","მ³",IF(C87="100 მ³","მ³",IF(C87="1000 მ³","მ³",IF(C87="1000 მ","მ",IF(C87="100 მ","მ",IF(C87="10 მ","მ",IF(C87="10 მ ","მ",IF(C87="მ","მ",IF(C87="1000 მ²","მ²",IF(C87="1000 მ² ","მ²",IF(C87="100 მ²","მ²",IF(C87="100 მ² ","მ²",IF(C87="10 მ²","მ²",IF(C87="მ² ","მ²",IF(C87="ლარი","ლარი",IF(C87="ხიდი","ლარი",IF(C87="100 მ","მ",IF(C87="გ.მ.","მ")))))))))))))))))))))))))))</f>
        <v>მ</v>
      </c>
      <c r="F87" s="30">
        <f t="shared" ref="F87:F88" si="31">IF(C87="კმ",D87,IF(C87="1 ჰა",D87,IF(C87="100 ც",D87*100,IF(C87="1 ც",D87,IF(C87="ც",D87,IF(C87="ტ",D87,IF(C87="1 ტ",D87,IF(C87="მ³",D87,IF(C87="1 მ³",D87,IF(C87="10 მ³",D87*10,IF(C87="100 მ³",D87*100,IF(C87="1000 მ³",D87*1000,IF(C87="1000 მ",D87*1000,IF(C87="100 მ",D87*100,IF(C87="10 მ",D87*10,IF(C87="10 მ ",D87*10,IF(C87="მ",D87,IF(C87="1000 მ²",D87*1000,IF(C87="1000 მ² ",D87*1000,IF(C87="100 მ²",D87*100,IF(C87="100 მ² ",D87*100,IF(C87="10 მ²",D87*10,IF(C87="მ² ",D87,IF(C87="ლარი",D87,IF(C87="ხიდი",D87,IF(C87="100 მ",D87*100,IF(C87="გ.მ.",D87)))))))))))))))))))))))))))</f>
        <v>490</v>
      </c>
      <c r="G87" s="30">
        <f t="shared" ref="G87:G88" si="32">ROUND(H87/F87,2)</f>
        <v>0</v>
      </c>
      <c r="H87" s="31">
        <f>'4-1'!M19</f>
        <v>0</v>
      </c>
      <c r="I87" s="31" t="str">
        <f>'4-1'!B19</f>
        <v>6-15-9.</v>
      </c>
    </row>
    <row r="88" spans="1:9" ht="39.950000000000003" customHeight="1">
      <c r="A88" s="31" t="e">
        <f>'4-1'!#REF!</f>
        <v>#REF!</v>
      </c>
      <c r="B88" s="31" t="e">
        <f>'4-1'!#REF!</f>
        <v>#REF!</v>
      </c>
      <c r="C88" s="31" t="e">
        <f>'4-1'!#REF!</f>
        <v>#REF!</v>
      </c>
      <c r="D88" s="31" t="e">
        <f>'4-1'!#REF!</f>
        <v>#REF!</v>
      </c>
      <c r="E88" s="30" t="e">
        <f t="shared" si="30"/>
        <v>#REF!</v>
      </c>
      <c r="F88" s="30" t="e">
        <f t="shared" si="31"/>
        <v>#REF!</v>
      </c>
      <c r="G88" s="30" t="e">
        <f t="shared" si="32"/>
        <v>#REF!</v>
      </c>
      <c r="H88" s="31" t="e">
        <f>'4-1'!#REF!</f>
        <v>#REF!</v>
      </c>
      <c r="I88" s="31" t="e">
        <f>'4-1'!#REF!</f>
        <v>#REF!</v>
      </c>
    </row>
    <row r="89" spans="1:9" ht="39.950000000000003" customHeight="1">
      <c r="A89" s="31">
        <f>'4-1'!A32</f>
        <v>1.4</v>
      </c>
      <c r="B89" s="31" t="str">
        <f>'4-1'!C32</f>
        <v>რ/ბ  სარტყელის  მოწყობა</v>
      </c>
      <c r="C89" s="31" t="str">
        <f>'4-1'!D32</f>
        <v>მ</v>
      </c>
      <c r="D89" s="31">
        <f>'4-1'!F32</f>
        <v>2029</v>
      </c>
      <c r="E89" s="30" t="str">
        <f t="shared" ref="E89:E93" si="33">IF(C89="კმ","კმ",IF(C89="1 ჰა","1 ჰა",IF(C89="100 ც","ც",IF(C89="1 ც","ც",IF(C89="ც","ც",IF(C89="ტ","ტ",IF(C89="1 ტ","ტ",IF(C89="მ³","მ³",IF(C89="1 მ³","მ³",IF(C89="10 მ³","მ³",IF(C89="100 მ³","მ³",IF(C89="1000 მ³","მ³",IF(C89="1000 მ","მ",IF(C89="100 მ","მ",IF(C89="10 მ","მ",IF(C89="10 მ ","მ",IF(C89="მ","მ",IF(C89="1000 მ²","მ²",IF(C89="1000 მ² ","მ²",IF(C89="100 მ²","მ²",IF(C89="100 მ² ","მ²",IF(C89="10 მ²","მ²",IF(C89="მ² ","მ²",IF(C89="ლარი","ლარი",IF(C89="ხიდი","ლარი",IF(C89="100 მ","მ",IF(C89="გ.მ.","მ")))))))))))))))))))))))))))</f>
        <v>მ</v>
      </c>
      <c r="F89" s="30">
        <f t="shared" ref="F89:F93" si="34">IF(C89="კმ",D89,IF(C89="1 ჰა",D89,IF(C89="100 ც",D89*100,IF(C89="1 ც",D89,IF(C89="ც",D89,IF(C89="ტ",D89,IF(C89="1 ტ",D89,IF(C89="მ³",D89,IF(C89="1 მ³",D89,IF(C89="10 მ³",D89*10,IF(C89="100 მ³",D89*100,IF(C89="1000 მ³",D89*1000,IF(C89="1000 მ",D89*1000,IF(C89="100 მ",D89*100,IF(C89="10 მ",D89*10,IF(C89="10 მ ",D89*10,IF(C89="მ",D89,IF(C89="1000 მ²",D89*1000,IF(C89="1000 მ² ",D89*1000,IF(C89="100 მ²",D89*100,IF(C89="100 მ² ",D89*100,IF(C89="10 მ²",D89*10,IF(C89="მ² ",D89,IF(C89="ლარი",D89,IF(C89="ხიდი",D89,IF(C89="100 მ",D89*100,IF(C89="გ.მ.",D89)))))))))))))))))))))))))))</f>
        <v>2029</v>
      </c>
      <c r="G89" s="30">
        <f t="shared" ref="G89:G93" si="35">ROUND(H89/F89,2)</f>
        <v>0</v>
      </c>
      <c r="H89" s="31">
        <f>'4-1'!M32</f>
        <v>0</v>
      </c>
      <c r="I89" s="31" t="str">
        <f>'4-1'!B32</f>
        <v>6-15-9.</v>
      </c>
    </row>
    <row r="90" spans="1:9" ht="39.950000000000003" customHeight="1">
      <c r="A90" s="31" t="e">
        <f>'4-1'!#REF!</f>
        <v>#REF!</v>
      </c>
      <c r="B90" s="31" t="e">
        <f>'4-1'!#REF!</f>
        <v>#REF!</v>
      </c>
      <c r="C90" s="31" t="e">
        <f>'4-1'!#REF!</f>
        <v>#REF!</v>
      </c>
      <c r="D90" s="31" t="e">
        <f>'4-1'!#REF!</f>
        <v>#REF!</v>
      </c>
      <c r="E90" s="30" t="e">
        <f t="shared" si="33"/>
        <v>#REF!</v>
      </c>
      <c r="F90" s="30" t="e">
        <f t="shared" si="34"/>
        <v>#REF!</v>
      </c>
      <c r="G90" s="30" t="e">
        <f t="shared" si="35"/>
        <v>#REF!</v>
      </c>
      <c r="H90" s="31" t="e">
        <f>'4-1'!#REF!</f>
        <v>#REF!</v>
      </c>
      <c r="I90" s="31" t="e">
        <f>'4-1'!#REF!</f>
        <v>#REF!</v>
      </c>
    </row>
    <row r="91" spans="1:9" ht="39.950000000000003" customHeight="1">
      <c r="A91" s="31">
        <f>'4-1'!A45</f>
        <v>1.6</v>
      </c>
      <c r="B91" s="31" t="str">
        <f>'4-1'!C45</f>
        <v>საფუძვლის ფენის მოწყობა ქვიშა-ცემენტის 5% ნარევით</v>
      </c>
      <c r="C91" s="31" t="str">
        <f>'4-1'!D45</f>
        <v>მ3</v>
      </c>
      <c r="D91" s="31">
        <f>'4-1'!F45</f>
        <v>258</v>
      </c>
      <c r="E91" s="30" t="b">
        <f t="shared" si="33"/>
        <v>0</v>
      </c>
      <c r="F91" s="30" t="b">
        <f t="shared" si="34"/>
        <v>0</v>
      </c>
      <c r="G91" s="30" t="e">
        <f t="shared" si="35"/>
        <v>#DIV/0!</v>
      </c>
      <c r="H91" s="31">
        <f>'4-1'!M45</f>
        <v>0</v>
      </c>
      <c r="I91" s="31" t="str">
        <f>'4-1'!B45</f>
        <v>27-7-2.</v>
      </c>
    </row>
    <row r="92" spans="1:9" ht="39.950000000000003" customHeight="1">
      <c r="A92" s="31">
        <f>'4-1'!A55</f>
        <v>1.7</v>
      </c>
      <c r="B92" s="31" t="str">
        <f>'4-1'!C55</f>
        <v>ბეტონის ქვაფენილის მოწყობა</v>
      </c>
      <c r="C92" s="31" t="str">
        <f>'4-1'!D55</f>
        <v>მ2</v>
      </c>
      <c r="D92" s="31">
        <f>'4-1'!F55</f>
        <v>2580</v>
      </c>
      <c r="E92" s="30" t="b">
        <f t="shared" si="33"/>
        <v>0</v>
      </c>
      <c r="F92" s="30" t="b">
        <f t="shared" si="34"/>
        <v>0</v>
      </c>
      <c r="G92" s="30" t="e">
        <f t="shared" si="35"/>
        <v>#DIV/0!</v>
      </c>
      <c r="H92" s="31">
        <f>'4-1'!M55</f>
        <v>0</v>
      </c>
      <c r="I92" s="31" t="str">
        <f>'4-1'!B55</f>
        <v>27-20-3.</v>
      </c>
    </row>
    <row r="93" spans="1:9" ht="39.950000000000003" customHeight="1">
      <c r="A93" s="31" t="e">
        <f>'4-1'!#REF!</f>
        <v>#REF!</v>
      </c>
      <c r="B93" s="31" t="e">
        <f>'4-1'!#REF!</f>
        <v>#REF!</v>
      </c>
      <c r="C93" s="31" t="e">
        <f>'4-1'!#REF!</f>
        <v>#REF!</v>
      </c>
      <c r="D93" s="31" t="e">
        <f>'4-1'!#REF!</f>
        <v>#REF!</v>
      </c>
      <c r="E93" s="30" t="e">
        <f t="shared" si="33"/>
        <v>#REF!</v>
      </c>
      <c r="F93" s="30" t="e">
        <f t="shared" si="34"/>
        <v>#REF!</v>
      </c>
      <c r="G93" s="30" t="e">
        <f t="shared" si="35"/>
        <v>#REF!</v>
      </c>
      <c r="H93" s="31" t="e">
        <f>'4-1'!#REF!</f>
        <v>#REF!</v>
      </c>
      <c r="I93" s="31" t="e">
        <f>'4-1'!#REF!</f>
        <v>#REF!</v>
      </c>
    </row>
    <row r="94" spans="1:9" s="5" customFormat="1" ht="39.950000000000003" customHeight="1">
      <c r="A94" s="22"/>
      <c r="B94" s="16" t="s">
        <v>4</v>
      </c>
      <c r="C94" s="20"/>
      <c r="D94" s="21"/>
      <c r="E94" s="21"/>
      <c r="F94" s="30"/>
      <c r="G94" s="21"/>
      <c r="H94" s="21" t="e">
        <f>ROUND(SUM(H86:H93),2)</f>
        <v>#REF!</v>
      </c>
      <c r="I94" s="32"/>
    </row>
    <row r="95" spans="1:9" s="5" customFormat="1" ht="39.950000000000003" customHeight="1">
      <c r="A95" s="22"/>
      <c r="B95" s="16" t="s">
        <v>10</v>
      </c>
      <c r="C95" s="20"/>
      <c r="D95" s="20"/>
      <c r="E95" s="35" t="s">
        <v>12</v>
      </c>
      <c r="F95" s="20">
        <v>10</v>
      </c>
      <c r="G95" s="20"/>
      <c r="H95" s="21" t="e">
        <f>ROUND(H94*F95%,2)</f>
        <v>#REF!</v>
      </c>
      <c r="I95" s="32"/>
    </row>
    <row r="96" spans="1:9" s="5" customFormat="1" ht="39.950000000000003" customHeight="1">
      <c r="A96" s="22"/>
      <c r="B96" s="16" t="s">
        <v>4</v>
      </c>
      <c r="C96" s="20"/>
      <c r="D96" s="20"/>
      <c r="E96" s="30"/>
      <c r="F96" s="20"/>
      <c r="G96" s="30"/>
      <c r="H96" s="21" t="e">
        <f>ROUND(SUM(H94:H95),2)</f>
        <v>#REF!</v>
      </c>
      <c r="I96" s="32"/>
    </row>
    <row r="97" spans="1:9" s="5" customFormat="1" ht="39.950000000000003" customHeight="1">
      <c r="A97" s="22"/>
      <c r="B97" s="16" t="s">
        <v>11</v>
      </c>
      <c r="C97" s="20"/>
      <c r="D97" s="20"/>
      <c r="E97" s="35" t="s">
        <v>12</v>
      </c>
      <c r="F97" s="20">
        <v>8</v>
      </c>
      <c r="G97" s="20"/>
      <c r="H97" s="21" t="e">
        <f>ROUND(H96*F97%,2)</f>
        <v>#REF!</v>
      </c>
      <c r="I97" s="32"/>
    </row>
    <row r="98" spans="1:9" s="5" customFormat="1" ht="39.75" customHeight="1">
      <c r="A98" s="22"/>
      <c r="B98" s="16" t="s">
        <v>4</v>
      </c>
      <c r="C98" s="20"/>
      <c r="D98" s="20"/>
      <c r="E98" s="20"/>
      <c r="F98" s="20"/>
      <c r="G98" s="20"/>
      <c r="H98" s="21" t="e">
        <f>ROUND(SUM(H96:H97),2)</f>
        <v>#REF!</v>
      </c>
      <c r="I98" s="32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L242"/>
  <sheetViews>
    <sheetView tabSelected="1" view="pageBreakPreview" topLeftCell="A19" zoomScale="55" zoomScaleNormal="55" zoomScaleSheetLayoutView="55" workbookViewId="0">
      <selection activeCell="P26" sqref="P26"/>
    </sheetView>
  </sheetViews>
  <sheetFormatPr defaultRowHeight="19.5"/>
  <cols>
    <col min="1" max="1" width="15.7109375" style="15" customWidth="1"/>
    <col min="2" max="2" width="105.7109375" style="15" customWidth="1"/>
    <col min="3" max="4" width="12.7109375" style="15" customWidth="1"/>
    <col min="5" max="5" width="25.7109375" style="15" customWidth="1"/>
    <col min="6" max="7" width="20.7109375" style="15" customWidth="1"/>
    <col min="8" max="9" width="13.28515625" style="15" customWidth="1"/>
    <col min="10" max="12" width="20.7109375" style="15" customWidth="1"/>
    <col min="13" max="15" width="20.7109375" customWidth="1"/>
    <col min="19" max="20" width="20.7109375" style="9" customWidth="1"/>
  </cols>
  <sheetData>
    <row r="1" spans="1:220">
      <c r="A1" s="183"/>
      <c r="B1" s="18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0">
      <c r="A2" s="183"/>
      <c r="B2" s="183"/>
      <c r="C2" s="1"/>
      <c r="D2" s="1"/>
      <c r="E2" s="1"/>
      <c r="F2" s="1"/>
      <c r="G2" s="1"/>
      <c r="H2" s="1"/>
      <c r="I2" s="1"/>
      <c r="J2" s="1"/>
      <c r="K2" s="1"/>
      <c r="L2" s="1"/>
      <c r="S2" s="194" t="s">
        <v>118</v>
      </c>
      <c r="T2" s="194"/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10</v>
      </c>
      <c r="AE2" s="9">
        <v>11</v>
      </c>
      <c r="AF2" s="9">
        <v>12</v>
      </c>
      <c r="AG2" s="9">
        <v>13</v>
      </c>
      <c r="AH2" s="9">
        <v>14</v>
      </c>
      <c r="AI2" s="9">
        <v>15</v>
      </c>
      <c r="AJ2" s="9">
        <v>16</v>
      </c>
      <c r="AK2" s="9">
        <v>17</v>
      </c>
      <c r="AL2" s="9">
        <v>18</v>
      </c>
      <c r="AM2" s="9">
        <v>19</v>
      </c>
      <c r="AN2" s="9">
        <v>20</v>
      </c>
      <c r="AO2" s="9">
        <v>21</v>
      </c>
      <c r="AP2" s="9">
        <v>22</v>
      </c>
      <c r="AQ2" s="9">
        <v>23</v>
      </c>
      <c r="AR2" s="9">
        <v>24</v>
      </c>
      <c r="AS2" s="9">
        <v>25</v>
      </c>
      <c r="AT2" s="9">
        <v>26</v>
      </c>
      <c r="AU2" s="9">
        <v>27</v>
      </c>
      <c r="AV2" s="9">
        <v>28</v>
      </c>
      <c r="AW2" s="9">
        <v>29</v>
      </c>
      <c r="AX2" s="9">
        <v>30</v>
      </c>
      <c r="AY2" s="9">
        <v>31</v>
      </c>
      <c r="AZ2" s="9">
        <v>32</v>
      </c>
      <c r="BA2" s="9">
        <v>33</v>
      </c>
      <c r="BB2" s="9">
        <v>34</v>
      </c>
      <c r="BC2" s="9">
        <v>35</v>
      </c>
      <c r="BD2" s="9">
        <v>36</v>
      </c>
      <c r="BE2" s="9">
        <v>37</v>
      </c>
      <c r="BF2" s="9">
        <v>38</v>
      </c>
      <c r="BG2" s="9">
        <v>39</v>
      </c>
      <c r="BH2" s="9">
        <v>40</v>
      </c>
      <c r="BI2" s="9">
        <v>41</v>
      </c>
      <c r="BJ2" s="9">
        <v>42</v>
      </c>
      <c r="BK2" s="9">
        <v>43</v>
      </c>
      <c r="BL2" s="9">
        <v>44</v>
      </c>
      <c r="BM2" s="9">
        <v>45</v>
      </c>
      <c r="BN2" s="9">
        <v>46</v>
      </c>
      <c r="BO2" s="9">
        <v>47</v>
      </c>
      <c r="BP2" s="9">
        <v>48</v>
      </c>
      <c r="BQ2" s="9">
        <v>49</v>
      </c>
      <c r="BR2" s="9">
        <v>50</v>
      </c>
      <c r="BS2" s="9">
        <v>51</v>
      </c>
      <c r="BT2" s="9">
        <v>52</v>
      </c>
      <c r="BU2" s="9">
        <v>53</v>
      </c>
      <c r="BV2" s="9">
        <v>54</v>
      </c>
      <c r="BW2" s="9">
        <v>55</v>
      </c>
      <c r="BX2" s="9">
        <v>56</v>
      </c>
      <c r="BY2" s="9">
        <v>57</v>
      </c>
      <c r="BZ2" s="9">
        <v>58</v>
      </c>
      <c r="CA2" s="9">
        <v>59</v>
      </c>
      <c r="CB2" s="9">
        <v>60</v>
      </c>
      <c r="CC2" s="9">
        <v>61</v>
      </c>
      <c r="CD2" s="9">
        <v>62</v>
      </c>
      <c r="CE2" s="9">
        <v>63</v>
      </c>
      <c r="CF2" s="9">
        <v>64</v>
      </c>
      <c r="CG2" s="9">
        <v>65</v>
      </c>
      <c r="CH2" s="9">
        <v>66</v>
      </c>
      <c r="CI2" s="9">
        <v>67</v>
      </c>
      <c r="CJ2" s="9">
        <v>68</v>
      </c>
      <c r="CK2" s="9">
        <v>69</v>
      </c>
      <c r="CL2" s="9">
        <v>70</v>
      </c>
      <c r="CM2" s="9">
        <v>71</v>
      </c>
      <c r="CN2" s="9">
        <v>72</v>
      </c>
      <c r="CO2" s="9">
        <v>73</v>
      </c>
      <c r="CP2" s="9">
        <v>74</v>
      </c>
      <c r="CQ2" s="9">
        <v>75</v>
      </c>
      <c r="CR2" s="9">
        <v>76</v>
      </c>
      <c r="CS2" s="9">
        <v>77</v>
      </c>
      <c r="CT2" s="9">
        <v>78</v>
      </c>
      <c r="CU2" s="9">
        <v>79</v>
      </c>
      <c r="CV2" s="9">
        <v>80</v>
      </c>
      <c r="CW2" s="9">
        <v>81</v>
      </c>
      <c r="CX2" s="9">
        <v>82</v>
      </c>
      <c r="CY2" s="9">
        <v>83</v>
      </c>
      <c r="CZ2" s="9">
        <v>84</v>
      </c>
      <c r="DA2" s="9">
        <v>85</v>
      </c>
      <c r="DB2" s="9">
        <v>86</v>
      </c>
      <c r="DC2" s="9">
        <v>87</v>
      </c>
      <c r="DD2" s="9">
        <v>88</v>
      </c>
      <c r="DE2" s="9">
        <v>89</v>
      </c>
      <c r="DF2" s="9">
        <v>90</v>
      </c>
      <c r="DG2" s="9">
        <v>91</v>
      </c>
      <c r="DH2" s="9">
        <v>92</v>
      </c>
      <c r="DI2" s="9">
        <v>93</v>
      </c>
      <c r="DJ2" s="9">
        <v>94</v>
      </c>
      <c r="DK2" s="9">
        <v>95</v>
      </c>
      <c r="DL2" s="9">
        <v>96</v>
      </c>
      <c r="DM2" s="9">
        <v>97</v>
      </c>
      <c r="DN2" s="9">
        <v>98</v>
      </c>
      <c r="DO2" s="9">
        <v>99</v>
      </c>
      <c r="DP2" s="9">
        <v>100</v>
      </c>
      <c r="DQ2" s="9">
        <v>101</v>
      </c>
      <c r="DR2" s="9">
        <v>102</v>
      </c>
      <c r="DS2" s="9">
        <v>103</v>
      </c>
      <c r="DT2" s="9">
        <v>104</v>
      </c>
      <c r="DU2" s="9">
        <v>105</v>
      </c>
      <c r="DV2" s="9">
        <v>106</v>
      </c>
      <c r="DW2" s="9">
        <v>107</v>
      </c>
      <c r="DX2" s="9">
        <v>108</v>
      </c>
      <c r="DY2" s="9">
        <v>109</v>
      </c>
      <c r="DZ2" s="9">
        <v>110</v>
      </c>
      <c r="EA2" s="9">
        <v>111</v>
      </c>
      <c r="EB2" s="9">
        <v>112</v>
      </c>
      <c r="EC2" s="9">
        <v>113</v>
      </c>
      <c r="ED2" s="9">
        <v>114</v>
      </c>
      <c r="EE2" s="9">
        <v>115</v>
      </c>
      <c r="EF2" s="9">
        <v>116</v>
      </c>
      <c r="EG2" s="9">
        <v>117</v>
      </c>
      <c r="EH2" s="9">
        <v>118</v>
      </c>
      <c r="EI2" s="9">
        <v>119</v>
      </c>
      <c r="EJ2" s="9">
        <v>120</v>
      </c>
      <c r="EK2" s="9">
        <v>121</v>
      </c>
      <c r="EL2" s="9">
        <v>122</v>
      </c>
      <c r="EM2" s="9">
        <v>123</v>
      </c>
      <c r="EN2" s="9">
        <v>124</v>
      </c>
      <c r="EO2" s="9">
        <v>125</v>
      </c>
      <c r="EP2" s="9">
        <v>126</v>
      </c>
      <c r="EQ2" s="9">
        <v>127</v>
      </c>
      <c r="ER2" s="9">
        <v>128</v>
      </c>
      <c r="ES2" s="9">
        <v>129</v>
      </c>
      <c r="ET2" s="9">
        <v>130</v>
      </c>
      <c r="EU2" s="9">
        <v>131</v>
      </c>
      <c r="EV2" s="9">
        <v>132</v>
      </c>
      <c r="EW2" s="9">
        <v>133</v>
      </c>
      <c r="EX2" s="9">
        <v>134</v>
      </c>
      <c r="EY2" s="9">
        <v>135</v>
      </c>
      <c r="EZ2" s="9">
        <v>136</v>
      </c>
      <c r="FA2" s="9">
        <v>137</v>
      </c>
      <c r="FB2" s="9">
        <v>138</v>
      </c>
      <c r="FC2" s="9">
        <v>139</v>
      </c>
      <c r="FD2" s="9">
        <v>140</v>
      </c>
      <c r="FE2" s="9">
        <v>141</v>
      </c>
      <c r="FF2" s="9">
        <v>142</v>
      </c>
      <c r="FG2" s="9">
        <v>143</v>
      </c>
      <c r="FH2" s="9">
        <v>144</v>
      </c>
      <c r="FI2" s="9">
        <v>145</v>
      </c>
      <c r="FJ2" s="9">
        <v>146</v>
      </c>
      <c r="FK2" s="9">
        <v>147</v>
      </c>
      <c r="FL2" s="9">
        <v>148</v>
      </c>
      <c r="FM2" s="9">
        <v>149</v>
      </c>
      <c r="FN2" s="9">
        <v>150</v>
      </c>
      <c r="FO2" s="9">
        <v>151</v>
      </c>
      <c r="FP2" s="9">
        <v>152</v>
      </c>
      <c r="FQ2" s="9">
        <v>153</v>
      </c>
      <c r="FR2" s="9">
        <v>154</v>
      </c>
      <c r="FS2" s="9">
        <v>155</v>
      </c>
      <c r="FT2" s="9">
        <v>156</v>
      </c>
      <c r="FU2" s="9">
        <v>157</v>
      </c>
      <c r="FV2" s="9">
        <v>158</v>
      </c>
      <c r="FW2" s="9">
        <v>159</v>
      </c>
      <c r="FX2" s="9">
        <v>160</v>
      </c>
      <c r="FY2" s="9">
        <v>161</v>
      </c>
      <c r="FZ2" s="9">
        <v>162</v>
      </c>
      <c r="GA2" s="9">
        <v>163</v>
      </c>
      <c r="GB2" s="9">
        <v>164</v>
      </c>
      <c r="GC2" s="9">
        <v>165</v>
      </c>
      <c r="GD2" s="9">
        <v>166</v>
      </c>
      <c r="GE2" s="9">
        <v>167</v>
      </c>
      <c r="GF2" s="9">
        <v>168</v>
      </c>
      <c r="GG2" s="9">
        <v>169</v>
      </c>
      <c r="GH2" s="9">
        <v>170</v>
      </c>
      <c r="GI2" s="9">
        <v>171</v>
      </c>
      <c r="GJ2" s="9">
        <v>172</v>
      </c>
      <c r="GK2" s="9">
        <v>173</v>
      </c>
      <c r="GL2" s="9">
        <v>174</v>
      </c>
      <c r="GM2" s="9">
        <v>175</v>
      </c>
      <c r="GN2" s="9">
        <v>176</v>
      </c>
      <c r="GO2" s="9">
        <v>177</v>
      </c>
      <c r="GP2" s="9">
        <v>178</v>
      </c>
      <c r="GQ2" s="9">
        <v>179</v>
      </c>
      <c r="GR2" s="9">
        <v>180</v>
      </c>
      <c r="GS2" s="9">
        <v>181</v>
      </c>
      <c r="GT2" s="9">
        <v>182</v>
      </c>
      <c r="GU2" s="9">
        <v>183</v>
      </c>
      <c r="GV2" s="9">
        <v>184</v>
      </c>
      <c r="GW2" s="9">
        <v>185</v>
      </c>
      <c r="GX2" s="9">
        <v>186</v>
      </c>
      <c r="GY2" s="9">
        <v>187</v>
      </c>
      <c r="GZ2" s="9">
        <v>188</v>
      </c>
      <c r="HA2" s="9">
        <v>189</v>
      </c>
      <c r="HB2" s="9">
        <v>190</v>
      </c>
      <c r="HC2" s="9">
        <v>191</v>
      </c>
      <c r="HD2" s="9">
        <v>192</v>
      </c>
      <c r="HE2" s="9">
        <v>193</v>
      </c>
      <c r="HF2" s="9">
        <v>194</v>
      </c>
      <c r="HG2" s="9">
        <v>195</v>
      </c>
      <c r="HH2" s="9">
        <v>196</v>
      </c>
      <c r="HI2" s="9">
        <v>197</v>
      </c>
      <c r="HJ2" s="9">
        <v>198</v>
      </c>
      <c r="HK2" s="9">
        <v>199</v>
      </c>
      <c r="HL2" s="9">
        <v>200</v>
      </c>
    </row>
    <row r="3" spans="1:220" ht="15" customHeight="1">
      <c r="A3" s="175">
        <f>კრებსითი!A3</f>
        <v>0</v>
      </c>
      <c r="B3" s="175"/>
      <c r="C3" s="1"/>
      <c r="D3" s="1"/>
      <c r="E3" s="1"/>
      <c r="F3" s="1"/>
      <c r="G3" s="1"/>
      <c r="H3" s="1"/>
      <c r="I3" s="1"/>
      <c r="J3" s="1"/>
      <c r="K3" s="175"/>
      <c r="L3" s="175"/>
      <c r="S3" s="194" t="s">
        <v>119</v>
      </c>
      <c r="T3" s="194"/>
      <c r="U3" s="9">
        <v>1.55</v>
      </c>
      <c r="V3" s="9">
        <v>1.93</v>
      </c>
      <c r="W3" s="9">
        <v>2.42</v>
      </c>
      <c r="X3" s="9">
        <v>2.84</v>
      </c>
      <c r="Y3" s="9">
        <v>3.32</v>
      </c>
      <c r="Z3" s="9">
        <v>3.8</v>
      </c>
      <c r="AA3" s="9">
        <v>4.26</v>
      </c>
      <c r="AB3" s="9">
        <v>4.7</v>
      </c>
      <c r="AC3" s="9">
        <v>5.17</v>
      </c>
      <c r="AD3" s="9">
        <v>5.63</v>
      </c>
      <c r="AE3" s="9">
        <v>6.27</v>
      </c>
      <c r="AF3" s="9">
        <v>6.73</v>
      </c>
      <c r="AG3" s="9">
        <v>7.24</v>
      </c>
      <c r="AH3" s="9">
        <v>7.54</v>
      </c>
      <c r="AI3" s="9">
        <v>7.82</v>
      </c>
      <c r="AJ3" s="9">
        <v>8.18</v>
      </c>
      <c r="AK3" s="9">
        <v>8.5399999999999991</v>
      </c>
      <c r="AL3" s="9">
        <v>8.94</v>
      </c>
      <c r="AM3" s="9">
        <v>9.31</v>
      </c>
      <c r="AN3" s="9">
        <v>9.75</v>
      </c>
      <c r="AO3" s="9">
        <v>10.79</v>
      </c>
      <c r="AP3" s="9">
        <v>10.79</v>
      </c>
      <c r="AQ3" s="9">
        <v>10.79</v>
      </c>
      <c r="AR3" s="9">
        <v>10.79</v>
      </c>
      <c r="AS3" s="9">
        <v>10.79</v>
      </c>
      <c r="AT3" s="9">
        <v>12.31</v>
      </c>
      <c r="AU3" s="9">
        <v>12.31</v>
      </c>
      <c r="AV3" s="9">
        <v>12.31</v>
      </c>
      <c r="AW3" s="9">
        <v>12.31</v>
      </c>
      <c r="AX3" s="9">
        <v>12.31</v>
      </c>
      <c r="AY3" s="9">
        <v>13.26</v>
      </c>
      <c r="AZ3" s="9">
        <v>13.26</v>
      </c>
      <c r="BA3" s="9">
        <v>13.26</v>
      </c>
      <c r="BB3" s="9">
        <v>13.26</v>
      </c>
      <c r="BC3" s="9">
        <v>13.26</v>
      </c>
      <c r="BD3" s="9">
        <v>14.94</v>
      </c>
      <c r="BE3" s="9">
        <v>14.94</v>
      </c>
      <c r="BF3" s="9">
        <v>14.94</v>
      </c>
      <c r="BG3" s="9">
        <v>14.94</v>
      </c>
      <c r="BH3" s="9">
        <v>14.94</v>
      </c>
      <c r="BI3" s="9">
        <v>16.41</v>
      </c>
      <c r="BJ3" s="9">
        <v>16.41</v>
      </c>
      <c r="BK3" s="9">
        <v>16.41</v>
      </c>
      <c r="BL3" s="9">
        <v>16.41</v>
      </c>
      <c r="BM3" s="9">
        <v>16.41</v>
      </c>
      <c r="BN3" s="9">
        <v>18.14</v>
      </c>
      <c r="BO3" s="9">
        <v>18.14</v>
      </c>
      <c r="BP3" s="9">
        <v>18.14</v>
      </c>
      <c r="BQ3" s="9">
        <v>18.14</v>
      </c>
      <c r="BR3" s="9">
        <v>18.14</v>
      </c>
      <c r="BS3" s="9">
        <v>19.64</v>
      </c>
      <c r="BT3" s="9">
        <v>19.64</v>
      </c>
      <c r="BU3" s="9">
        <v>19.64</v>
      </c>
      <c r="BV3" s="9">
        <v>19.64</v>
      </c>
      <c r="BW3" s="9">
        <v>19.64</v>
      </c>
      <c r="BX3" s="9">
        <v>21.44</v>
      </c>
      <c r="BY3" s="9">
        <v>21.44</v>
      </c>
      <c r="BZ3" s="9">
        <v>21.44</v>
      </c>
      <c r="CA3" s="9">
        <v>21.44</v>
      </c>
      <c r="CB3" s="9">
        <v>21.44</v>
      </c>
      <c r="CC3" s="9">
        <v>22.41</v>
      </c>
      <c r="CD3" s="9">
        <v>22.41</v>
      </c>
      <c r="CE3" s="9">
        <v>22.41</v>
      </c>
      <c r="CF3" s="9">
        <v>22.41</v>
      </c>
      <c r="CG3" s="9">
        <v>22.41</v>
      </c>
      <c r="CH3" s="9">
        <v>23.66</v>
      </c>
      <c r="CI3" s="9">
        <v>23.66</v>
      </c>
      <c r="CJ3" s="9">
        <v>23.66</v>
      </c>
      <c r="CK3" s="9">
        <v>23.66</v>
      </c>
      <c r="CL3" s="9">
        <v>23.66</v>
      </c>
      <c r="CM3" s="9">
        <v>25.25</v>
      </c>
      <c r="CN3" s="9">
        <v>25.25</v>
      </c>
      <c r="CO3" s="9">
        <v>25.25</v>
      </c>
      <c r="CP3" s="9">
        <v>25.25</v>
      </c>
      <c r="CQ3" s="9">
        <v>25.25</v>
      </c>
      <c r="CR3" s="9">
        <v>26.59</v>
      </c>
      <c r="CS3" s="9">
        <v>26.59</v>
      </c>
      <c r="CT3" s="9">
        <v>26.59</v>
      </c>
      <c r="CU3" s="9">
        <v>26.59</v>
      </c>
      <c r="CV3" s="9">
        <v>26.59</v>
      </c>
      <c r="CW3" s="9">
        <v>27.25</v>
      </c>
      <c r="CX3" s="9">
        <v>27.25</v>
      </c>
      <c r="CY3" s="9">
        <v>27.25</v>
      </c>
      <c r="CZ3" s="9">
        <v>27.25</v>
      </c>
      <c r="DA3" s="9">
        <v>27.25</v>
      </c>
      <c r="DB3" s="9">
        <v>28.38</v>
      </c>
      <c r="DC3" s="9">
        <v>28.38</v>
      </c>
      <c r="DD3" s="9">
        <v>28.38</v>
      </c>
      <c r="DE3" s="9">
        <v>28.38</v>
      </c>
      <c r="DF3" s="9">
        <v>28.38</v>
      </c>
      <c r="DG3" s="9">
        <v>29.93</v>
      </c>
      <c r="DH3" s="9">
        <v>29.93</v>
      </c>
      <c r="DI3" s="9">
        <v>29.93</v>
      </c>
      <c r="DJ3" s="9">
        <v>29.93</v>
      </c>
      <c r="DK3" s="9">
        <v>29.93</v>
      </c>
      <c r="DL3" s="9">
        <v>31.25</v>
      </c>
      <c r="DM3" s="9">
        <v>31.25</v>
      </c>
      <c r="DN3" s="9">
        <v>31.25</v>
      </c>
      <c r="DO3" s="9">
        <v>31.25</v>
      </c>
      <c r="DP3" s="9">
        <v>31.25</v>
      </c>
      <c r="DQ3" s="9">
        <v>32.340000000000003</v>
      </c>
      <c r="DR3" s="9">
        <v>32.340000000000003</v>
      </c>
      <c r="DS3" s="9">
        <v>32.340000000000003</v>
      </c>
      <c r="DT3" s="9">
        <v>32.340000000000003</v>
      </c>
      <c r="DU3" s="9">
        <v>32.340000000000003</v>
      </c>
      <c r="DV3" s="9">
        <v>33.64</v>
      </c>
      <c r="DW3" s="9">
        <v>33.64</v>
      </c>
      <c r="DX3" s="9">
        <v>33.64</v>
      </c>
      <c r="DY3" s="9">
        <v>33.64</v>
      </c>
      <c r="DZ3" s="9">
        <v>33.64</v>
      </c>
      <c r="EA3" s="9">
        <v>34.840000000000003</v>
      </c>
      <c r="EB3" s="9">
        <v>34.840000000000003</v>
      </c>
      <c r="EC3" s="9">
        <v>34.840000000000003</v>
      </c>
      <c r="ED3" s="9">
        <v>34.840000000000003</v>
      </c>
      <c r="EE3" s="9">
        <v>34.840000000000003</v>
      </c>
      <c r="EF3" s="9">
        <v>36.14</v>
      </c>
      <c r="EG3" s="9">
        <v>36.14</v>
      </c>
      <c r="EH3" s="9">
        <v>36.14</v>
      </c>
      <c r="EI3" s="9">
        <v>36.14</v>
      </c>
      <c r="EJ3" s="9">
        <v>36.14</v>
      </c>
      <c r="EK3" s="9">
        <v>36.56</v>
      </c>
      <c r="EL3" s="9">
        <v>36.56</v>
      </c>
      <c r="EM3" s="9">
        <v>36.56</v>
      </c>
      <c r="EN3" s="9">
        <v>36.56</v>
      </c>
      <c r="EO3" s="9">
        <v>36.56</v>
      </c>
      <c r="EP3" s="9">
        <v>38.54</v>
      </c>
      <c r="EQ3" s="9">
        <v>38.54</v>
      </c>
      <c r="ER3" s="9">
        <v>38.54</v>
      </c>
      <c r="ES3" s="9">
        <v>38.54</v>
      </c>
      <c r="ET3" s="9">
        <v>38.54</v>
      </c>
      <c r="EU3" s="9">
        <v>39.47</v>
      </c>
      <c r="EV3" s="9">
        <v>39.47</v>
      </c>
      <c r="EW3" s="9">
        <v>39.47</v>
      </c>
      <c r="EX3" s="9">
        <v>39.47</v>
      </c>
      <c r="EY3" s="9">
        <v>39.47</v>
      </c>
      <c r="EZ3" s="9">
        <v>40.69</v>
      </c>
      <c r="FA3" s="9">
        <v>40.69</v>
      </c>
      <c r="FB3" s="9">
        <v>40.69</v>
      </c>
      <c r="FC3" s="9">
        <v>40.69</v>
      </c>
      <c r="FD3" s="9">
        <v>40.69</v>
      </c>
      <c r="FE3" s="9">
        <v>41.88</v>
      </c>
      <c r="FF3" s="9">
        <v>41.88</v>
      </c>
      <c r="FG3" s="9">
        <v>41.88</v>
      </c>
      <c r="FH3" s="9">
        <v>41.88</v>
      </c>
      <c r="FI3" s="9">
        <v>41.88</v>
      </c>
      <c r="FJ3" s="9">
        <v>43.37</v>
      </c>
      <c r="FK3" s="9">
        <v>43.37</v>
      </c>
      <c r="FL3" s="9">
        <v>43.37</v>
      </c>
      <c r="FM3" s="9">
        <v>43.37</v>
      </c>
      <c r="FN3" s="9">
        <v>43.37</v>
      </c>
      <c r="FO3" s="9">
        <v>44.39</v>
      </c>
      <c r="FP3" s="9">
        <v>44.39</v>
      </c>
      <c r="FQ3" s="9">
        <v>44.39</v>
      </c>
      <c r="FR3" s="9">
        <v>44.39</v>
      </c>
      <c r="FS3" s="9">
        <v>44.39</v>
      </c>
      <c r="FT3" s="9">
        <v>45.49</v>
      </c>
      <c r="FU3" s="9">
        <v>45.49</v>
      </c>
      <c r="FV3" s="9">
        <v>45.49</v>
      </c>
      <c r="FW3" s="9">
        <v>45.49</v>
      </c>
      <c r="FX3" s="9">
        <v>45.49</v>
      </c>
      <c r="FY3" s="9">
        <v>46.79</v>
      </c>
      <c r="FZ3" s="9">
        <v>46.79</v>
      </c>
      <c r="GA3" s="9">
        <v>46.79</v>
      </c>
      <c r="GB3" s="9">
        <v>46.79</v>
      </c>
      <c r="GC3" s="9">
        <v>46.79</v>
      </c>
      <c r="GD3" s="9">
        <v>48.52</v>
      </c>
      <c r="GE3" s="9">
        <v>48.52</v>
      </c>
      <c r="GF3" s="9">
        <v>48.52</v>
      </c>
      <c r="GG3" s="9">
        <v>48.52</v>
      </c>
      <c r="GH3" s="9">
        <v>48.52</v>
      </c>
      <c r="GI3" s="9">
        <v>49.72</v>
      </c>
      <c r="GJ3" s="9">
        <v>49.72</v>
      </c>
      <c r="GK3" s="9">
        <v>49.72</v>
      </c>
      <c r="GL3" s="9">
        <v>49.72</v>
      </c>
      <c r="GM3" s="9">
        <v>49.72</v>
      </c>
      <c r="GN3" s="9">
        <v>50.9</v>
      </c>
      <c r="GO3" s="9">
        <v>50.9</v>
      </c>
      <c r="GP3" s="9">
        <v>50.9</v>
      </c>
      <c r="GQ3" s="9">
        <v>50.9</v>
      </c>
      <c r="GR3" s="9">
        <v>50.9</v>
      </c>
      <c r="GS3" s="9">
        <v>52.22</v>
      </c>
      <c r="GT3" s="9">
        <v>52.22</v>
      </c>
      <c r="GU3" s="9">
        <v>52.22</v>
      </c>
      <c r="GV3" s="9">
        <v>52.22</v>
      </c>
      <c r="GW3" s="9">
        <v>52.22</v>
      </c>
      <c r="GX3" s="9">
        <v>53.42</v>
      </c>
      <c r="GY3" s="9">
        <v>53.42</v>
      </c>
      <c r="GZ3" s="9">
        <v>53.42</v>
      </c>
      <c r="HA3" s="9">
        <v>53.42</v>
      </c>
      <c r="HB3" s="9">
        <v>53.42</v>
      </c>
      <c r="HC3" s="9">
        <v>54.07</v>
      </c>
      <c r="HD3" s="9">
        <v>54.07</v>
      </c>
      <c r="HE3" s="9">
        <v>54.07</v>
      </c>
      <c r="HF3" s="9">
        <v>54.07</v>
      </c>
      <c r="HG3" s="9">
        <v>54.07</v>
      </c>
      <c r="HH3" s="9">
        <v>54.71</v>
      </c>
      <c r="HI3" s="9">
        <v>54.71</v>
      </c>
      <c r="HJ3" s="9">
        <v>54.71</v>
      </c>
      <c r="HK3" s="9">
        <v>54.71</v>
      </c>
      <c r="HL3" s="9">
        <v>54.71</v>
      </c>
    </row>
    <row r="4" spans="1:220" ht="15" customHeight="1">
      <c r="A4" s="175"/>
      <c r="B4" s="175"/>
      <c r="C4" s="1"/>
      <c r="D4" s="1"/>
      <c r="E4" s="1"/>
      <c r="F4" s="1"/>
      <c r="G4" s="1"/>
      <c r="H4" s="1"/>
      <c r="I4" s="1"/>
      <c r="J4" s="1"/>
      <c r="K4" s="175"/>
      <c r="L4" s="175"/>
    </row>
    <row r="5" spans="1:220" ht="15" customHeight="1">
      <c r="A5" s="175" t="s">
        <v>28</v>
      </c>
      <c r="B5" s="175"/>
      <c r="C5" s="1"/>
      <c r="D5" s="1"/>
      <c r="E5" s="1"/>
      <c r="F5" s="1"/>
      <c r="G5" s="1"/>
      <c r="H5" s="1"/>
      <c r="I5" s="1"/>
      <c r="J5" s="1"/>
      <c r="K5" s="175"/>
      <c r="L5" s="175"/>
    </row>
    <row r="6" spans="1:220" ht="15" customHeight="1">
      <c r="A6" s="175"/>
      <c r="B6" s="175"/>
      <c r="C6" s="1"/>
      <c r="D6" s="1"/>
      <c r="E6" s="1"/>
      <c r="F6" s="1"/>
      <c r="G6" s="1"/>
      <c r="H6" s="1"/>
      <c r="I6" s="1"/>
      <c r="J6" s="1"/>
      <c r="K6" s="175"/>
      <c r="L6" s="175"/>
    </row>
    <row r="7" spans="1:220" ht="15" customHeight="1">
      <c r="A7" s="175">
        <f>კრებსითი!A6</f>
        <v>0</v>
      </c>
      <c r="B7" s="175"/>
      <c r="C7" s="1"/>
      <c r="D7" s="1"/>
      <c r="E7" s="1"/>
      <c r="F7" s="1"/>
      <c r="G7" s="1"/>
      <c r="H7" s="1"/>
      <c r="I7" s="1"/>
      <c r="J7" s="1"/>
      <c r="K7" s="175"/>
      <c r="L7" s="175"/>
      <c r="S7" s="195"/>
      <c r="T7" s="195"/>
    </row>
    <row r="8" spans="1:220" ht="15" customHeight="1">
      <c r="A8" s="175"/>
      <c r="B8" s="175"/>
      <c r="C8" s="1"/>
      <c r="D8" s="1"/>
      <c r="E8" s="1"/>
      <c r="F8" s="1"/>
      <c r="G8" s="1"/>
      <c r="H8" s="1"/>
      <c r="I8" s="1"/>
      <c r="J8" s="1"/>
      <c r="K8" s="175"/>
      <c r="L8" s="175"/>
      <c r="S8" s="195"/>
      <c r="T8" s="195"/>
    </row>
    <row r="9" spans="1:220" ht="15" customHeight="1">
      <c r="A9" s="175" t="s">
        <v>29</v>
      </c>
      <c r="B9" s="175"/>
      <c r="C9" s="1"/>
      <c r="D9" s="1"/>
      <c r="E9" s="1"/>
      <c r="F9" s="1"/>
      <c r="G9" s="1"/>
      <c r="H9" s="1"/>
      <c r="I9" s="1"/>
      <c r="J9" s="1"/>
      <c r="K9" s="175"/>
      <c r="L9" s="175"/>
      <c r="S9" s="195"/>
      <c r="T9" s="195"/>
    </row>
    <row r="10" spans="1:220" ht="15" customHeight="1">
      <c r="A10" s="175"/>
      <c r="B10" s="175"/>
      <c r="C10" s="2"/>
      <c r="D10" s="2"/>
      <c r="E10" s="2"/>
      <c r="F10" s="2"/>
      <c r="G10" s="1"/>
      <c r="H10" s="1"/>
      <c r="I10" s="1"/>
      <c r="J10" s="1"/>
      <c r="K10" s="175"/>
      <c r="L10" s="175"/>
      <c r="S10" s="195"/>
      <c r="T10" s="195"/>
    </row>
    <row r="11" spans="1:220" ht="15" customHeight="1">
      <c r="A11" s="175"/>
      <c r="B11" s="175"/>
      <c r="C11" s="1"/>
      <c r="D11" s="1"/>
      <c r="E11" s="1"/>
      <c r="F11" s="1"/>
      <c r="G11" s="1"/>
      <c r="H11" s="182"/>
      <c r="I11" s="14"/>
      <c r="J11" s="175"/>
      <c r="K11" s="175"/>
      <c r="L11" s="13"/>
      <c r="S11" s="195"/>
      <c r="T11" s="195"/>
    </row>
    <row r="12" spans="1:220" ht="15" customHeight="1">
      <c r="A12" s="175"/>
      <c r="B12" s="175"/>
      <c r="C12" s="1"/>
      <c r="D12" s="1"/>
      <c r="E12" s="1"/>
      <c r="F12" s="1"/>
      <c r="G12" s="1"/>
      <c r="H12" s="182"/>
      <c r="I12" s="14"/>
      <c r="J12" s="175"/>
      <c r="K12" s="175"/>
      <c r="L12" s="13"/>
      <c r="S12" s="195"/>
      <c r="T12" s="195"/>
    </row>
    <row r="13" spans="1:220" ht="15" customHeight="1">
      <c r="A13" s="196" t="s">
        <v>41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S13" s="195"/>
      <c r="T13" s="195"/>
    </row>
    <row r="14" spans="1:220" ht="15" customHeight="1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S14" s="195"/>
      <c r="T14" s="195"/>
    </row>
    <row r="15" spans="1:220" ht="15" customHeight="1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S15" s="195"/>
      <c r="T15" s="195"/>
    </row>
    <row r="16" spans="1:220" s="7" customFormat="1" ht="39.950000000000003" customHeight="1">
      <c r="A16" s="180" t="s">
        <v>2</v>
      </c>
      <c r="B16" s="180" t="s">
        <v>42</v>
      </c>
      <c r="C16" s="181" t="s">
        <v>7</v>
      </c>
      <c r="D16" s="181" t="s">
        <v>107</v>
      </c>
      <c r="E16" s="181" t="s">
        <v>108</v>
      </c>
      <c r="F16" s="181" t="s">
        <v>44</v>
      </c>
      <c r="G16" s="181" t="s">
        <v>120</v>
      </c>
      <c r="H16" s="181" t="s">
        <v>109</v>
      </c>
      <c r="I16" s="181"/>
      <c r="J16" s="181" t="s">
        <v>121</v>
      </c>
      <c r="K16" s="181" t="s">
        <v>128</v>
      </c>
      <c r="L16" s="191" t="s">
        <v>123</v>
      </c>
      <c r="S16" s="8"/>
      <c r="T16" s="8"/>
    </row>
    <row r="17" spans="1:20" s="7" customFormat="1" ht="39.950000000000003" customHeight="1">
      <c r="A17" s="180"/>
      <c r="B17" s="180"/>
      <c r="C17" s="181"/>
      <c r="D17" s="181"/>
      <c r="E17" s="181"/>
      <c r="F17" s="181"/>
      <c r="G17" s="181"/>
      <c r="H17" s="181" t="s">
        <v>110</v>
      </c>
      <c r="I17" s="181" t="s">
        <v>111</v>
      </c>
      <c r="J17" s="181"/>
      <c r="K17" s="181"/>
      <c r="L17" s="192"/>
      <c r="S17" s="8"/>
      <c r="T17" s="8"/>
    </row>
    <row r="18" spans="1:20" s="7" customFormat="1" ht="39.950000000000003" customHeight="1">
      <c r="A18" s="180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93"/>
      <c r="S18" s="8"/>
      <c r="T18" s="8"/>
    </row>
    <row r="19" spans="1:20" s="7" customFormat="1" ht="39.950000000000003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S19" s="8"/>
      <c r="T19" s="8"/>
    </row>
    <row r="20" spans="1:20" s="7" customFormat="1" ht="80.099999999999994" customHeight="1">
      <c r="A20" s="16" t="s">
        <v>9</v>
      </c>
      <c r="B20" s="18" t="s">
        <v>43</v>
      </c>
      <c r="C20" s="20"/>
      <c r="D20" s="20"/>
      <c r="E20" s="20"/>
      <c r="F20" s="20"/>
      <c r="G20" s="37"/>
      <c r="H20" s="20"/>
      <c r="I20" s="20"/>
      <c r="J20" s="20"/>
      <c r="K20" s="20"/>
      <c r="L20" s="20"/>
      <c r="S20" s="8"/>
      <c r="T20" s="8"/>
    </row>
    <row r="21" spans="1:20" ht="39.950000000000003" customHeight="1">
      <c r="A21" s="30">
        <v>1.1000000000000001</v>
      </c>
      <c r="B21" s="31" t="s">
        <v>106</v>
      </c>
      <c r="C21" s="20" t="s">
        <v>93</v>
      </c>
      <c r="D21" s="21">
        <v>1.2</v>
      </c>
      <c r="E21" s="20" t="s">
        <v>150</v>
      </c>
      <c r="F21" s="20">
        <v>15</v>
      </c>
      <c r="G21" s="37">
        <f>IF(F21&lt;=200,HLOOKUP(F21,$U$2:$HL$3,2,TRUE),(((F21-200)*0.24)+54.71))</f>
        <v>7.82</v>
      </c>
      <c r="H21" s="30" t="s">
        <v>9</v>
      </c>
      <c r="I21" s="21">
        <v>1</v>
      </c>
      <c r="J21" s="20">
        <v>162</v>
      </c>
      <c r="K21" s="36">
        <f t="shared" ref="K21:K26" si="0">ROUND(D21*G21*I21,2)</f>
        <v>9.3800000000000008</v>
      </c>
      <c r="L21" s="32" t="s">
        <v>145</v>
      </c>
    </row>
    <row r="22" spans="1:20" ht="39.950000000000003" customHeight="1">
      <c r="A22" s="30">
        <f>A21+0.1</f>
        <v>1.2000000000000002</v>
      </c>
      <c r="B22" s="31" t="s">
        <v>95</v>
      </c>
      <c r="C22" s="20" t="s">
        <v>117</v>
      </c>
      <c r="D22" s="20">
        <v>2.2000000000000002</v>
      </c>
      <c r="E22" s="20" t="s">
        <v>150</v>
      </c>
      <c r="F22" s="20">
        <v>15</v>
      </c>
      <c r="G22" s="37">
        <f t="shared" ref="G22:G69" si="1">IF(F22&lt;=200,HLOOKUP(F22,$U$2:$HL$3,2,TRUE),(((F22-200)*0.24)+54.71))</f>
        <v>7.82</v>
      </c>
      <c r="H22" s="30" t="s">
        <v>9</v>
      </c>
      <c r="I22" s="30">
        <v>1</v>
      </c>
      <c r="J22" s="20">
        <v>95</v>
      </c>
      <c r="K22" s="36">
        <f t="shared" si="0"/>
        <v>17.2</v>
      </c>
      <c r="L22" s="20" t="s">
        <v>132</v>
      </c>
    </row>
    <row r="23" spans="1:20" ht="39.950000000000003" customHeight="1">
      <c r="A23" s="30">
        <v>1.3</v>
      </c>
      <c r="B23" s="31" t="s">
        <v>158</v>
      </c>
      <c r="C23" s="20" t="s">
        <v>117</v>
      </c>
      <c r="D23" s="20">
        <v>2.2000000000000002</v>
      </c>
      <c r="E23" s="20" t="s">
        <v>150</v>
      </c>
      <c r="F23" s="20">
        <v>15</v>
      </c>
      <c r="G23" s="37">
        <f t="shared" si="1"/>
        <v>7.82</v>
      </c>
      <c r="H23" s="30" t="s">
        <v>9</v>
      </c>
      <c r="I23" s="21">
        <v>1</v>
      </c>
      <c r="J23" s="20">
        <v>103</v>
      </c>
      <c r="K23" s="36">
        <f t="shared" si="0"/>
        <v>17.2</v>
      </c>
      <c r="L23" s="32" t="s">
        <v>161</v>
      </c>
    </row>
    <row r="24" spans="1:20" ht="39.950000000000003" customHeight="1">
      <c r="A24" s="20">
        <v>1.4</v>
      </c>
      <c r="B24" s="31" t="s">
        <v>96</v>
      </c>
      <c r="C24" s="20" t="s">
        <v>117</v>
      </c>
      <c r="D24" s="20">
        <v>2.2000000000000002</v>
      </c>
      <c r="E24" s="20" t="s">
        <v>150</v>
      </c>
      <c r="F24" s="20">
        <v>15</v>
      </c>
      <c r="G24" s="37">
        <f t="shared" si="1"/>
        <v>7.82</v>
      </c>
      <c r="H24" s="30" t="s">
        <v>9</v>
      </c>
      <c r="I24" s="21">
        <v>1</v>
      </c>
      <c r="J24" s="20">
        <v>92</v>
      </c>
      <c r="K24" s="36">
        <f t="shared" si="0"/>
        <v>17.2</v>
      </c>
      <c r="L24" s="32" t="s">
        <v>154</v>
      </c>
    </row>
    <row r="25" spans="1:20" ht="39.950000000000003" customHeight="1">
      <c r="A25" s="30">
        <v>1.5</v>
      </c>
      <c r="B25" s="31" t="s">
        <v>130</v>
      </c>
      <c r="C25" s="20" t="s">
        <v>117</v>
      </c>
      <c r="D25" s="20">
        <v>2.4</v>
      </c>
      <c r="E25" s="20" t="s">
        <v>150</v>
      </c>
      <c r="F25" s="20">
        <v>15</v>
      </c>
      <c r="G25" s="37">
        <f t="shared" si="1"/>
        <v>7.82</v>
      </c>
      <c r="H25" s="30" t="s">
        <v>9</v>
      </c>
      <c r="I25" s="30">
        <v>1</v>
      </c>
      <c r="J25" s="38">
        <v>89</v>
      </c>
      <c r="K25" s="36">
        <f t="shared" si="0"/>
        <v>18.77</v>
      </c>
      <c r="L25" s="36" t="s">
        <v>131</v>
      </c>
    </row>
    <row r="26" spans="1:20" ht="39.950000000000003" customHeight="1">
      <c r="A26" s="20">
        <v>1.6</v>
      </c>
      <c r="B26" s="31" t="s">
        <v>155</v>
      </c>
      <c r="C26" s="20" t="s">
        <v>117</v>
      </c>
      <c r="D26" s="20">
        <v>2.4</v>
      </c>
      <c r="E26" s="20" t="s">
        <v>150</v>
      </c>
      <c r="F26" s="20">
        <v>15</v>
      </c>
      <c r="G26" s="37">
        <f t="shared" si="1"/>
        <v>7.82</v>
      </c>
      <c r="H26" s="30" t="s">
        <v>9</v>
      </c>
      <c r="I26" s="21">
        <v>1</v>
      </c>
      <c r="J26" s="20">
        <v>97</v>
      </c>
      <c r="K26" s="36">
        <f t="shared" si="0"/>
        <v>18.77</v>
      </c>
      <c r="L26" s="32" t="s">
        <v>156</v>
      </c>
    </row>
    <row r="27" spans="1:20" ht="39.950000000000003" customHeight="1">
      <c r="A27" s="20">
        <v>1.8</v>
      </c>
      <c r="B27" s="31" t="s">
        <v>100</v>
      </c>
      <c r="C27" s="20" t="s">
        <v>117</v>
      </c>
      <c r="D27" s="20">
        <v>2.4</v>
      </c>
      <c r="E27" s="20" t="s">
        <v>150</v>
      </c>
      <c r="F27" s="20">
        <v>15</v>
      </c>
      <c r="G27" s="37">
        <f t="shared" si="1"/>
        <v>7.82</v>
      </c>
      <c r="H27" s="30" t="s">
        <v>9</v>
      </c>
      <c r="I27" s="30">
        <v>1</v>
      </c>
      <c r="J27" s="38">
        <f>106+13</f>
        <v>119</v>
      </c>
      <c r="K27" s="36">
        <f>ROUND(D27*G27*I27,2)</f>
        <v>18.77</v>
      </c>
      <c r="L27" s="36" t="s">
        <v>124</v>
      </c>
    </row>
    <row r="28" spans="1:20" ht="39.950000000000003" customHeight="1">
      <c r="A28" s="30">
        <v>1.7</v>
      </c>
      <c r="B28" s="31" t="s">
        <v>157</v>
      </c>
      <c r="C28" s="20" t="s">
        <v>117</v>
      </c>
      <c r="D28" s="20">
        <v>2.4</v>
      </c>
      <c r="E28" s="20" t="s">
        <v>150</v>
      </c>
      <c r="F28" s="20">
        <v>15</v>
      </c>
      <c r="G28" s="37">
        <f t="shared" si="1"/>
        <v>7.82</v>
      </c>
      <c r="H28" s="30" t="s">
        <v>9</v>
      </c>
      <c r="I28" s="30">
        <v>1</v>
      </c>
      <c r="J28" s="38">
        <f>108</f>
        <v>108</v>
      </c>
      <c r="K28" s="36">
        <f>ROUND(D28*G28*I28,2)</f>
        <v>18.77</v>
      </c>
      <c r="L28" s="36" t="s">
        <v>124</v>
      </c>
    </row>
    <row r="29" spans="1:20" ht="39.950000000000003" customHeight="1">
      <c r="A29" s="20">
        <v>1.8</v>
      </c>
      <c r="B29" s="31" t="s">
        <v>79</v>
      </c>
      <c r="C29" s="20" t="s">
        <v>117</v>
      </c>
      <c r="D29" s="20">
        <v>2.4</v>
      </c>
      <c r="E29" s="20" t="s">
        <v>150</v>
      </c>
      <c r="F29" s="20">
        <v>15</v>
      </c>
      <c r="G29" s="37">
        <f t="shared" si="1"/>
        <v>7.82</v>
      </c>
      <c r="H29" s="30" t="s">
        <v>9</v>
      </c>
      <c r="I29" s="30">
        <v>1</v>
      </c>
      <c r="J29" s="38">
        <f>108+13</f>
        <v>121</v>
      </c>
      <c r="K29" s="36">
        <f>ROUND(D29*G29*I29,2)</f>
        <v>18.77</v>
      </c>
      <c r="L29" s="36" t="s">
        <v>124</v>
      </c>
    </row>
    <row r="30" spans="1:20" ht="39.950000000000003" customHeight="1">
      <c r="A30" s="30">
        <v>1.9</v>
      </c>
      <c r="B30" s="31" t="s">
        <v>167</v>
      </c>
      <c r="C30" s="20" t="s">
        <v>117</v>
      </c>
      <c r="D30" s="20">
        <v>2.4</v>
      </c>
      <c r="E30" s="20" t="s">
        <v>150</v>
      </c>
      <c r="F30" s="20">
        <v>15</v>
      </c>
      <c r="G30" s="37">
        <f t="shared" si="1"/>
        <v>7.82</v>
      </c>
      <c r="H30" s="30" t="s">
        <v>9</v>
      </c>
      <c r="I30" s="30">
        <v>1</v>
      </c>
      <c r="J30" s="38">
        <v>113</v>
      </c>
      <c r="K30" s="36">
        <f>ROUND(D30*G30*I30,2)</f>
        <v>18.77</v>
      </c>
      <c r="L30" s="36" t="s">
        <v>124</v>
      </c>
    </row>
    <row r="31" spans="1:20" ht="39.950000000000003" customHeight="1">
      <c r="A31" s="21">
        <v>1.1000000000000001</v>
      </c>
      <c r="B31" s="31" t="s">
        <v>166</v>
      </c>
      <c r="C31" s="20" t="s">
        <v>117</v>
      </c>
      <c r="D31" s="20">
        <v>2.4</v>
      </c>
      <c r="E31" s="20" t="s">
        <v>150</v>
      </c>
      <c r="F31" s="20">
        <v>15</v>
      </c>
      <c r="G31" s="37">
        <f t="shared" si="1"/>
        <v>7.82</v>
      </c>
      <c r="H31" s="30" t="s">
        <v>9</v>
      </c>
      <c r="I31" s="30">
        <v>1</v>
      </c>
      <c r="J31" s="38">
        <f>113+13</f>
        <v>126</v>
      </c>
      <c r="K31" s="36">
        <f t="shared" ref="K31:K40" si="2">ROUND(D31*G31*I31,2)</f>
        <v>18.77</v>
      </c>
      <c r="L31" s="36" t="s">
        <v>124</v>
      </c>
    </row>
    <row r="32" spans="1:20" ht="39.950000000000003" customHeight="1">
      <c r="A32" s="21">
        <v>1.1100000000000001</v>
      </c>
      <c r="B32" s="31" t="s">
        <v>99</v>
      </c>
      <c r="C32" s="20" t="s">
        <v>135</v>
      </c>
      <c r="D32" s="20">
        <v>1</v>
      </c>
      <c r="E32" s="20" t="s">
        <v>233</v>
      </c>
      <c r="F32" s="20">
        <v>240</v>
      </c>
      <c r="G32" s="37">
        <f t="shared" si="1"/>
        <v>64.31</v>
      </c>
      <c r="H32" s="30" t="s">
        <v>9</v>
      </c>
      <c r="I32" s="30">
        <v>1</v>
      </c>
      <c r="J32" s="20">
        <v>1600</v>
      </c>
      <c r="K32" s="36">
        <f t="shared" si="2"/>
        <v>64.31</v>
      </c>
      <c r="L32" s="32" t="s">
        <v>151</v>
      </c>
    </row>
    <row r="33" spans="1:12" ht="39.950000000000003" customHeight="1">
      <c r="A33" s="21">
        <v>1.1200000000000001</v>
      </c>
      <c r="B33" s="31" t="s">
        <v>116</v>
      </c>
      <c r="C33" s="20" t="s">
        <v>135</v>
      </c>
      <c r="D33" s="20">
        <v>1</v>
      </c>
      <c r="E33" s="20" t="s">
        <v>233</v>
      </c>
      <c r="F33" s="20">
        <v>240</v>
      </c>
      <c r="G33" s="37">
        <f t="shared" si="1"/>
        <v>64.31</v>
      </c>
      <c r="H33" s="30" t="s">
        <v>9</v>
      </c>
      <c r="I33" s="30">
        <v>1</v>
      </c>
      <c r="J33" s="20">
        <v>1520</v>
      </c>
      <c r="K33" s="36">
        <f t="shared" si="2"/>
        <v>64.31</v>
      </c>
      <c r="L33" s="32" t="s">
        <v>136</v>
      </c>
    </row>
    <row r="34" spans="1:12" ht="39.950000000000003" customHeight="1">
      <c r="A34" s="21">
        <v>1.1299999999999999</v>
      </c>
      <c r="B34" s="31" t="s">
        <v>103</v>
      </c>
      <c r="C34" s="20" t="s">
        <v>93</v>
      </c>
      <c r="D34" s="20">
        <v>1</v>
      </c>
      <c r="E34" s="20" t="s">
        <v>232</v>
      </c>
      <c r="F34" s="20">
        <v>110</v>
      </c>
      <c r="G34" s="37">
        <f t="shared" si="1"/>
        <v>33.64</v>
      </c>
      <c r="H34" s="30" t="s">
        <v>9</v>
      </c>
      <c r="I34" s="21">
        <v>1</v>
      </c>
      <c r="J34" s="20">
        <v>101.7</v>
      </c>
      <c r="K34" s="36">
        <f t="shared" si="2"/>
        <v>33.64</v>
      </c>
      <c r="L34" s="32" t="s">
        <v>147</v>
      </c>
    </row>
    <row r="35" spans="1:12" ht="39.950000000000003" customHeight="1">
      <c r="A35" s="21">
        <v>1.1399999999999999</v>
      </c>
      <c r="B35" s="31" t="s">
        <v>104</v>
      </c>
      <c r="C35" s="20" t="s">
        <v>93</v>
      </c>
      <c r="D35" s="20">
        <v>1</v>
      </c>
      <c r="E35" s="20" t="s">
        <v>232</v>
      </c>
      <c r="F35" s="20">
        <v>110</v>
      </c>
      <c r="G35" s="37">
        <f t="shared" si="1"/>
        <v>33.64</v>
      </c>
      <c r="H35" s="30" t="s">
        <v>9</v>
      </c>
      <c r="I35" s="21">
        <v>1</v>
      </c>
      <c r="J35" s="20">
        <v>110.2</v>
      </c>
      <c r="K35" s="36">
        <f t="shared" si="2"/>
        <v>33.64</v>
      </c>
      <c r="L35" s="32" t="s">
        <v>148</v>
      </c>
    </row>
    <row r="36" spans="1:12" ht="39.950000000000003" customHeight="1">
      <c r="A36" s="21">
        <v>1.1499999999999999</v>
      </c>
      <c r="B36" s="31" t="s">
        <v>112</v>
      </c>
      <c r="C36" s="20" t="s">
        <v>117</v>
      </c>
      <c r="D36" s="20">
        <v>1.6</v>
      </c>
      <c r="E36" s="20" t="s">
        <v>141</v>
      </c>
      <c r="F36" s="20">
        <v>20</v>
      </c>
      <c r="G36" s="37">
        <f t="shared" si="1"/>
        <v>9.75</v>
      </c>
      <c r="H36" s="30" t="s">
        <v>9</v>
      </c>
      <c r="I36" s="30">
        <v>1</v>
      </c>
      <c r="J36" s="38">
        <v>17</v>
      </c>
      <c r="K36" s="36">
        <f t="shared" si="2"/>
        <v>15.6</v>
      </c>
      <c r="L36" s="36" t="s">
        <v>125</v>
      </c>
    </row>
    <row r="37" spans="1:12" ht="39.950000000000003" customHeight="1">
      <c r="A37" s="21">
        <v>1.1599999999999999</v>
      </c>
      <c r="B37" s="31" t="s">
        <v>87</v>
      </c>
      <c r="C37" s="20" t="s">
        <v>117</v>
      </c>
      <c r="D37" s="20">
        <v>1.55</v>
      </c>
      <c r="E37" s="20" t="s">
        <v>141</v>
      </c>
      <c r="F37" s="20">
        <v>20</v>
      </c>
      <c r="G37" s="37">
        <f t="shared" si="1"/>
        <v>9.75</v>
      </c>
      <c r="H37" s="30" t="s">
        <v>9</v>
      </c>
      <c r="I37" s="30">
        <v>1</v>
      </c>
      <c r="J37" s="20">
        <v>12.7</v>
      </c>
      <c r="K37" s="36">
        <f t="shared" si="2"/>
        <v>15.11</v>
      </c>
      <c r="L37" s="32" t="s">
        <v>138</v>
      </c>
    </row>
    <row r="38" spans="1:12" ht="39.950000000000003" customHeight="1">
      <c r="A38" s="21">
        <v>1.17</v>
      </c>
      <c r="B38" s="31" t="s">
        <v>113</v>
      </c>
      <c r="C38" s="20" t="s">
        <v>117</v>
      </c>
      <c r="D38" s="20">
        <v>1.5</v>
      </c>
      <c r="E38" s="20" t="s">
        <v>150</v>
      </c>
      <c r="F38" s="20">
        <v>15</v>
      </c>
      <c r="G38" s="37">
        <f t="shared" si="1"/>
        <v>7.82</v>
      </c>
      <c r="H38" s="30" t="s">
        <v>9</v>
      </c>
      <c r="I38" s="30">
        <v>1</v>
      </c>
      <c r="J38" s="20">
        <v>28</v>
      </c>
      <c r="K38" s="36">
        <f t="shared" si="2"/>
        <v>11.73</v>
      </c>
      <c r="L38" s="20" t="s">
        <v>129</v>
      </c>
    </row>
    <row r="39" spans="1:12" ht="39.950000000000003" customHeight="1">
      <c r="A39" s="21">
        <v>1.18</v>
      </c>
      <c r="B39" s="31" t="s">
        <v>159</v>
      </c>
      <c r="C39" s="20" t="s">
        <v>117</v>
      </c>
      <c r="D39" s="20">
        <v>1.5</v>
      </c>
      <c r="E39" s="20" t="s">
        <v>150</v>
      </c>
      <c r="F39" s="20">
        <v>15</v>
      </c>
      <c r="G39" s="37">
        <f t="shared" si="1"/>
        <v>7.82</v>
      </c>
      <c r="H39" s="30" t="s">
        <v>9</v>
      </c>
      <c r="I39" s="21">
        <v>1</v>
      </c>
      <c r="J39" s="20">
        <v>38</v>
      </c>
      <c r="K39" s="36">
        <f t="shared" si="2"/>
        <v>11.73</v>
      </c>
      <c r="L39" s="32" t="s">
        <v>160</v>
      </c>
    </row>
    <row r="40" spans="1:12" ht="39.950000000000003" customHeight="1">
      <c r="A40" s="21">
        <v>1.19</v>
      </c>
      <c r="B40" s="20" t="s">
        <v>139</v>
      </c>
      <c r="C40" s="20" t="s">
        <v>117</v>
      </c>
      <c r="D40" s="20">
        <v>2</v>
      </c>
      <c r="E40" s="20" t="s">
        <v>141</v>
      </c>
      <c r="F40" s="20">
        <v>20</v>
      </c>
      <c r="G40" s="37">
        <f t="shared" si="1"/>
        <v>9.75</v>
      </c>
      <c r="H40" s="30" t="s">
        <v>9</v>
      </c>
      <c r="I40" s="30">
        <v>1</v>
      </c>
      <c r="J40" s="20">
        <v>15</v>
      </c>
      <c r="K40" s="36">
        <f t="shared" si="2"/>
        <v>19.5</v>
      </c>
      <c r="L40" s="32" t="s">
        <v>140</v>
      </c>
    </row>
    <row r="41" spans="1:12" ht="39.950000000000003" customHeight="1">
      <c r="A41" s="21">
        <v>1.2</v>
      </c>
      <c r="B41" s="20" t="s">
        <v>211</v>
      </c>
      <c r="C41" s="20" t="s">
        <v>117</v>
      </c>
      <c r="D41" s="20">
        <v>2</v>
      </c>
      <c r="E41" s="20" t="s">
        <v>141</v>
      </c>
      <c r="F41" s="20">
        <v>20</v>
      </c>
      <c r="G41" s="37">
        <f t="shared" si="1"/>
        <v>9.75</v>
      </c>
      <c r="H41" s="30" t="s">
        <v>9</v>
      </c>
      <c r="I41" s="30">
        <v>1</v>
      </c>
      <c r="J41" s="20">
        <v>18</v>
      </c>
      <c r="K41" s="36">
        <f>ROUND(D41*G41*I41,2)</f>
        <v>19.5</v>
      </c>
      <c r="L41" s="32" t="s">
        <v>140</v>
      </c>
    </row>
    <row r="42" spans="1:12" ht="39.950000000000003" customHeight="1">
      <c r="A42" s="21">
        <v>1.21</v>
      </c>
      <c r="B42" s="31" t="s">
        <v>80</v>
      </c>
      <c r="C42" s="20" t="s">
        <v>122</v>
      </c>
      <c r="D42" s="20">
        <f>0.4*1*0.6</f>
        <v>0.24</v>
      </c>
      <c r="E42" s="20" t="s">
        <v>210</v>
      </c>
      <c r="F42" s="20">
        <v>130</v>
      </c>
      <c r="G42" s="37">
        <f t="shared" si="1"/>
        <v>38.54</v>
      </c>
      <c r="H42" s="30" t="s">
        <v>9</v>
      </c>
      <c r="I42" s="30">
        <v>1</v>
      </c>
      <c r="J42" s="38">
        <v>16</v>
      </c>
      <c r="K42" s="36">
        <f t="shared" ref="K42:K68" si="3">ROUND(D42*G42*I42,2)</f>
        <v>9.25</v>
      </c>
      <c r="L42" s="36" t="s">
        <v>126</v>
      </c>
    </row>
    <row r="43" spans="1:12" ht="39.950000000000003" customHeight="1">
      <c r="A43" s="21">
        <v>1.22</v>
      </c>
      <c r="B43" s="31" t="s">
        <v>115</v>
      </c>
      <c r="C43" s="20" t="s">
        <v>117</v>
      </c>
      <c r="D43" s="20">
        <v>0.6</v>
      </c>
      <c r="E43" s="20" t="s">
        <v>210</v>
      </c>
      <c r="F43" s="20">
        <v>130</v>
      </c>
      <c r="G43" s="37">
        <f t="shared" si="1"/>
        <v>38.54</v>
      </c>
      <c r="H43" s="30" t="s">
        <v>9</v>
      </c>
      <c r="I43" s="30">
        <v>1</v>
      </c>
      <c r="J43" s="38">
        <v>443</v>
      </c>
      <c r="K43" s="36">
        <f t="shared" si="3"/>
        <v>23.12</v>
      </c>
      <c r="L43" s="39" t="s">
        <v>134</v>
      </c>
    </row>
    <row r="44" spans="1:12" ht="39.950000000000003" customHeight="1">
      <c r="A44" s="21">
        <v>1.23</v>
      </c>
      <c r="B44" s="31" t="s">
        <v>81</v>
      </c>
      <c r="C44" s="20" t="s">
        <v>117</v>
      </c>
      <c r="D44" s="20">
        <v>0.6</v>
      </c>
      <c r="E44" s="20" t="s">
        <v>210</v>
      </c>
      <c r="F44" s="20">
        <v>130</v>
      </c>
      <c r="G44" s="37">
        <f t="shared" si="1"/>
        <v>38.54</v>
      </c>
      <c r="H44" s="30" t="s">
        <v>9</v>
      </c>
      <c r="I44" s="30">
        <v>1</v>
      </c>
      <c r="J44" s="38">
        <v>475</v>
      </c>
      <c r="K44" s="36">
        <f t="shared" si="3"/>
        <v>23.12</v>
      </c>
      <c r="L44" s="39" t="s">
        <v>127</v>
      </c>
    </row>
    <row r="45" spans="1:12" ht="39.950000000000003" customHeight="1">
      <c r="A45" s="21">
        <v>1.24</v>
      </c>
      <c r="B45" s="31" t="s">
        <v>165</v>
      </c>
      <c r="C45" s="20" t="s">
        <v>117</v>
      </c>
      <c r="D45" s="20">
        <v>0.6</v>
      </c>
      <c r="E45" s="20" t="s">
        <v>210</v>
      </c>
      <c r="F45" s="20">
        <v>130</v>
      </c>
      <c r="G45" s="37">
        <f t="shared" si="1"/>
        <v>38.54</v>
      </c>
      <c r="H45" s="30" t="s">
        <v>9</v>
      </c>
      <c r="I45" s="30">
        <v>1</v>
      </c>
      <c r="J45" s="30">
        <v>521</v>
      </c>
      <c r="K45" s="36">
        <f>ROUND(D45*G45*I45,2)</f>
        <v>23.12</v>
      </c>
      <c r="L45" s="39" t="s">
        <v>127</v>
      </c>
    </row>
    <row r="46" spans="1:12" ht="39.950000000000003" customHeight="1">
      <c r="A46" s="21">
        <v>1.25</v>
      </c>
      <c r="B46" s="20" t="s">
        <v>114</v>
      </c>
      <c r="C46" s="20" t="s">
        <v>117</v>
      </c>
      <c r="D46" s="20">
        <v>0.7</v>
      </c>
      <c r="E46" s="20" t="s">
        <v>210</v>
      </c>
      <c r="F46" s="20">
        <v>130</v>
      </c>
      <c r="G46" s="37">
        <f t="shared" si="1"/>
        <v>38.54</v>
      </c>
      <c r="H46" s="30" t="s">
        <v>9</v>
      </c>
      <c r="I46" s="30">
        <v>1</v>
      </c>
      <c r="J46" s="20">
        <v>280</v>
      </c>
      <c r="K46" s="36">
        <f t="shared" si="3"/>
        <v>26.98</v>
      </c>
      <c r="L46" s="32" t="s">
        <v>133</v>
      </c>
    </row>
    <row r="47" spans="1:12" ht="39.950000000000003" customHeight="1">
      <c r="A47" s="21">
        <v>1.26</v>
      </c>
      <c r="B47" s="31" t="s">
        <v>91</v>
      </c>
      <c r="C47" s="20" t="s">
        <v>135</v>
      </c>
      <c r="D47" s="20">
        <v>1</v>
      </c>
      <c r="E47" s="20" t="s">
        <v>150</v>
      </c>
      <c r="F47" s="20">
        <v>15</v>
      </c>
      <c r="G47" s="37">
        <f t="shared" si="1"/>
        <v>7.82</v>
      </c>
      <c r="H47" s="30" t="s">
        <v>9</v>
      </c>
      <c r="I47" s="30">
        <v>1</v>
      </c>
      <c r="J47" s="20">
        <v>995</v>
      </c>
      <c r="K47" s="36">
        <f>ROUND(D47*G47*I47,2)</f>
        <v>7.82</v>
      </c>
      <c r="L47" s="32" t="s">
        <v>137</v>
      </c>
    </row>
    <row r="48" spans="1:12" ht="39.950000000000003" customHeight="1">
      <c r="A48" s="21">
        <v>1.27</v>
      </c>
      <c r="B48" s="31" t="s">
        <v>78</v>
      </c>
      <c r="C48" s="20" t="s">
        <v>93</v>
      </c>
      <c r="D48" s="20">
        <v>1</v>
      </c>
      <c r="E48" s="20" t="s">
        <v>150</v>
      </c>
      <c r="F48" s="20">
        <v>15</v>
      </c>
      <c r="G48" s="37">
        <f t="shared" si="1"/>
        <v>7.82</v>
      </c>
      <c r="H48" s="30" t="s">
        <v>9</v>
      </c>
      <c r="I48" s="21">
        <v>1</v>
      </c>
      <c r="J48" s="20">
        <v>1250</v>
      </c>
      <c r="K48" s="36">
        <f>ROUND(D48*G48*I48,2)</f>
        <v>7.82</v>
      </c>
      <c r="L48" s="32" t="s">
        <v>146</v>
      </c>
    </row>
    <row r="49" spans="1:12" ht="39.950000000000003" customHeight="1">
      <c r="A49" s="21">
        <v>1.28</v>
      </c>
      <c r="B49" s="27" t="s">
        <v>105</v>
      </c>
      <c r="C49" s="20" t="s">
        <v>162</v>
      </c>
      <c r="D49" s="20">
        <v>3.5999999999999999E-3</v>
      </c>
      <c r="E49" s="20" t="s">
        <v>150</v>
      </c>
      <c r="F49" s="20">
        <v>15</v>
      </c>
      <c r="G49" s="37">
        <f t="shared" si="1"/>
        <v>7.82</v>
      </c>
      <c r="H49" s="30" t="s">
        <v>9</v>
      </c>
      <c r="I49" s="21">
        <v>1</v>
      </c>
      <c r="J49" s="20">
        <v>0.41</v>
      </c>
      <c r="K49" s="36">
        <f>ROUND(D49*G49*I49,2)</f>
        <v>0.03</v>
      </c>
      <c r="L49" s="32" t="s">
        <v>163</v>
      </c>
    </row>
    <row r="50" spans="1:12" ht="39.950000000000003" customHeight="1">
      <c r="A50" s="21">
        <v>1.29</v>
      </c>
      <c r="B50" s="31" t="s">
        <v>90</v>
      </c>
      <c r="C50" s="20" t="s">
        <v>93</v>
      </c>
      <c r="D50" s="20">
        <v>1</v>
      </c>
      <c r="E50" s="20" t="s">
        <v>233</v>
      </c>
      <c r="F50" s="20">
        <v>240</v>
      </c>
      <c r="G50" s="37">
        <f t="shared" si="1"/>
        <v>64.31</v>
      </c>
      <c r="H50" s="30" t="s">
        <v>9</v>
      </c>
      <c r="I50" s="21">
        <v>1</v>
      </c>
      <c r="J50" s="20">
        <v>1810</v>
      </c>
      <c r="K50" s="36">
        <f t="shared" si="3"/>
        <v>64.31</v>
      </c>
      <c r="L50" s="32" t="s">
        <v>149</v>
      </c>
    </row>
    <row r="51" spans="1:12" ht="39.950000000000003" customHeight="1">
      <c r="A51" s="21">
        <v>1.3</v>
      </c>
      <c r="B51" s="31" t="s">
        <v>94</v>
      </c>
      <c r="C51" s="20" t="s">
        <v>93</v>
      </c>
      <c r="D51" s="20">
        <v>1</v>
      </c>
      <c r="E51" s="20" t="s">
        <v>233</v>
      </c>
      <c r="F51" s="20">
        <v>240</v>
      </c>
      <c r="G51" s="37">
        <f t="shared" si="1"/>
        <v>64.31</v>
      </c>
      <c r="H51" s="30" t="s">
        <v>9</v>
      </c>
      <c r="I51" s="21">
        <v>1</v>
      </c>
      <c r="J51" s="20">
        <v>1830</v>
      </c>
      <c r="K51" s="36">
        <f t="shared" si="3"/>
        <v>64.31</v>
      </c>
      <c r="L51" s="32" t="s">
        <v>152</v>
      </c>
    </row>
    <row r="52" spans="1:12" ht="39.950000000000003" customHeight="1">
      <c r="A52" s="21">
        <v>1.31</v>
      </c>
      <c r="B52" s="31" t="s">
        <v>97</v>
      </c>
      <c r="C52" s="20" t="s">
        <v>93</v>
      </c>
      <c r="D52" s="20">
        <v>1</v>
      </c>
      <c r="E52" s="20" t="s">
        <v>233</v>
      </c>
      <c r="F52" s="20">
        <v>240</v>
      </c>
      <c r="G52" s="37">
        <f t="shared" si="1"/>
        <v>64.31</v>
      </c>
      <c r="H52" s="30" t="s">
        <v>9</v>
      </c>
      <c r="I52" s="21">
        <v>1</v>
      </c>
      <c r="J52" s="20">
        <v>2087</v>
      </c>
      <c r="K52" s="36">
        <f t="shared" si="3"/>
        <v>64.31</v>
      </c>
      <c r="L52" s="32" t="s">
        <v>149</v>
      </c>
    </row>
    <row r="53" spans="1:12" ht="39.950000000000003" customHeight="1">
      <c r="A53" s="21">
        <v>1.32</v>
      </c>
      <c r="B53" s="31" t="s">
        <v>98</v>
      </c>
      <c r="C53" s="20" t="s">
        <v>93</v>
      </c>
      <c r="D53" s="20">
        <v>1</v>
      </c>
      <c r="E53" s="20" t="s">
        <v>233</v>
      </c>
      <c r="F53" s="20">
        <v>240</v>
      </c>
      <c r="G53" s="37">
        <f t="shared" si="1"/>
        <v>64.31</v>
      </c>
      <c r="H53" s="30" t="s">
        <v>9</v>
      </c>
      <c r="I53" s="21">
        <v>1</v>
      </c>
      <c r="J53" s="20">
        <v>1920</v>
      </c>
      <c r="K53" s="36">
        <f t="shared" si="3"/>
        <v>64.31</v>
      </c>
      <c r="L53" s="32" t="s">
        <v>153</v>
      </c>
    </row>
    <row r="54" spans="1:12" ht="39.950000000000003" customHeight="1">
      <c r="A54" s="21">
        <v>1.33</v>
      </c>
      <c r="B54" s="31" t="s">
        <v>212</v>
      </c>
      <c r="C54" s="20" t="s">
        <v>162</v>
      </c>
      <c r="D54" s="20">
        <f>2.5*6.26/1000</f>
        <v>1.5649999999999997E-2</v>
      </c>
      <c r="E54" s="20" t="s">
        <v>233</v>
      </c>
      <c r="F54" s="20">
        <v>240</v>
      </c>
      <c r="G54" s="37">
        <f t="shared" si="1"/>
        <v>64.31</v>
      </c>
      <c r="H54" s="30" t="s">
        <v>9</v>
      </c>
      <c r="I54" s="21">
        <v>1</v>
      </c>
      <c r="J54" s="20">
        <f>11.6*2.5</f>
        <v>29</v>
      </c>
      <c r="K54" s="36">
        <f t="shared" si="3"/>
        <v>1.01</v>
      </c>
      <c r="L54" s="32" t="s">
        <v>164</v>
      </c>
    </row>
    <row r="55" spans="1:12" ht="39.950000000000003" customHeight="1">
      <c r="A55" s="21">
        <v>1.34</v>
      </c>
      <c r="B55" s="31" t="s">
        <v>213</v>
      </c>
      <c r="C55" s="20" t="s">
        <v>162</v>
      </c>
      <c r="D55" s="20">
        <f>3.5*9.77/1000</f>
        <v>3.4195000000000003E-2</v>
      </c>
      <c r="E55" s="20" t="s">
        <v>233</v>
      </c>
      <c r="F55" s="20">
        <v>240</v>
      </c>
      <c r="G55" s="37">
        <f t="shared" si="1"/>
        <v>64.31</v>
      </c>
      <c r="H55" s="30" t="s">
        <v>9</v>
      </c>
      <c r="I55" s="21">
        <v>1</v>
      </c>
      <c r="J55" s="20">
        <f>17.3*3.5</f>
        <v>60.550000000000004</v>
      </c>
      <c r="K55" s="36">
        <f t="shared" si="3"/>
        <v>2.2000000000000002</v>
      </c>
      <c r="L55" s="32" t="s">
        <v>164</v>
      </c>
    </row>
    <row r="56" spans="1:12" ht="39.950000000000003" customHeight="1">
      <c r="A56" s="21">
        <v>1.35</v>
      </c>
      <c r="B56" s="31" t="s">
        <v>214</v>
      </c>
      <c r="C56" s="20" t="s">
        <v>162</v>
      </c>
      <c r="D56" s="20">
        <f>4*10.85/1000</f>
        <v>4.3400000000000001E-2</v>
      </c>
      <c r="E56" s="20" t="s">
        <v>233</v>
      </c>
      <c r="F56" s="20">
        <v>240</v>
      </c>
      <c r="G56" s="37">
        <f t="shared" si="1"/>
        <v>64.31</v>
      </c>
      <c r="H56" s="30" t="s">
        <v>9</v>
      </c>
      <c r="I56" s="21">
        <v>1</v>
      </c>
      <c r="J56" s="20">
        <f>18.3*4</f>
        <v>73.2</v>
      </c>
      <c r="K56" s="36">
        <f t="shared" si="3"/>
        <v>2.79</v>
      </c>
      <c r="L56" s="32" t="s">
        <v>164</v>
      </c>
    </row>
    <row r="57" spans="1:12" ht="39.950000000000003" customHeight="1">
      <c r="A57" s="21">
        <v>1.36</v>
      </c>
      <c r="B57" s="31" t="s">
        <v>171</v>
      </c>
      <c r="C57" s="20" t="s">
        <v>93</v>
      </c>
      <c r="D57" s="20">
        <v>1</v>
      </c>
      <c r="E57" s="20" t="s">
        <v>233</v>
      </c>
      <c r="F57" s="20">
        <v>240</v>
      </c>
      <c r="G57" s="37">
        <f t="shared" si="1"/>
        <v>64.31</v>
      </c>
      <c r="H57" s="30" t="s">
        <v>9</v>
      </c>
      <c r="I57" s="21">
        <v>1</v>
      </c>
      <c r="J57" s="30">
        <v>1851</v>
      </c>
      <c r="K57" s="36">
        <f t="shared" si="3"/>
        <v>64.31</v>
      </c>
      <c r="L57" s="32" t="s">
        <v>164</v>
      </c>
    </row>
    <row r="58" spans="1:12" ht="39.950000000000003" customHeight="1">
      <c r="A58" s="21">
        <v>1.37</v>
      </c>
      <c r="B58" s="31" t="s">
        <v>215</v>
      </c>
      <c r="C58" s="20" t="s">
        <v>93</v>
      </c>
      <c r="D58" s="20">
        <v>1</v>
      </c>
      <c r="E58" s="20" t="s">
        <v>233</v>
      </c>
      <c r="F58" s="20">
        <v>240</v>
      </c>
      <c r="G58" s="37">
        <f t="shared" si="1"/>
        <v>64.31</v>
      </c>
      <c r="H58" s="30" t="s">
        <v>9</v>
      </c>
      <c r="I58" s="21">
        <v>1</v>
      </c>
      <c r="J58" s="30">
        <v>1870</v>
      </c>
      <c r="K58" s="36">
        <f t="shared" si="3"/>
        <v>64.31</v>
      </c>
      <c r="L58" s="32" t="s">
        <v>164</v>
      </c>
    </row>
    <row r="59" spans="1:12" ht="39.950000000000003" customHeight="1">
      <c r="A59" s="21">
        <v>1.38</v>
      </c>
      <c r="B59" s="31" t="s">
        <v>216</v>
      </c>
      <c r="C59" s="20" t="s">
        <v>93</v>
      </c>
      <c r="D59" s="20">
        <v>1</v>
      </c>
      <c r="E59" s="20" t="s">
        <v>233</v>
      </c>
      <c r="F59" s="20">
        <v>240</v>
      </c>
      <c r="G59" s="37">
        <f t="shared" si="1"/>
        <v>64.31</v>
      </c>
      <c r="H59" s="30" t="s">
        <v>9</v>
      </c>
      <c r="I59" s="21">
        <v>1</v>
      </c>
      <c r="J59" s="30">
        <v>1920</v>
      </c>
      <c r="K59" s="36">
        <f t="shared" si="3"/>
        <v>64.31</v>
      </c>
      <c r="L59" s="32" t="s">
        <v>164</v>
      </c>
    </row>
    <row r="60" spans="1:12" ht="39.950000000000003" customHeight="1">
      <c r="A60" s="21">
        <v>1.39</v>
      </c>
      <c r="B60" s="31" t="s">
        <v>217</v>
      </c>
      <c r="C60" s="20" t="s">
        <v>142</v>
      </c>
      <c r="D60" s="20">
        <v>1.41E-3</v>
      </c>
      <c r="E60" s="20" t="s">
        <v>233</v>
      </c>
      <c r="F60" s="20">
        <v>240</v>
      </c>
      <c r="G60" s="37">
        <f t="shared" si="1"/>
        <v>64.31</v>
      </c>
      <c r="H60" s="30" t="s">
        <v>9</v>
      </c>
      <c r="I60" s="21">
        <v>1</v>
      </c>
      <c r="J60" s="30">
        <v>4</v>
      </c>
      <c r="K60" s="36">
        <f t="shared" si="3"/>
        <v>0.09</v>
      </c>
      <c r="L60" s="32" t="s">
        <v>164</v>
      </c>
    </row>
    <row r="61" spans="1:12" ht="39.950000000000003" customHeight="1">
      <c r="A61" s="21">
        <v>1.4</v>
      </c>
      <c r="B61" s="31" t="s">
        <v>218</v>
      </c>
      <c r="C61" s="20" t="s">
        <v>162</v>
      </c>
      <c r="D61" s="20">
        <v>1.7500000000000002E-2</v>
      </c>
      <c r="E61" s="20" t="s">
        <v>233</v>
      </c>
      <c r="F61" s="20">
        <v>240</v>
      </c>
      <c r="G61" s="37">
        <f t="shared" si="1"/>
        <v>64.31</v>
      </c>
      <c r="H61" s="30" t="s">
        <v>9</v>
      </c>
      <c r="I61" s="21">
        <v>1</v>
      </c>
      <c r="J61" s="30">
        <v>72.900000000000006</v>
      </c>
      <c r="K61" s="36">
        <f t="shared" si="3"/>
        <v>1.1299999999999999</v>
      </c>
      <c r="L61" s="32" t="s">
        <v>219</v>
      </c>
    </row>
    <row r="62" spans="1:12" ht="39.950000000000003" customHeight="1">
      <c r="A62" s="21">
        <v>1.41</v>
      </c>
      <c r="B62" s="31" t="s">
        <v>220</v>
      </c>
      <c r="C62" s="20" t="s">
        <v>162</v>
      </c>
      <c r="D62" s="20">
        <v>1.32E-2</v>
      </c>
      <c r="E62" s="20" t="s">
        <v>233</v>
      </c>
      <c r="F62" s="20">
        <v>240</v>
      </c>
      <c r="G62" s="37">
        <f t="shared" si="1"/>
        <v>64.31</v>
      </c>
      <c r="H62" s="30" t="s">
        <v>9</v>
      </c>
      <c r="I62" s="21">
        <v>1</v>
      </c>
      <c r="J62" s="30">
        <v>56.8</v>
      </c>
      <c r="K62" s="36">
        <f t="shared" si="3"/>
        <v>0.85</v>
      </c>
      <c r="L62" s="32" t="s">
        <v>221</v>
      </c>
    </row>
    <row r="63" spans="1:12" ht="39.950000000000003" customHeight="1">
      <c r="A63" s="21">
        <v>1.42</v>
      </c>
      <c r="B63" s="31" t="s">
        <v>168</v>
      </c>
      <c r="C63" s="20" t="s">
        <v>93</v>
      </c>
      <c r="D63" s="20">
        <v>1</v>
      </c>
      <c r="E63" s="20" t="s">
        <v>233</v>
      </c>
      <c r="F63" s="20">
        <v>240</v>
      </c>
      <c r="G63" s="37">
        <f t="shared" si="1"/>
        <v>64.31</v>
      </c>
      <c r="H63" s="30" t="s">
        <v>9</v>
      </c>
      <c r="I63" s="21">
        <v>1</v>
      </c>
      <c r="J63" s="20">
        <v>3200</v>
      </c>
      <c r="K63" s="36">
        <f t="shared" si="3"/>
        <v>64.31</v>
      </c>
      <c r="L63" s="32" t="s">
        <v>164</v>
      </c>
    </row>
    <row r="64" spans="1:12" ht="39.950000000000003" customHeight="1">
      <c r="A64" s="21">
        <v>1.43</v>
      </c>
      <c r="B64" s="31" t="s">
        <v>169</v>
      </c>
      <c r="C64" s="20" t="s">
        <v>142</v>
      </c>
      <c r="D64" s="20">
        <f>(0.3*0.3*2400)/1000</f>
        <v>0.216</v>
      </c>
      <c r="E64" s="20" t="s">
        <v>233</v>
      </c>
      <c r="F64" s="20">
        <v>240</v>
      </c>
      <c r="G64" s="37">
        <f t="shared" si="1"/>
        <v>64.31</v>
      </c>
      <c r="H64" s="30" t="s">
        <v>9</v>
      </c>
      <c r="I64" s="21">
        <v>1</v>
      </c>
      <c r="J64" s="30">
        <v>97</v>
      </c>
      <c r="K64" s="36">
        <f t="shared" si="3"/>
        <v>13.89</v>
      </c>
      <c r="L64" s="32" t="s">
        <v>164</v>
      </c>
    </row>
    <row r="65" spans="1:20" ht="39.950000000000003" customHeight="1">
      <c r="A65" s="21">
        <v>1.44</v>
      </c>
      <c r="B65" s="31" t="s">
        <v>170</v>
      </c>
      <c r="C65" s="20" t="s">
        <v>117</v>
      </c>
      <c r="D65" s="20">
        <v>2.4</v>
      </c>
      <c r="E65" s="20" t="s">
        <v>150</v>
      </c>
      <c r="F65" s="20">
        <v>15</v>
      </c>
      <c r="G65" s="37">
        <f t="shared" si="1"/>
        <v>7.82</v>
      </c>
      <c r="H65" s="30" t="s">
        <v>9</v>
      </c>
      <c r="I65" s="21">
        <v>1</v>
      </c>
      <c r="J65" s="30">
        <v>308.8</v>
      </c>
      <c r="K65" s="36">
        <f t="shared" si="3"/>
        <v>18.77</v>
      </c>
      <c r="L65" s="32" t="s">
        <v>164</v>
      </c>
    </row>
    <row r="66" spans="1:20" ht="39.950000000000003" customHeight="1">
      <c r="A66" s="21">
        <v>1.45</v>
      </c>
      <c r="B66" s="31" t="s">
        <v>88</v>
      </c>
      <c r="C66" s="20" t="s">
        <v>142</v>
      </c>
      <c r="D66" s="21">
        <f>0.1*2.5</f>
        <v>0.25</v>
      </c>
      <c r="E66" s="20" t="s">
        <v>210</v>
      </c>
      <c r="F66" s="20">
        <v>130</v>
      </c>
      <c r="G66" s="37">
        <f t="shared" si="1"/>
        <v>38.54</v>
      </c>
      <c r="H66" s="30" t="s">
        <v>16</v>
      </c>
      <c r="I66" s="21">
        <v>1.25</v>
      </c>
      <c r="J66" s="20">
        <v>78.900000000000006</v>
      </c>
      <c r="K66" s="36">
        <f t="shared" si="3"/>
        <v>12.04</v>
      </c>
      <c r="L66" s="32" t="s">
        <v>143</v>
      </c>
    </row>
    <row r="67" spans="1:20" ht="39.950000000000003" customHeight="1">
      <c r="A67" s="21">
        <v>1.46</v>
      </c>
      <c r="B67" s="31" t="s">
        <v>222</v>
      </c>
      <c r="C67" s="20" t="s">
        <v>162</v>
      </c>
      <c r="D67" s="21">
        <f>1.75*2</f>
        <v>3.5</v>
      </c>
      <c r="E67" s="20" t="s">
        <v>210</v>
      </c>
      <c r="F67" s="20">
        <v>130</v>
      </c>
      <c r="G67" s="37">
        <f t="shared" si="1"/>
        <v>38.54</v>
      </c>
      <c r="H67" s="30" t="s">
        <v>16</v>
      </c>
      <c r="I67" s="21">
        <v>1.25</v>
      </c>
      <c r="J67" s="20">
        <f>136*2</f>
        <v>272</v>
      </c>
      <c r="K67" s="36">
        <f t="shared" si="3"/>
        <v>168.61</v>
      </c>
      <c r="L67" s="32" t="s">
        <v>143</v>
      </c>
    </row>
    <row r="68" spans="1:20" ht="39.950000000000003" customHeight="1">
      <c r="A68" s="21">
        <v>1.47</v>
      </c>
      <c r="B68" s="31" t="s">
        <v>223</v>
      </c>
      <c r="C68" s="20" t="s">
        <v>162</v>
      </c>
      <c r="D68" s="21">
        <v>1.75</v>
      </c>
      <c r="E68" s="20" t="s">
        <v>210</v>
      </c>
      <c r="F68" s="20">
        <v>130</v>
      </c>
      <c r="G68" s="37">
        <f t="shared" si="1"/>
        <v>38.54</v>
      </c>
      <c r="H68" s="30" t="s">
        <v>16</v>
      </c>
      <c r="I68" s="21">
        <v>1.25</v>
      </c>
      <c r="J68" s="20">
        <f>136</f>
        <v>136</v>
      </c>
      <c r="K68" s="36">
        <f t="shared" si="3"/>
        <v>84.31</v>
      </c>
      <c r="L68" s="32" t="s">
        <v>143</v>
      </c>
    </row>
    <row r="69" spans="1:20" ht="39.950000000000003" customHeight="1">
      <c r="A69" s="21">
        <v>1.48</v>
      </c>
      <c r="B69" s="31" t="s">
        <v>229</v>
      </c>
      <c r="C69" s="20" t="s">
        <v>162</v>
      </c>
      <c r="D69" s="30">
        <v>2.5</v>
      </c>
      <c r="E69" s="20" t="s">
        <v>210</v>
      </c>
      <c r="F69" s="20">
        <v>130</v>
      </c>
      <c r="G69" s="37">
        <f t="shared" si="1"/>
        <v>38.54</v>
      </c>
      <c r="H69" s="30" t="s">
        <v>16</v>
      </c>
      <c r="I69" s="21">
        <v>1.25</v>
      </c>
      <c r="J69" s="20">
        <v>153</v>
      </c>
      <c r="K69" s="36">
        <f t="shared" ref="K69" si="4">ROUND(D69*G69*I69,2)</f>
        <v>120.44</v>
      </c>
      <c r="L69" s="32" t="s">
        <v>143</v>
      </c>
    </row>
    <row r="70" spans="1:20" ht="39.950000000000003" customHeight="1">
      <c r="A70" s="21">
        <v>1.49</v>
      </c>
      <c r="B70" s="31" t="s">
        <v>239</v>
      </c>
      <c r="C70" s="20" t="s">
        <v>162</v>
      </c>
      <c r="D70" s="30">
        <v>5.0000000000000001E-3</v>
      </c>
      <c r="E70" s="20" t="s">
        <v>210</v>
      </c>
      <c r="F70" s="20">
        <v>130</v>
      </c>
      <c r="G70" s="37">
        <f t="shared" ref="G70" si="5">IF(F70&lt;=200,HLOOKUP(F70,$U$2:$HL$3,2,TRUE),(((F70-200)*0.24)+54.71))</f>
        <v>38.54</v>
      </c>
      <c r="H70" s="30" t="s">
        <v>9</v>
      </c>
      <c r="I70" s="21">
        <v>1</v>
      </c>
      <c r="J70" s="20">
        <v>17</v>
      </c>
      <c r="K70" s="36">
        <f t="shared" ref="K70" si="6">ROUND(D70*G70*I70,2)</f>
        <v>0.19</v>
      </c>
      <c r="L70" s="32" t="s">
        <v>143</v>
      </c>
      <c r="S70" s="12"/>
      <c r="T70" s="12"/>
    </row>
    <row r="71" spans="1:20" ht="39.950000000000003" customHeight="1">
      <c r="A71" s="25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20" ht="39.950000000000003" customHeight="1">
      <c r="A72" s="25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20" ht="39.950000000000003" customHeight="1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20" ht="39.950000000000003" customHeight="1">
      <c r="A74" s="25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20" ht="39.950000000000003" customHeight="1">
      <c r="A75" s="25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20" ht="39.950000000000003" customHeight="1">
      <c r="A76" s="25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20" ht="39.950000000000003" customHeight="1">
      <c r="A77" s="25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20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20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20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241" spans="3:211" ht="19.5" customHeight="1">
      <c r="C241" s="40"/>
      <c r="D241" s="40"/>
      <c r="E241" s="40"/>
      <c r="F241" s="40"/>
      <c r="G241" s="40"/>
      <c r="H241" s="40"/>
      <c r="I241" s="40"/>
      <c r="J241" s="40"/>
      <c r="K241" s="40"/>
      <c r="L241" s="27"/>
      <c r="M241" s="9"/>
      <c r="N241" s="9"/>
      <c r="O241" s="9"/>
      <c r="P241" s="9"/>
      <c r="Q241" s="9"/>
      <c r="R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</row>
    <row r="242" spans="3:211" ht="19.5" customHeight="1">
      <c r="C242" s="40"/>
      <c r="D242" s="40"/>
      <c r="E242" s="40"/>
      <c r="F242" s="40"/>
      <c r="G242" s="40"/>
      <c r="H242" s="40"/>
      <c r="I242" s="40"/>
      <c r="J242" s="40"/>
      <c r="K242" s="40"/>
      <c r="L242" s="27"/>
      <c r="M242" s="9"/>
      <c r="N242" s="9"/>
      <c r="O242" s="9"/>
      <c r="P242" s="9"/>
      <c r="Q242" s="9"/>
      <c r="R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108</vt:i4>
      </vt:variant>
    </vt:vector>
  </HeadingPairs>
  <TitlesOfParts>
    <vt:vector size="117" baseType="lpstr">
      <vt:lpstr>კრებსითი</vt:lpstr>
      <vt:lpstr>1-1</vt:lpstr>
      <vt:lpstr>2-1</vt:lpstr>
      <vt:lpstr>3-1</vt:lpstr>
      <vt:lpstr>3-2</vt:lpstr>
      <vt:lpstr>4-1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'3-2'!Область_печати</vt:lpstr>
      <vt:lpstr>'4-1'!Область_печати</vt:lpstr>
      <vt:lpstr>კრებსითი!Область_печати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2018-09-12T14:04:53Z</dcterms:modified>
</cp:coreProperties>
</file>