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firstSheet="2" activeTab="2"/>
  </bookViews>
  <sheets>
    <sheet name="კრებსითი" sheetId="4" r:id="rId1"/>
    <sheet name="1-1" sheetId="5" r:id="rId2"/>
    <sheet name="2-1" sheetId="9" r:id="rId3"/>
    <sheet name="3-1" sheetId="11" r:id="rId4"/>
    <sheet name="3-2" sheetId="33" r:id="rId5"/>
    <sheet name="3-3" sheetId="34" r:id="rId6"/>
    <sheet name="3-4" sheetId="40" r:id="rId7"/>
    <sheet name="3-5" sheetId="39" r:id="rId8"/>
    <sheet name="3-6" sheetId="14" r:id="rId9"/>
    <sheet name="3-7" sheetId="36" r:id="rId10"/>
    <sheet name="3-8" sheetId="37" r:id="rId11"/>
    <sheet name="4-1" sheetId="32" r:id="rId12"/>
    <sheet name="სატენდერო კრებსითი" sheetId="31" r:id="rId13"/>
    <sheet name="სატენდერო" sheetId="30" r:id="rId14"/>
    <sheet name="ტრანსპორტირება" sheetId="29" r:id="rId15"/>
  </sheets>
  <externalReferences>
    <externalReference r:id="rId16"/>
    <externalReference r:id="rId17"/>
  </externalReferences>
  <definedNames>
    <definedName name="_xlnm._FilterDatabase" localSheetId="3" hidden="1">'3-1'!$A$1:$M$194</definedName>
    <definedName name="_xlnm._FilterDatabase" localSheetId="4" hidden="1">'3-2'!$A$1:$M$175</definedName>
    <definedName name="_xlnm._FilterDatabase" localSheetId="5" hidden="1">'3-3'!$A$1:$M$196</definedName>
    <definedName name="_xlnm._FilterDatabase" localSheetId="6" hidden="1">'3-4'!$A$1:$M$195</definedName>
    <definedName name="_xlnm._FilterDatabase" localSheetId="7" hidden="1">'3-5'!$A$1:$M$160</definedName>
    <definedName name="_xlnm._FilterDatabase" localSheetId="8" hidden="1">'3-6'!$A$1:$M$133</definedName>
    <definedName name="_xlnm._FilterDatabase" localSheetId="11" hidden="1">'4-1'!$A$1:$M$113</definedName>
    <definedName name="_xlnm.Print_Area" localSheetId="1">'1-1'!$A$1:$M$36</definedName>
    <definedName name="_xlnm.Print_Area" localSheetId="2">'2-1'!$A$1:$M$41</definedName>
    <definedName name="_xlnm.Print_Area" localSheetId="3">'3-1'!$A$2:$M$140</definedName>
    <definedName name="_xlnm.Print_Area" localSheetId="4">'3-2'!$A$2:$M$135</definedName>
    <definedName name="_xlnm.Print_Area" localSheetId="5">'3-3'!$A$2:$M$143</definedName>
    <definedName name="_xlnm.Print_Area" localSheetId="6">'3-4'!$A$2:$M$142</definedName>
    <definedName name="_xlnm.Print_Area" localSheetId="7">'3-5'!$A$2:$M$107</definedName>
    <definedName name="_xlnm.Print_Area" localSheetId="8">'3-6'!$A$2:$M$80</definedName>
    <definedName name="_xlnm.Print_Area" localSheetId="9">'3-7'!$A$1:$M$27</definedName>
    <definedName name="_xlnm.Print_Area" localSheetId="10">'3-8'!$A$1:$M$32</definedName>
    <definedName name="_xlnm.Print_Area" localSheetId="11">'4-1'!$A$2:$M$61</definedName>
    <definedName name="_xlnm.Print_Area" localSheetId="0">კრებსითი!$A$1:$G$53</definedName>
    <definedName name="_xlnm.Print_Area" localSheetId="12">'სატენდერო კრებსითი'!$A$1:$D$37</definedName>
    <definedName name="_xlnm.Print_Area" localSheetId="14">ტრანსპორტირება!$A$1:$L$70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 localSheetId="7">[1]ტრანსპორტირება!$J$33</definedName>
    <definedName name="არმატურაა310">ტრანსპორტირება!$J$33</definedName>
    <definedName name="არმატურაა311" localSheetId="7">[1]ტრანსპორტირება!$K$33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 localSheetId="7">[1]ტრანსპორტირება!$J$26</definedName>
    <definedName name="ბეტონიბ1510">ტრანსპორტირება!$J$26</definedName>
    <definedName name="ბეტონიბ1511" localSheetId="7">[1]ტრანსპორტირება!$K$26</definedName>
    <definedName name="ბეტონიბ1511">ტრანსპორტირება!$K$26</definedName>
    <definedName name="ბეტონიბ22510" localSheetId="7">[1]ტრანსპორტირება!$J$27</definedName>
    <definedName name="ბეტონიბ22510">ტრანსპორტირება!$J$27</definedName>
    <definedName name="ბეტონიბ22511" localSheetId="7">[1]ტრანსპორტირება!$K$27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 localSheetId="7">[1]ტრანსპორტირება!$J$31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 localSheetId="7">[1]ტრანსპორტირება!$K$31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 localSheetId="7">[1]ტრანსპორტირება!$J$25</definedName>
    <definedName name="ბეტონიბ710">ტრანსპორტირება!$J$25</definedName>
    <definedName name="ბეტონიბ711" localSheetId="7">[1]ტრანსპორტირება!$K$25</definedName>
    <definedName name="ბეტონიბ711">ტრანსპორტირება!$K$25</definedName>
    <definedName name="ბეტონისქვაფენილი10" localSheetId="7">[1]ტრანსპორტირება!$J$70</definedName>
    <definedName name="ბეტონისქვაფენილი10">ტრანსპორტირება!$J$70</definedName>
    <definedName name="ბეტონისქვაფენილი11" localSheetId="7">[1]ტრანსპორტირება!$K$70</definedName>
    <definedName name="ბეტონისქვაფენილი11">ტრანსპორტირება!$K$70</definedName>
    <definedName name="ბიტუმინავთობის10" localSheetId="7">[1]ტრანსპორტირება!$J$47</definedName>
    <definedName name="ბიტუმინავთობის10">ტრანსპორტირება!$J$47</definedName>
    <definedName name="ბიტუმინავთობის11" localSheetId="7">[1]ტრანსპორტირება!$K$47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დეკორატიულიქვა10">[2]ტრანსპორტირება!$J$71</definedName>
    <definedName name="დეკორატიულიქვა11">[2]ტრანსპორტირება!$K$71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 localSheetId="7">[1]ტრანსპორტირება!$J$68</definedName>
    <definedName name="მილი1მრბ100010">ტრანსპორტირება!$J$68</definedName>
    <definedName name="მილი1მრბ100011" localSheetId="7">[1]ტრანსპორტირება!$K$68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 localSheetId="7">[1]ტრანსპორტირება!$J$44</definedName>
    <definedName name="ფიცარიჩამოგანილი10">ტრანსპორტირება!$J$44</definedName>
    <definedName name="ფიცარიჩამოგანილი11" localSheetId="7">[1]ტრანსპორტირება!$K$44</definedName>
    <definedName name="ფიცარიჩამოგანილი11">ტრანსპორტირება!$K$44</definedName>
    <definedName name="ფიცარიჩამოგანილი2510" localSheetId="7">[1]ტრანსპორტირება!$J$43</definedName>
    <definedName name="ფიცარიჩამოგანილი2510">ტრანსპორტირება!$J$43</definedName>
    <definedName name="ფიცარიჩამოგანილი2511" localSheetId="7">[1]ტრანსპორტირება!$K$43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 localSheetId="7">[1]ტრანსპორტირება!$J$38</definedName>
    <definedName name="ქვიშაშავი10">ტრანსპორტირება!$J$38</definedName>
    <definedName name="ქვიშაშავი11" localSheetId="7">[1]ტრანსპორტირება!$K$38</definedName>
    <definedName name="ქვიშაშავი11">ტრანსპორტირება!$K$38</definedName>
    <definedName name="ქვიშახრეშოვანინარევი10" localSheetId="7">[1]ტრანსპორტირება!$J$37</definedName>
    <definedName name="ქვიშახრეშოვანინარევი10">ტრანსპორტირება!$J$37</definedName>
    <definedName name="ქვიშახრეშოვანინარევი11" localSheetId="7">[1]ტრანსპორტირება!$K$37</definedName>
    <definedName name="ქვიშახრეშოვანინარევი11">ტრანსპორტირება!$K$37</definedName>
    <definedName name="ღორღი10" localSheetId="7">[1]ტრანსპორტირება!$J$36</definedName>
    <definedName name="ღორღი10">ტრანსპორტირება!$J$36</definedName>
    <definedName name="ღორღი11" localSheetId="7">[1]ტრანსპორტირება!$K$36</definedName>
    <definedName name="ღორღი11">ტრანსპორტირება!$K$36</definedName>
    <definedName name="ყალიბისფიცარი4010" localSheetId="7">[1]ტრანსპორტირება!$J$42</definedName>
    <definedName name="ყალიბისფიცარი4010">ტრანსპორტირება!$J$42</definedName>
    <definedName name="ყალიბისფიცარი4011" localSheetId="7">[1]ტრანსპორტირება!$K$42</definedName>
    <definedName name="ყალიბისფიცარი4011">ტრანსპორტირება!$K$42</definedName>
    <definedName name="ყორექვა10" localSheetId="7">[1]ტრანსპორტირება!$J$40</definedName>
    <definedName name="ყორექვა10">ტრანსპორტირება!$J$40</definedName>
    <definedName name="ყორექვა11" localSheetId="7">[1]ტრანსპორტირება!$K$40</definedName>
    <definedName name="ყორექვა11">ტრანსპორტირება!$K$40</definedName>
    <definedName name="ცემენტიმ40010" localSheetId="7">[1]ტრანსპორტირება!$J$21</definedName>
    <definedName name="ცემენტიმ40010">ტრანსპორტირება!$J$21</definedName>
    <definedName name="ცემენტიმ40011" localSheetId="7">[1]ტრანსპორტირება!$K$21</definedName>
    <definedName name="ცემენტიმ40011">ტრანსპორტირება!$K$21</definedName>
    <definedName name="ცემენტისსხნარიმ20010" localSheetId="7">[1]ტრანსპორტირება!$J$22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 localSheetId="7">[1]ტრანსპორტირება!$K$22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 localSheetId="7">[1]ტრანსპორტირება!$J$46</definedName>
    <definedName name="ხისმორი10">ტრანსპორტირება!$J$46</definedName>
    <definedName name="ხისმორი11" localSheetId="7">[1]ტრანსპორტირება!$K$46</definedName>
    <definedName name="ხისმორი11">ტრანსპორტირება!$K$46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2"/>
  <c r="E15" i="5" l="1"/>
  <c r="F49" i="32" l="1"/>
  <c r="E46"/>
  <c r="E40"/>
  <c r="E39"/>
  <c r="F33"/>
  <c r="F40" s="1"/>
  <c r="F25" l="1"/>
  <c r="F24"/>
  <c r="F20"/>
  <c r="F28" s="1"/>
  <c r="E13" i="37" l="1"/>
  <c r="F10"/>
  <c r="F14" s="1"/>
  <c r="E15" i="36"/>
  <c r="F10"/>
  <c r="F17" s="1"/>
  <c r="F62" i="14"/>
  <c r="F63"/>
  <c r="F61"/>
  <c r="F60"/>
  <c r="F69"/>
  <c r="F68"/>
  <c r="F67"/>
  <c r="F56"/>
  <c r="E50"/>
  <c r="F44"/>
  <c r="F49" s="1"/>
  <c r="F37"/>
  <c r="F39" s="1"/>
  <c r="F32"/>
  <c r="F25"/>
  <c r="F23"/>
  <c r="F28" s="1"/>
  <c r="F18"/>
  <c r="F11"/>
  <c r="F15" s="1"/>
  <c r="F94" i="39"/>
  <c r="F87"/>
  <c r="F75"/>
  <c r="F84"/>
  <c r="F82"/>
  <c r="F68"/>
  <c r="F72" s="1"/>
  <c r="F17" i="37" l="1"/>
  <c r="F18" s="1"/>
  <c r="F13"/>
  <c r="F97" i="39"/>
  <c r="F95"/>
  <c r="F18" i="36"/>
  <c r="F19"/>
  <c r="F26" i="14"/>
  <c r="F50"/>
  <c r="F27"/>
  <c r="F38"/>
  <c r="F41"/>
  <c r="F40"/>
  <c r="F12"/>
  <c r="F14"/>
  <c r="F13"/>
  <c r="F98" i="39"/>
  <c r="F96"/>
  <c r="F70"/>
  <c r="F69"/>
  <c r="F20" i="37" l="1"/>
  <c r="F21"/>
  <c r="E62" i="39"/>
  <c r="F56"/>
  <c r="F65" s="1"/>
  <c r="F49"/>
  <c r="F42"/>
  <c r="F45" s="1"/>
  <c r="F34"/>
  <c r="F35" s="1"/>
  <c r="F39" s="1"/>
  <c r="F32"/>
  <c r="F29"/>
  <c r="F30" s="1"/>
  <c r="F26"/>
  <c r="F19"/>
  <c r="E16"/>
  <c r="E15"/>
  <c r="E14"/>
  <c r="E13"/>
  <c r="F61" l="1"/>
  <c r="F62"/>
  <c r="F58"/>
  <c r="F63"/>
  <c r="F59"/>
  <c r="F64"/>
  <c r="F57"/>
  <c r="F46"/>
  <c r="F44"/>
  <c r="F43"/>
  <c r="F38"/>
  <c r="F37"/>
  <c r="F36"/>
  <c r="F132" i="40"/>
  <c r="F131"/>
  <c r="F130"/>
  <c r="F122"/>
  <c r="F126" s="1"/>
  <c r="F119"/>
  <c r="F118"/>
  <c r="E115"/>
  <c r="F111"/>
  <c r="F112" s="1"/>
  <c r="F105"/>
  <c r="F107" s="1"/>
  <c r="F98"/>
  <c r="F100" s="1"/>
  <c r="F93"/>
  <c r="F94" s="1"/>
  <c r="F87"/>
  <c r="F89" s="1"/>
  <c r="E83"/>
  <c r="F82"/>
  <c r="F84" s="1"/>
  <c r="F75"/>
  <c r="E69"/>
  <c r="F63"/>
  <c r="F72" s="1"/>
  <c r="F53"/>
  <c r="F58" s="1"/>
  <c r="F46"/>
  <c r="F48" s="1"/>
  <c r="F39"/>
  <c r="F41" s="1"/>
  <c r="F35"/>
  <c r="F36" s="1"/>
  <c r="F27"/>
  <c r="F28" s="1"/>
  <c r="F31" s="1"/>
  <c r="F25"/>
  <c r="F22"/>
  <c r="F23" s="1"/>
  <c r="E20"/>
  <c r="F20" s="1"/>
  <c r="F12"/>
  <c r="F14" s="1"/>
  <c r="F91" i="39"/>
  <c r="F90"/>
  <c r="F89"/>
  <c r="F88"/>
  <c r="F83"/>
  <c r="F81"/>
  <c r="F77"/>
  <c r="E76"/>
  <c r="F76" s="1"/>
  <c r="F53"/>
  <c r="F52"/>
  <c r="F51"/>
  <c r="F50"/>
  <c r="E27"/>
  <c r="F27" s="1"/>
  <c r="F23"/>
  <c r="F22"/>
  <c r="F21"/>
  <c r="F20"/>
  <c r="F16"/>
  <c r="F15"/>
  <c r="F14"/>
  <c r="F13"/>
  <c r="F133" i="34"/>
  <c r="F132"/>
  <c r="F131"/>
  <c r="F122"/>
  <c r="F126" s="1"/>
  <c r="E115"/>
  <c r="F111"/>
  <c r="F112" s="1"/>
  <c r="F105"/>
  <c r="F109" s="1"/>
  <c r="F98"/>
  <c r="F100" s="1"/>
  <c r="F93"/>
  <c r="F95" s="1"/>
  <c r="F87"/>
  <c r="F89" s="1"/>
  <c r="E83"/>
  <c r="F82"/>
  <c r="F75"/>
  <c r="F79" s="1"/>
  <c r="E69"/>
  <c r="F63"/>
  <c r="F70" s="1"/>
  <c r="F53"/>
  <c r="F54" s="1"/>
  <c r="F46"/>
  <c r="F49" s="1"/>
  <c r="F39"/>
  <c r="F42" s="1"/>
  <c r="F35"/>
  <c r="F36" s="1"/>
  <c r="F27"/>
  <c r="F28" s="1"/>
  <c r="F25"/>
  <c r="F22"/>
  <c r="F23" s="1"/>
  <c r="E20"/>
  <c r="F20" s="1"/>
  <c r="F12"/>
  <c r="F14" s="1"/>
  <c r="F121" i="33"/>
  <c r="F125" s="1"/>
  <c r="E114"/>
  <c r="F110"/>
  <c r="F111" s="1"/>
  <c r="F112" s="1"/>
  <c r="F104"/>
  <c r="F106" s="1"/>
  <c r="F97"/>
  <c r="F99" s="1"/>
  <c r="F92"/>
  <c r="F94" s="1"/>
  <c r="F86"/>
  <c r="F88" s="1"/>
  <c r="E82"/>
  <c r="F81"/>
  <c r="F74"/>
  <c r="F74" i="11"/>
  <c r="E68" i="33"/>
  <c r="F62"/>
  <c r="F69" s="1"/>
  <c r="F52"/>
  <c r="F53" s="1"/>
  <c r="F45"/>
  <c r="F48" s="1"/>
  <c r="F38"/>
  <c r="F39" s="1"/>
  <c r="F34"/>
  <c r="F26"/>
  <c r="F27" s="1"/>
  <c r="F24"/>
  <c r="F21"/>
  <c r="F22" s="1"/>
  <c r="F18"/>
  <c r="F19" s="1"/>
  <c r="F11"/>
  <c r="F13" s="1"/>
  <c r="F121" i="11"/>
  <c r="F123" s="1"/>
  <c r="E114"/>
  <c r="F110"/>
  <c r="F111" s="1"/>
  <c r="F76" i="40" l="1"/>
  <c r="F70"/>
  <c r="F40"/>
  <c r="F78" i="34"/>
  <c r="F14" i="33"/>
  <c r="F75"/>
  <c r="F76"/>
  <c r="F68"/>
  <c r="F50" i="40"/>
  <c r="F115"/>
  <c r="F113"/>
  <c r="F108"/>
  <c r="F106"/>
  <c r="F109"/>
  <c r="F99"/>
  <c r="F102"/>
  <c r="F83"/>
  <c r="F78"/>
  <c r="F79"/>
  <c r="F68"/>
  <c r="F69"/>
  <c r="F71"/>
  <c r="F65"/>
  <c r="F66"/>
  <c r="F54"/>
  <c r="F47"/>
  <c r="F43"/>
  <c r="F13"/>
  <c r="F95"/>
  <c r="F16"/>
  <c r="F29"/>
  <c r="F42"/>
  <c r="F59"/>
  <c r="F77"/>
  <c r="F88"/>
  <c r="F90"/>
  <c r="F123"/>
  <c r="F127"/>
  <c r="F30"/>
  <c r="F124"/>
  <c r="F15"/>
  <c r="F32"/>
  <c r="F49"/>
  <c r="F56"/>
  <c r="F60"/>
  <c r="F64"/>
  <c r="F55"/>
  <c r="F114"/>
  <c r="F125"/>
  <c r="F16" i="34"/>
  <c r="F123"/>
  <c r="F127"/>
  <c r="F124"/>
  <c r="F125"/>
  <c r="F113"/>
  <c r="F114"/>
  <c r="F115"/>
  <c r="F108"/>
  <c r="F107"/>
  <c r="F106"/>
  <c r="F99"/>
  <c r="F102"/>
  <c r="F94"/>
  <c r="F88"/>
  <c r="F90"/>
  <c r="F83"/>
  <c r="F84"/>
  <c r="F77"/>
  <c r="F76"/>
  <c r="F69"/>
  <c r="F64"/>
  <c r="F72"/>
  <c r="F66"/>
  <c r="F71"/>
  <c r="F65"/>
  <c r="F68"/>
  <c r="F59"/>
  <c r="F56"/>
  <c r="F60"/>
  <c r="F55"/>
  <c r="F58"/>
  <c r="F48"/>
  <c r="F47"/>
  <c r="F50"/>
  <c r="F40"/>
  <c r="F43"/>
  <c r="F41"/>
  <c r="F32"/>
  <c r="F29"/>
  <c r="F31"/>
  <c r="F30"/>
  <c r="F13"/>
  <c r="F15"/>
  <c r="F15" i="33"/>
  <c r="F12"/>
  <c r="F105"/>
  <c r="F107"/>
  <c r="F122"/>
  <c r="F126"/>
  <c r="F123"/>
  <c r="F124"/>
  <c r="F114"/>
  <c r="F113"/>
  <c r="F108"/>
  <c r="F98"/>
  <c r="F101"/>
  <c r="F93"/>
  <c r="F87"/>
  <c r="F89"/>
  <c r="F126" i="11"/>
  <c r="F125"/>
  <c r="F82" i="33"/>
  <c r="F83"/>
  <c r="F78"/>
  <c r="F77"/>
  <c r="F63"/>
  <c r="F71"/>
  <c r="F65"/>
  <c r="F70"/>
  <c r="F64"/>
  <c r="F67"/>
  <c r="F58"/>
  <c r="F55"/>
  <c r="F59"/>
  <c r="F57"/>
  <c r="F54"/>
  <c r="F46"/>
  <c r="F49"/>
  <c r="F47"/>
  <c r="F40"/>
  <c r="F42"/>
  <c r="F41"/>
  <c r="F31"/>
  <c r="F28"/>
  <c r="F29"/>
  <c r="F30"/>
  <c r="F97" i="11" l="1"/>
  <c r="F104"/>
  <c r="F92"/>
  <c r="F86"/>
  <c r="F89" s="1"/>
  <c r="E82"/>
  <c r="F81"/>
  <c r="E68" l="1"/>
  <c r="F62"/>
  <c r="F67" s="1"/>
  <c r="F69" l="1"/>
  <c r="F70"/>
  <c r="F52"/>
  <c r="F45"/>
  <c r="F38"/>
  <c r="F42" s="1"/>
  <c r="F26"/>
  <c r="F27" s="1"/>
  <c r="F24"/>
  <c r="F21"/>
  <c r="E19"/>
  <c r="F11"/>
  <c r="F28" l="1"/>
  <c r="F30"/>
  <c r="F31"/>
  <c r="F41"/>
  <c r="F29"/>
  <c r="F26" i="9" l="1"/>
  <c r="F18"/>
  <c r="F19" s="1"/>
  <c r="F10"/>
  <c r="F18" i="5" l="1"/>
  <c r="F21" s="1"/>
  <c r="J31" i="29" l="1"/>
  <c r="J29"/>
  <c r="J28"/>
  <c r="J27"/>
  <c r="I186" i="30" l="1"/>
  <c r="I185"/>
  <c r="D186"/>
  <c r="D185"/>
  <c r="C186"/>
  <c r="C185"/>
  <c r="F185" s="1"/>
  <c r="A186"/>
  <c r="A185"/>
  <c r="B186"/>
  <c r="B185"/>
  <c r="B184"/>
  <c r="B30" i="31" s="1"/>
  <c r="F19" i="37"/>
  <c r="F15"/>
  <c r="F12"/>
  <c r="F11"/>
  <c r="F186" i="30" l="1"/>
  <c r="E186"/>
  <c r="E185"/>
  <c r="H186" l="1"/>
  <c r="G186" s="1"/>
  <c r="H185" l="1"/>
  <c r="H187" s="1"/>
  <c r="H188" s="1"/>
  <c r="H189" s="1"/>
  <c r="H190" s="1"/>
  <c r="H191" s="1"/>
  <c r="D30" i="31" s="1"/>
  <c r="G185" i="30" l="1"/>
  <c r="I23" l="1"/>
  <c r="I22"/>
  <c r="D22"/>
  <c r="C23"/>
  <c r="C22"/>
  <c r="E22" s="1"/>
  <c r="A23"/>
  <c r="A22"/>
  <c r="B23"/>
  <c r="B22"/>
  <c r="I178"/>
  <c r="D178"/>
  <c r="F178" s="1"/>
  <c r="C178"/>
  <c r="E178" s="1"/>
  <c r="A178"/>
  <c r="B178"/>
  <c r="B177"/>
  <c r="B29" i="31" s="1"/>
  <c r="I136" i="30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D136"/>
  <c r="D135"/>
  <c r="D134"/>
  <c r="D132"/>
  <c r="D131"/>
  <c r="D130"/>
  <c r="D129"/>
  <c r="D128"/>
  <c r="D127"/>
  <c r="D126"/>
  <c r="D125"/>
  <c r="D124"/>
  <c r="D123"/>
  <c r="D122"/>
  <c r="D118"/>
  <c r="D117"/>
  <c r="C136"/>
  <c r="E136" s="1"/>
  <c r="C135"/>
  <c r="F135" s="1"/>
  <c r="C134"/>
  <c r="E134" s="1"/>
  <c r="C133"/>
  <c r="E133" s="1"/>
  <c r="C132"/>
  <c r="E132" s="1"/>
  <c r="C131"/>
  <c r="E131" s="1"/>
  <c r="C130"/>
  <c r="E130" s="1"/>
  <c r="C129"/>
  <c r="E129" s="1"/>
  <c r="C128"/>
  <c r="F128" s="1"/>
  <c r="C127"/>
  <c r="E127" s="1"/>
  <c r="C126"/>
  <c r="F126" s="1"/>
  <c r="C125"/>
  <c r="E125" s="1"/>
  <c r="C124"/>
  <c r="E124" s="1"/>
  <c r="C123"/>
  <c r="E123" s="1"/>
  <c r="C122"/>
  <c r="E122" s="1"/>
  <c r="C121"/>
  <c r="C120"/>
  <c r="E120" s="1"/>
  <c r="C119"/>
  <c r="C118"/>
  <c r="E118" s="1"/>
  <c r="C117"/>
  <c r="E117" s="1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26" i="31" s="1"/>
  <c r="I110" i="3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D110"/>
  <c r="D109"/>
  <c r="D108"/>
  <c r="D106"/>
  <c r="D105"/>
  <c r="D104"/>
  <c r="D103"/>
  <c r="D102"/>
  <c r="D101"/>
  <c r="D100"/>
  <c r="D99"/>
  <c r="D98"/>
  <c r="D97"/>
  <c r="D96"/>
  <c r="D92"/>
  <c r="D91"/>
  <c r="C110"/>
  <c r="F110" s="1"/>
  <c r="C109"/>
  <c r="E109" s="1"/>
  <c r="C108"/>
  <c r="F108" s="1"/>
  <c r="C107"/>
  <c r="E107" s="1"/>
  <c r="C106"/>
  <c r="C105"/>
  <c r="E105" s="1"/>
  <c r="C104"/>
  <c r="E104" s="1"/>
  <c r="C103"/>
  <c r="C102"/>
  <c r="E102" s="1"/>
  <c r="C101"/>
  <c r="F101" s="1"/>
  <c r="C100"/>
  <c r="E100" s="1"/>
  <c r="C99"/>
  <c r="E99" s="1"/>
  <c r="C98"/>
  <c r="E98" s="1"/>
  <c r="C97"/>
  <c r="E97" s="1"/>
  <c r="C96"/>
  <c r="E96" s="1"/>
  <c r="C95"/>
  <c r="E95" s="1"/>
  <c r="C94"/>
  <c r="C93"/>
  <c r="E93" s="1"/>
  <c r="C92"/>
  <c r="F92" s="1"/>
  <c r="C91"/>
  <c r="F91" s="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25" i="31" s="1"/>
  <c r="I84" i="30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D84"/>
  <c r="D83"/>
  <c r="D81"/>
  <c r="D80"/>
  <c r="D79"/>
  <c r="D78"/>
  <c r="D77"/>
  <c r="D76"/>
  <c r="D75"/>
  <c r="D74"/>
  <c r="D73"/>
  <c r="D72"/>
  <c r="D71"/>
  <c r="D67"/>
  <c r="D66"/>
  <c r="C84"/>
  <c r="E84" s="1"/>
  <c r="C83"/>
  <c r="E83" s="1"/>
  <c r="C82"/>
  <c r="C81"/>
  <c r="E81" s="1"/>
  <c r="C80"/>
  <c r="C79"/>
  <c r="C78"/>
  <c r="E78" s="1"/>
  <c r="C77"/>
  <c r="E77" s="1"/>
  <c r="C76"/>
  <c r="E76" s="1"/>
  <c r="C75"/>
  <c r="E75" s="1"/>
  <c r="C74"/>
  <c r="C73"/>
  <c r="E73" s="1"/>
  <c r="C72"/>
  <c r="C71"/>
  <c r="E71" s="1"/>
  <c r="C70"/>
  <c r="E70" s="1"/>
  <c r="C69"/>
  <c r="E69" s="1"/>
  <c r="C68"/>
  <c r="E68" s="1"/>
  <c r="C67"/>
  <c r="E67" s="1"/>
  <c r="C66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24" i="31" s="1"/>
  <c r="I59" i="30"/>
  <c r="I58"/>
  <c r="I57"/>
  <c r="D59"/>
  <c r="D58"/>
  <c r="D57"/>
  <c r="C59"/>
  <c r="C58"/>
  <c r="E58" s="1"/>
  <c r="C57"/>
  <c r="A59"/>
  <c r="A58"/>
  <c r="A57"/>
  <c r="B59"/>
  <c r="B57"/>
  <c r="F16" i="36"/>
  <c r="F15"/>
  <c r="F13"/>
  <c r="F12"/>
  <c r="F11"/>
  <c r="F103" i="30" l="1"/>
  <c r="F106"/>
  <c r="E23"/>
  <c r="F22"/>
  <c r="F80"/>
  <c r="E80"/>
  <c r="E135"/>
  <c r="E128"/>
  <c r="E108"/>
  <c r="F104"/>
  <c r="F97"/>
  <c r="F124"/>
  <c r="F99"/>
  <c r="F117"/>
  <c r="F79"/>
  <c r="F73"/>
  <c r="E103"/>
  <c r="E92"/>
  <c r="E121"/>
  <c r="F66"/>
  <c r="F74"/>
  <c r="E101"/>
  <c r="F131"/>
  <c r="E119"/>
  <c r="E110"/>
  <c r="F122"/>
  <c r="F72"/>
  <c r="E79"/>
  <c r="E72"/>
  <c r="E91"/>
  <c r="F109"/>
  <c r="E106"/>
  <c r="F102"/>
  <c r="F100"/>
  <c r="F136"/>
  <c r="F134"/>
  <c r="F129"/>
  <c r="F127"/>
  <c r="F118"/>
  <c r="E126"/>
  <c r="F59"/>
  <c r="F77"/>
  <c r="F105"/>
  <c r="F98"/>
  <c r="F96"/>
  <c r="F132"/>
  <c r="F130"/>
  <c r="F125"/>
  <c r="F123"/>
  <c r="E94"/>
  <c r="F75"/>
  <c r="F57"/>
  <c r="F83"/>
  <c r="E82"/>
  <c r="F71"/>
  <c r="F84"/>
  <c r="F81"/>
  <c r="F78"/>
  <c r="F76"/>
  <c r="F67"/>
  <c r="E66"/>
  <c r="E74"/>
  <c r="E57"/>
  <c r="E59"/>
  <c r="F58"/>
  <c r="H122"/>
  <c r="H118"/>
  <c r="G118" l="1"/>
  <c r="D121"/>
  <c r="F121" s="1"/>
  <c r="H134"/>
  <c r="G134" s="1"/>
  <c r="H136"/>
  <c r="G136"/>
  <c r="G122"/>
  <c r="H119"/>
  <c r="D119"/>
  <c r="F119" s="1"/>
  <c r="D133"/>
  <c r="F133" s="1"/>
  <c r="H135"/>
  <c r="H132"/>
  <c r="G132" s="1"/>
  <c r="H129"/>
  <c r="G129" s="1"/>
  <c r="H124"/>
  <c r="G124" s="1"/>
  <c r="H128"/>
  <c r="G128" s="1"/>
  <c r="H131"/>
  <c r="G131" s="1"/>
  <c r="H123"/>
  <c r="G123" s="1"/>
  <c r="H133"/>
  <c r="G119" l="1"/>
  <c r="H120"/>
  <c r="D120"/>
  <c r="F120" s="1"/>
  <c r="G120" s="1"/>
  <c r="H130"/>
  <c r="G130" s="1"/>
  <c r="H121"/>
  <c r="G121" s="1"/>
  <c r="G133"/>
  <c r="H117"/>
  <c r="G117" s="1"/>
  <c r="H127"/>
  <c r="G127" s="1"/>
  <c r="G135"/>
  <c r="H178" l="1"/>
  <c r="H179" s="1"/>
  <c r="H180" s="1"/>
  <c r="H181" s="1"/>
  <c r="H182" s="1"/>
  <c r="H183" s="1"/>
  <c r="D29" i="31" s="1"/>
  <c r="H125" i="30"/>
  <c r="G125" s="1"/>
  <c r="H126"/>
  <c r="G126" s="1"/>
  <c r="H137"/>
  <c r="H138" s="1"/>
  <c r="H139" s="1"/>
  <c r="H140" s="1"/>
  <c r="H141" s="1"/>
  <c r="D26" i="31" s="1"/>
  <c r="G178" i="30" l="1"/>
  <c r="H110" l="1"/>
  <c r="G110" s="1"/>
  <c r="F119" i="34"/>
  <c r="F118"/>
  <c r="H96" i="30"/>
  <c r="G96" s="1"/>
  <c r="H92"/>
  <c r="G92" s="1"/>
  <c r="H93" l="1"/>
  <c r="D93"/>
  <c r="F93" s="1"/>
  <c r="D95"/>
  <c r="F95" s="1"/>
  <c r="D107"/>
  <c r="F107" s="1"/>
  <c r="H109"/>
  <c r="H108"/>
  <c r="G108" s="1"/>
  <c r="H105"/>
  <c r="G105" s="1"/>
  <c r="H103"/>
  <c r="G103" s="1"/>
  <c r="H102"/>
  <c r="G102" s="1"/>
  <c r="H106"/>
  <c r="G106" s="1"/>
  <c r="H98" l="1"/>
  <c r="G98" s="1"/>
  <c r="G93"/>
  <c r="H94"/>
  <c r="D94"/>
  <c r="F94" s="1"/>
  <c r="G109"/>
  <c r="H104"/>
  <c r="G104" s="1"/>
  <c r="H97"/>
  <c r="G97" s="1"/>
  <c r="H107"/>
  <c r="G107" s="1"/>
  <c r="H91"/>
  <c r="G91" s="1"/>
  <c r="H95"/>
  <c r="G95" s="1"/>
  <c r="H99" l="1"/>
  <c r="G99" s="1"/>
  <c r="G94"/>
  <c r="H101"/>
  <c r="G101" s="1"/>
  <c r="H100"/>
  <c r="G100" s="1"/>
  <c r="H111" l="1"/>
  <c r="H112" l="1"/>
  <c r="H113" s="1"/>
  <c r="H114" s="1"/>
  <c r="H115" s="1"/>
  <c r="D25" i="31" s="1"/>
  <c r="F118" i="33"/>
  <c r="F117"/>
  <c r="H83" i="30" s="1"/>
  <c r="G83" s="1"/>
  <c r="F35" i="33"/>
  <c r="H71" i="30" s="1"/>
  <c r="G71" s="1"/>
  <c r="H67"/>
  <c r="G67" s="1"/>
  <c r="F131" i="11"/>
  <c r="F130"/>
  <c r="F129"/>
  <c r="D70" i="30" l="1"/>
  <c r="F70" s="1"/>
  <c r="D82"/>
  <c r="F82" s="1"/>
  <c r="H68"/>
  <c r="D68"/>
  <c r="F68" s="1"/>
  <c r="H59"/>
  <c r="G59" s="1"/>
  <c r="H79"/>
  <c r="G79" s="1"/>
  <c r="H78"/>
  <c r="G78" s="1"/>
  <c r="H80"/>
  <c r="G80" s="1"/>
  <c r="H81"/>
  <c r="G81" s="1"/>
  <c r="H77"/>
  <c r="G77" s="1"/>
  <c r="F118" i="11"/>
  <c r="F117"/>
  <c r="G68" i="30" l="1"/>
  <c r="H73"/>
  <c r="G73" s="1"/>
  <c r="H69"/>
  <c r="D69"/>
  <c r="F69" s="1"/>
  <c r="H57"/>
  <c r="G57" s="1"/>
  <c r="H84"/>
  <c r="H70"/>
  <c r="G70" s="1"/>
  <c r="H82"/>
  <c r="G82" s="1"/>
  <c r="H66"/>
  <c r="G66" s="1"/>
  <c r="H72" l="1"/>
  <c r="G72" s="1"/>
  <c r="G69"/>
  <c r="H74"/>
  <c r="G74" s="1"/>
  <c r="H76"/>
  <c r="G76" s="1"/>
  <c r="H75"/>
  <c r="G75" s="1"/>
  <c r="G84"/>
  <c r="H85" l="1"/>
  <c r="H86" s="1"/>
  <c r="H87" s="1"/>
  <c r="H88" s="1"/>
  <c r="H89" s="1"/>
  <c r="D24" i="31" s="1"/>
  <c r="F23" i="5" l="1"/>
  <c r="D23" i="30" s="1"/>
  <c r="F23" s="1"/>
  <c r="F20" i="5"/>
  <c r="F19"/>
  <c r="M19" s="1"/>
  <c r="H25" l="1"/>
  <c r="H23" i="30"/>
  <c r="G23" s="1"/>
  <c r="H22" l="1"/>
  <c r="G22" s="1"/>
  <c r="I171"/>
  <c r="I170"/>
  <c r="I169"/>
  <c r="I168"/>
  <c r="I167"/>
  <c r="I166"/>
  <c r="I165"/>
  <c r="I164"/>
  <c r="I163"/>
  <c r="D171"/>
  <c r="F171" s="1"/>
  <c r="D170"/>
  <c r="D169"/>
  <c r="F169" s="1"/>
  <c r="D168"/>
  <c r="D167"/>
  <c r="D166"/>
  <c r="D165"/>
  <c r="D164"/>
  <c r="D163"/>
  <c r="C171"/>
  <c r="E171" s="1"/>
  <c r="C170"/>
  <c r="E170" s="1"/>
  <c r="C169"/>
  <c r="E169" s="1"/>
  <c r="C168"/>
  <c r="E168" s="1"/>
  <c r="C167"/>
  <c r="F167" s="1"/>
  <c r="C166"/>
  <c r="E166" s="1"/>
  <c r="C165"/>
  <c r="E165" s="1"/>
  <c r="C164"/>
  <c r="E164" s="1"/>
  <c r="C163"/>
  <c r="F163" s="1"/>
  <c r="A171"/>
  <c r="A170"/>
  <c r="A169"/>
  <c r="A168"/>
  <c r="A167"/>
  <c r="A166"/>
  <c r="A165"/>
  <c r="A164"/>
  <c r="A163"/>
  <c r="B171"/>
  <c r="B170"/>
  <c r="B169"/>
  <c r="B168"/>
  <c r="B167"/>
  <c r="B166"/>
  <c r="B165"/>
  <c r="B164"/>
  <c r="F168" l="1"/>
  <c r="F165"/>
  <c r="E163"/>
  <c r="F166"/>
  <c r="F164"/>
  <c r="F170"/>
  <c r="E167"/>
  <c r="H171"/>
  <c r="G171" s="1"/>
  <c r="H170" l="1"/>
  <c r="G170" s="1"/>
  <c r="F55" i="14" l="1"/>
  <c r="F54"/>
  <c r="H169" i="30" l="1"/>
  <c r="G169" s="1"/>
  <c r="F48" i="14" l="1"/>
  <c r="F47"/>
  <c r="F46"/>
  <c r="F45"/>
  <c r="F34"/>
  <c r="F33"/>
  <c r="F24"/>
  <c r="H167" i="30" l="1"/>
  <c r="G167" s="1"/>
  <c r="H165" l="1"/>
  <c r="G165" s="1"/>
  <c r="I156"/>
  <c r="I155"/>
  <c r="I154"/>
  <c r="I153"/>
  <c r="I152"/>
  <c r="I151"/>
  <c r="I150"/>
  <c r="I149"/>
  <c r="I148"/>
  <c r="I147"/>
  <c r="I146"/>
  <c r="I145"/>
  <c r="I144"/>
  <c r="I143"/>
  <c r="H145"/>
  <c r="D156"/>
  <c r="D155"/>
  <c r="D154"/>
  <c r="D153"/>
  <c r="D152"/>
  <c r="D151"/>
  <c r="D150"/>
  <c r="D149"/>
  <c r="D145"/>
  <c r="D144"/>
  <c r="D143"/>
  <c r="C156"/>
  <c r="F156" s="1"/>
  <c r="C155"/>
  <c r="E155" s="1"/>
  <c r="C154"/>
  <c r="C153"/>
  <c r="E153" s="1"/>
  <c r="C152"/>
  <c r="E152" s="1"/>
  <c r="C151"/>
  <c r="C150"/>
  <c r="E150" s="1"/>
  <c r="C149"/>
  <c r="C148"/>
  <c r="E148" s="1"/>
  <c r="C147"/>
  <c r="E147" s="1"/>
  <c r="C146"/>
  <c r="E146" s="1"/>
  <c r="C145"/>
  <c r="E145" s="1"/>
  <c r="C144"/>
  <c r="E144" s="1"/>
  <c r="C143"/>
  <c r="A156"/>
  <c r="A155"/>
  <c r="A154"/>
  <c r="A153"/>
  <c r="A152"/>
  <c r="A151"/>
  <c r="A150"/>
  <c r="A149"/>
  <c r="A148"/>
  <c r="A147"/>
  <c r="A146"/>
  <c r="A145"/>
  <c r="A144"/>
  <c r="A143"/>
  <c r="B156"/>
  <c r="B155"/>
  <c r="B154"/>
  <c r="B153"/>
  <c r="B152"/>
  <c r="B151"/>
  <c r="B150"/>
  <c r="B149"/>
  <c r="B148"/>
  <c r="B147"/>
  <c r="B146"/>
  <c r="B145"/>
  <c r="B144"/>
  <c r="B143"/>
  <c r="H147"/>
  <c r="H168" l="1"/>
  <c r="G168" s="1"/>
  <c r="H166"/>
  <c r="G166" s="1"/>
  <c r="F151"/>
  <c r="F143"/>
  <c r="D146"/>
  <c r="D147"/>
  <c r="F147" s="1"/>
  <c r="G147" s="1"/>
  <c r="D148"/>
  <c r="F148" s="1"/>
  <c r="F149"/>
  <c r="F154"/>
  <c r="E156"/>
  <c r="E151"/>
  <c r="E149"/>
  <c r="F152"/>
  <c r="F145"/>
  <c r="G145" s="1"/>
  <c r="E143"/>
  <c r="E154"/>
  <c r="F150"/>
  <c r="F155"/>
  <c r="F153"/>
  <c r="F146"/>
  <c r="F144"/>
  <c r="H154"/>
  <c r="H143"/>
  <c r="G143" s="1"/>
  <c r="H146"/>
  <c r="H152"/>
  <c r="H155"/>
  <c r="H144"/>
  <c r="B58"/>
  <c r="F124" i="11"/>
  <c r="F122"/>
  <c r="H150" i="30" l="1"/>
  <c r="G150" s="1"/>
  <c r="G146"/>
  <c r="G152"/>
  <c r="G155"/>
  <c r="H156"/>
  <c r="G156" s="1"/>
  <c r="G154"/>
  <c r="H149"/>
  <c r="G149" s="1"/>
  <c r="H153"/>
  <c r="G153" s="1"/>
  <c r="G144"/>
  <c r="H151" l="1"/>
  <c r="G151" s="1"/>
  <c r="H58"/>
  <c r="G58" s="1"/>
  <c r="H148"/>
  <c r="G148" s="1"/>
  <c r="F16" i="9" l="1"/>
  <c r="A48" i="30" l="1"/>
  <c r="I48"/>
  <c r="D48"/>
  <c r="C48"/>
  <c r="E48" s="1"/>
  <c r="B48"/>
  <c r="F48" l="1"/>
  <c r="F59" i="11"/>
  <c r="F58"/>
  <c r="F57"/>
  <c r="F55"/>
  <c r="F54"/>
  <c r="F53"/>
  <c r="F17" i="32" l="1"/>
  <c r="F16"/>
  <c r="F15"/>
  <c r="F14"/>
  <c r="F13"/>
  <c r="F12"/>
  <c r="H48" i="30" l="1"/>
  <c r="G48" s="1"/>
  <c r="I198"/>
  <c r="I197"/>
  <c r="I196"/>
  <c r="I195"/>
  <c r="I194"/>
  <c r="I193"/>
  <c r="D198"/>
  <c r="D197"/>
  <c r="D196"/>
  <c r="D195"/>
  <c r="D194"/>
  <c r="D193"/>
  <c r="C198"/>
  <c r="E198" s="1"/>
  <c r="C197"/>
  <c r="C196"/>
  <c r="E196" s="1"/>
  <c r="C195"/>
  <c r="E195" s="1"/>
  <c r="C194"/>
  <c r="E194" s="1"/>
  <c r="C193"/>
  <c r="A198"/>
  <c r="A197"/>
  <c r="A196"/>
  <c r="A195"/>
  <c r="A194"/>
  <c r="A193"/>
  <c r="B198"/>
  <c r="B197"/>
  <c r="B196"/>
  <c r="B195"/>
  <c r="B194"/>
  <c r="B193"/>
  <c r="B192"/>
  <c r="B32" i="31" s="1"/>
  <c r="F193" i="30" l="1"/>
  <c r="F197"/>
  <c r="F195"/>
  <c r="F196"/>
  <c r="F198"/>
  <c r="E193"/>
  <c r="F194"/>
  <c r="E197"/>
  <c r="I56"/>
  <c r="I55"/>
  <c r="I54"/>
  <c r="I53"/>
  <c r="I52"/>
  <c r="I51"/>
  <c r="I50"/>
  <c r="I49"/>
  <c r="I47"/>
  <c r="I46"/>
  <c r="I45"/>
  <c r="I44"/>
  <c r="I43"/>
  <c r="I42"/>
  <c r="I41"/>
  <c r="I40"/>
  <c r="D56"/>
  <c r="D55"/>
  <c r="D54"/>
  <c r="D53"/>
  <c r="D52"/>
  <c r="D51"/>
  <c r="D50"/>
  <c r="D49"/>
  <c r="D47"/>
  <c r="D46"/>
  <c r="D45"/>
  <c r="D41"/>
  <c r="D40"/>
  <c r="C56"/>
  <c r="C55"/>
  <c r="E55" s="1"/>
  <c r="C54"/>
  <c r="E54" s="1"/>
  <c r="C53"/>
  <c r="C52"/>
  <c r="E52" s="1"/>
  <c r="C51"/>
  <c r="E51" s="1"/>
  <c r="C50"/>
  <c r="E50" s="1"/>
  <c r="C49"/>
  <c r="E49" s="1"/>
  <c r="C47"/>
  <c r="E47" s="1"/>
  <c r="C46"/>
  <c r="E46" s="1"/>
  <c r="C45"/>
  <c r="E45" s="1"/>
  <c r="C44"/>
  <c r="E44" s="1"/>
  <c r="C43"/>
  <c r="E43" s="1"/>
  <c r="C42"/>
  <c r="E42" s="1"/>
  <c r="C41"/>
  <c r="E41" s="1"/>
  <c r="C40"/>
  <c r="A56"/>
  <c r="A55"/>
  <c r="A54"/>
  <c r="A53"/>
  <c r="A52"/>
  <c r="A51"/>
  <c r="A50"/>
  <c r="A49"/>
  <c r="A47"/>
  <c r="A46"/>
  <c r="A45"/>
  <c r="A44"/>
  <c r="A43"/>
  <c r="A42"/>
  <c r="A41"/>
  <c r="A40"/>
  <c r="F40" l="1"/>
  <c r="F53"/>
  <c r="F56"/>
  <c r="E53"/>
  <c r="F55"/>
  <c r="F54"/>
  <c r="F50"/>
  <c r="F46"/>
  <c r="F51"/>
  <c r="F49"/>
  <c r="E56"/>
  <c r="F52"/>
  <c r="E40"/>
  <c r="F47"/>
  <c r="F45"/>
  <c r="F41"/>
  <c r="B56"/>
  <c r="B55"/>
  <c r="B54"/>
  <c r="B53"/>
  <c r="B52"/>
  <c r="B51"/>
  <c r="B50"/>
  <c r="B49"/>
  <c r="B47"/>
  <c r="B46"/>
  <c r="B45"/>
  <c r="B44"/>
  <c r="B43"/>
  <c r="B42"/>
  <c r="B41"/>
  <c r="B40"/>
  <c r="B35" i="4"/>
  <c r="G70" i="29"/>
  <c r="K70" s="1"/>
  <c r="F48" i="32"/>
  <c r="F47"/>
  <c r="F46"/>
  <c r="F45"/>
  <c r="F44"/>
  <c r="H197" i="30" l="1"/>
  <c r="G197" s="1"/>
  <c r="H198" l="1"/>
  <c r="G198" s="1"/>
  <c r="F39" i="32"/>
  <c r="F38"/>
  <c r="F37"/>
  <c r="F36"/>
  <c r="F35"/>
  <c r="F34"/>
  <c r="F29"/>
  <c r="F27"/>
  <c r="F26"/>
  <c r="F23"/>
  <c r="F22"/>
  <c r="F21"/>
  <c r="H196" i="30" l="1"/>
  <c r="G196" s="1"/>
  <c r="H195"/>
  <c r="G195" s="1"/>
  <c r="H194" l="1"/>
  <c r="G194" s="1"/>
  <c r="H193" l="1"/>
  <c r="G193" l="1"/>
  <c r="H199"/>
  <c r="H200" s="1"/>
  <c r="H201" s="1"/>
  <c r="H202" s="1"/>
  <c r="H203" s="1"/>
  <c r="D32" i="31" s="1"/>
  <c r="F112" i="11" l="1"/>
  <c r="F113" l="1"/>
  <c r="F114"/>
  <c r="F108" l="1"/>
  <c r="H56" i="30" l="1"/>
  <c r="G56" s="1"/>
  <c r="F94" i="11"/>
  <c r="F93"/>
  <c r="F88"/>
  <c r="F87"/>
  <c r="F83"/>
  <c r="F82"/>
  <c r="F35"/>
  <c r="H45" i="30" s="1"/>
  <c r="G45" s="1"/>
  <c r="F19" i="11"/>
  <c r="H41" i="30" s="1"/>
  <c r="G41" s="1"/>
  <c r="F15" i="11"/>
  <c r="F14"/>
  <c r="F13"/>
  <c r="F12"/>
  <c r="F22" l="1"/>
  <c r="H42" i="30" s="1"/>
  <c r="D42"/>
  <c r="F42" s="1"/>
  <c r="D44"/>
  <c r="F44" s="1"/>
  <c r="H52" l="1"/>
  <c r="G52" s="1"/>
  <c r="H40"/>
  <c r="G40" s="1"/>
  <c r="G42"/>
  <c r="D43"/>
  <c r="F43" s="1"/>
  <c r="H44"/>
  <c r="G44" s="1"/>
  <c r="H53" l="1"/>
  <c r="G53" s="1"/>
  <c r="H51"/>
  <c r="G51" s="1"/>
  <c r="H43"/>
  <c r="G43" s="1"/>
  <c r="G69" i="2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B142" i="30" l="1"/>
  <c r="B27" i="31" s="1"/>
  <c r="B163" i="30"/>
  <c r="B162"/>
  <c r="B28" i="31" s="1"/>
  <c r="B39" i="30"/>
  <c r="B23" i="31" s="1"/>
  <c r="I33" i="30"/>
  <c r="I32"/>
  <c r="I31"/>
  <c r="I30"/>
  <c r="D33"/>
  <c r="D30"/>
  <c r="C33"/>
  <c r="E33" s="1"/>
  <c r="C32"/>
  <c r="E32" s="1"/>
  <c r="C31"/>
  <c r="E31" s="1"/>
  <c r="C30"/>
  <c r="A33"/>
  <c r="A32"/>
  <c r="A31"/>
  <c r="A30"/>
  <c r="B33"/>
  <c r="B32"/>
  <c r="B31"/>
  <c r="B30"/>
  <c r="B29"/>
  <c r="B21" i="31" s="1"/>
  <c r="B20" i="30"/>
  <c r="B19" i="31" s="1"/>
  <c r="I21" i="30"/>
  <c r="D21"/>
  <c r="C21"/>
  <c r="A21"/>
  <c r="B21"/>
  <c r="A13"/>
  <c r="A3"/>
  <c r="A3" i="31" s="1"/>
  <c r="A7" i="30"/>
  <c r="A7" i="31" s="1"/>
  <c r="F33" i="30" l="1"/>
  <c r="F30"/>
  <c r="E30"/>
  <c r="F21"/>
  <c r="E21"/>
  <c r="K69" i="29" l="1"/>
  <c r="F20" i="14"/>
  <c r="F19"/>
  <c r="A22" i="29"/>
  <c r="F107" i="11"/>
  <c r="F106"/>
  <c r="F105"/>
  <c r="F101"/>
  <c r="F99"/>
  <c r="F98"/>
  <c r="F78"/>
  <c r="F77"/>
  <c r="F76"/>
  <c r="F75"/>
  <c r="F71"/>
  <c r="F68"/>
  <c r="F65"/>
  <c r="F64"/>
  <c r="F63"/>
  <c r="H54" i="30" l="1"/>
  <c r="G54" s="1"/>
  <c r="H55" l="1"/>
  <c r="G55" s="1"/>
  <c r="F49" i="11"/>
  <c r="F48"/>
  <c r="F47"/>
  <c r="F46"/>
  <c r="F40"/>
  <c r="F39"/>
  <c r="F28" i="9" l="1"/>
  <c r="F27"/>
  <c r="H33" i="30" l="1"/>
  <c r="G33" s="1"/>
  <c r="D32" l="1"/>
  <c r="F32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A3"/>
  <c r="H47" i="30" l="1"/>
  <c r="G47" s="1"/>
  <c r="A7" i="29"/>
  <c r="H164" i="30" l="1"/>
  <c r="G164" s="1"/>
  <c r="H163"/>
  <c r="G163" s="1"/>
  <c r="H49"/>
  <c r="G49" s="1"/>
  <c r="B20" i="4"/>
  <c r="H172" i="30" l="1"/>
  <c r="H173" s="1"/>
  <c r="H174" s="1"/>
  <c r="H175" s="1"/>
  <c r="H176" s="1"/>
  <c r="D28" i="31" s="1"/>
  <c r="H50" i="30"/>
  <c r="G50" s="1"/>
  <c r="H46"/>
  <c r="G46" s="1"/>
  <c r="H157"/>
  <c r="H158" s="1"/>
  <c r="H159" s="1"/>
  <c r="H160" s="1"/>
  <c r="H161" s="1"/>
  <c r="D27" i="31" s="1"/>
  <c r="H60" i="30" l="1"/>
  <c r="H61" s="1"/>
  <c r="H62" s="1"/>
  <c r="H63" s="1"/>
  <c r="H64" s="1"/>
  <c r="D23" i="31" s="1"/>
  <c r="F14" i="9" l="1"/>
  <c r="F13"/>
  <c r="D31" i="30" l="1"/>
  <c r="F31" s="1"/>
  <c r="F12" i="9"/>
  <c r="F11"/>
  <c r="H31" i="30" l="1"/>
  <c r="G31" s="1"/>
  <c r="F20" i="9"/>
  <c r="F21"/>
  <c r="F22"/>
  <c r="F23"/>
  <c r="H30" i="30" l="1"/>
  <c r="G30" s="1"/>
  <c r="F15" i="5"/>
  <c r="J15" l="1"/>
  <c r="J25" s="1"/>
  <c r="H32" i="30" l="1"/>
  <c r="G32" s="1"/>
  <c r="M15" i="5"/>
  <c r="H21" i="30" l="1"/>
  <c r="H24" s="1"/>
  <c r="H25" s="1"/>
  <c r="H26" s="1"/>
  <c r="H27" s="1"/>
  <c r="H28" s="1"/>
  <c r="D19" i="31" s="1"/>
  <c r="H34" i="30"/>
  <c r="H35" s="1"/>
  <c r="H36" s="1"/>
  <c r="H37" s="1"/>
  <c r="H38" s="1"/>
  <c r="D21" i="31" s="1"/>
  <c r="G21" i="30" l="1"/>
  <c r="D33" i="31"/>
  <c r="D34" s="1"/>
  <c r="D35" s="1"/>
  <c r="D36" s="1"/>
  <c r="D37" s="1"/>
</calcChain>
</file>

<file path=xl/sharedStrings.xml><?xml version="1.0" encoding="utf-8"?>
<sst xmlns="http://schemas.openxmlformats.org/spreadsheetml/2006/main" count="2598" uniqueCount="499">
  <si>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</si>
  <si>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</si>
  <si>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</si>
  <si>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</si>
  <si>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</si>
  <si>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</si>
  <si>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</si>
  <si>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</si>
  <si>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</si>
  <si>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</si>
  <si>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</si>
  <si>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</si>
  <si>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</si>
  <si>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</si>
  <si>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</si>
  <si>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</si>
  <si>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</si>
  <si>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</si>
  <si>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</si>
  <si>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</si>
  <si>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</si>
  <si>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</si>
  <si>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</si>
  <si>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</si>
  <si>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</si>
  <si>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</si>
  <si>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</si>
  <si>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</si>
  <si>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</si>
  <si>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</si>
  <si>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</si>
  <si>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</si>
  <si>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</si>
  <si>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</si>
  <si>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</si>
  <si>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</si>
  <si>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</si>
  <si>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</si>
  <si>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</si>
  <si>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</si>
  <si>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</si>
  <si>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</si>
  <si>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</si>
  <si>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</si>
  <si>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</si>
  <si>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</si>
  <si>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</si>
  <si>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</si>
  <si>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</si>
  <si>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</si>
  <si>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</si>
  <si>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</si>
  <si>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</si>
  <si>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</si>
  <si>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</si>
  <si>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მიწის ვაკისი</t>
  </si>
  <si>
    <t xml:space="preserve">ხარჯთაღმრიცხველი: </t>
  </si>
  <si>
    <t>1.6.1</t>
  </si>
  <si>
    <t>1.6.2</t>
  </si>
  <si>
    <t>1.7.1</t>
  </si>
  <si>
    <t>1.7.2</t>
  </si>
  <si>
    <t>1.8.1</t>
  </si>
  <si>
    <t>1.8.2</t>
  </si>
  <si>
    <t>1.9.1</t>
  </si>
  <si>
    <t>1.9.2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</si>
  <si>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</si>
  <si>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</si>
  <si>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</si>
  <si>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</si>
  <si>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</si>
  <si>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</si>
  <si>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</si>
  <si>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</si>
  <si>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>1.15.1</t>
  </si>
  <si>
    <t>1.15.2</t>
  </si>
  <si>
    <t>1.15.3</t>
  </si>
  <si>
    <t>1.15.4</t>
  </si>
  <si>
    <t>1.16.1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</si>
  <si>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</si>
  <si>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</si>
  <si>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</si>
  <si>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</si>
  <si>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</si>
  <si>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თვითმავალი სატკეპნი საგზაო, პნევმოსვლით 18 ტ</t>
  </si>
  <si>
    <t>ბიტუმის ემულსია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</si>
  <si>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</si>
  <si>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</si>
  <si>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</si>
  <si>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ც</t>
  </si>
  <si>
    <t>საპრ.</t>
  </si>
  <si>
    <t>შრომითი დანახარჯი</t>
  </si>
  <si>
    <t>საბაზრო</t>
  </si>
  <si>
    <t>100 მ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</si>
  <si>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</si>
  <si>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</si>
  <si>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</si>
  <si>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</si>
  <si>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</si>
  <si>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</si>
  <si>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</si>
  <si>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</si>
  <si>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</si>
  <si>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</si>
  <si>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</si>
  <si>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</si>
  <si>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</si>
  <si>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</si>
  <si>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</si>
  <si>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</si>
  <si>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ავტოგრეიდერი 79 კვტ (108 ც.ძ.)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</si>
  <si>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</si>
  <si>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</si>
  <si>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</si>
  <si>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</si>
  <si>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</si>
  <si>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</si>
  <si>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</si>
  <si>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</si>
  <si>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</si>
  <si>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</si>
  <si>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</si>
  <si>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</si>
  <si>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</si>
  <si>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</si>
  <si>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</si>
  <si>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</si>
  <si>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</si>
  <si>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</si>
  <si>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მასალის საბაზრო ფასი</t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</si>
  <si>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</si>
  <si>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</si>
  <si>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</si>
  <si>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</si>
  <si>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</si>
  <si>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</si>
  <si>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</si>
  <si>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</si>
  <si>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</si>
  <si>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</si>
  <si>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</si>
  <si>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</si>
  <si>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</si>
  <si>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</si>
  <si>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</si>
  <si>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</si>
  <si>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</si>
  <si>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</si>
  <si>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</si>
  <si>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</si>
  <si>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</si>
  <si>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</si>
  <si>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</si>
  <si>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</si>
  <si>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</si>
  <si>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</si>
  <si>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</si>
  <si>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</si>
  <si>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</si>
  <si>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</si>
  <si>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</si>
  <si>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</si>
  <si>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</si>
  <si>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</si>
  <si>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</si>
  <si>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</si>
  <si>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</si>
  <si>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</si>
  <si>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</si>
  <si>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</si>
  <si>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</si>
  <si>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</si>
  <si>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</si>
  <si>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</si>
  <si>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</si>
  <si>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</si>
  <si>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</si>
  <si>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</si>
  <si>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</si>
  <si>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1-22-14</t>
  </si>
  <si>
    <t>1.16.2</t>
  </si>
  <si>
    <t>1.16.3</t>
  </si>
  <si>
    <t>1.17.1</t>
  </si>
  <si>
    <t>3-1</t>
  </si>
  <si>
    <t>3-2</t>
  </si>
  <si>
    <t>3-3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</si>
  <si>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</si>
  <si>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</si>
  <si>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</si>
  <si>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</si>
  <si>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</si>
  <si>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</si>
  <si>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</si>
  <si>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</si>
  <si>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</si>
  <si>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1.7.3</t>
  </si>
  <si>
    <t>1.7.4</t>
  </si>
  <si>
    <t>1.11.2</t>
  </si>
  <si>
    <t>1.14.1</t>
  </si>
  <si>
    <t>1.5.5</t>
  </si>
  <si>
    <t>1.6.3</t>
  </si>
  <si>
    <t>1.6.4</t>
  </si>
  <si>
    <t>1.6.5</t>
  </si>
  <si>
    <t>1.6.6</t>
  </si>
  <si>
    <t>1.8.3</t>
  </si>
  <si>
    <t>1.8.4</t>
  </si>
  <si>
    <t>1.9.3</t>
  </si>
  <si>
    <t>1.9.4</t>
  </si>
  <si>
    <t>1.9.5</t>
  </si>
  <si>
    <t>1.9.6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</si>
  <si>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</si>
  <si>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</si>
  <si>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</si>
  <si>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</si>
  <si>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</si>
  <si>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</si>
  <si>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</si>
  <si>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</si>
  <si>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1.2.7</t>
  </si>
  <si>
    <t>1.4.5</t>
  </si>
  <si>
    <t>1.4.6</t>
  </si>
  <si>
    <t>1.4.7</t>
  </si>
  <si>
    <t>1.9.7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</si>
  <si>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</si>
  <si>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</si>
  <si>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</si>
  <si>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</si>
  <si>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</si>
  <si>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</si>
  <si>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</si>
  <si>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</si>
  <si>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</si>
  <si>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</si>
  <si>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</si>
  <si>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</si>
  <si>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</si>
  <si>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</si>
  <si>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</si>
  <si>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</si>
  <si>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</si>
  <si>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ქვიშა-ხრეშოვანი ქვესაგები ფენის მოწყობა სისქით 30 სმ</t>
  </si>
  <si>
    <t>რკინაბეტონის ანაკრები მილი d-1500 მმ L-1000 მმ</t>
  </si>
  <si>
    <t>1-22-16</t>
  </si>
  <si>
    <t>ერთ. ფასი</t>
  </si>
  <si>
    <t>სულ</t>
  </si>
  <si>
    <t>ქარხანა</t>
  </si>
  <si>
    <t>ქუთაისი</t>
  </si>
  <si>
    <t xml:space="preserve">მე-4 კატეგორიის გრუნტის დამუშავება და დატვირთვა ექსკავატორით ავტოთვითმცლელზე </t>
  </si>
  <si>
    <t xml:space="preserve">მე-4 კატეგორიის გრუნტის ფენის დამუშავება ხელით სიღრმით 2 მ-მდე </t>
  </si>
  <si>
    <t>1-80-4                   კ=1.2</t>
  </si>
  <si>
    <t>1-64-8</t>
  </si>
  <si>
    <t>1.10.5</t>
  </si>
  <si>
    <t>კედლის უკანა ზედაპირზე ბიტუმის წასმა 2 ჯერ</t>
  </si>
  <si>
    <t>გეოტექსტილი</t>
  </si>
  <si>
    <t>გეოტექსტილის ჰიდროიზოლაციის მოწყობა</t>
  </si>
  <si>
    <t>გეომემბრანის ჰიდროიზოლაციის მოწყობა</t>
  </si>
  <si>
    <t>გეომემბრანა 2 მმ</t>
  </si>
  <si>
    <t>1.12.3</t>
  </si>
  <si>
    <t>1.12.4</t>
  </si>
  <si>
    <t>1.11.3</t>
  </si>
  <si>
    <t>სადრენაჟო ფენის მოწყობა ფრაქციული ღორღისგან</t>
  </si>
  <si>
    <t>1-118-11</t>
  </si>
  <si>
    <t>პნევმატური დამტკეპნი მომუშავე მოძრავ კომპრესორზე</t>
  </si>
  <si>
    <t>გრუნტის დატკეპნა ფენებად</t>
  </si>
  <si>
    <t>პენოპლასტი 2 სმ</t>
  </si>
  <si>
    <t>სადეფორმაციო ნაკერების მოწყობა პენოპლასტით</t>
  </si>
  <si>
    <t>1.1.8</t>
  </si>
  <si>
    <t>1.1.9</t>
  </si>
  <si>
    <t>რ/ბ  სარტყელის  მოწყობა</t>
  </si>
  <si>
    <t>საფუძვლის ფენის მოწყობა ქვიშა-ცემენტის 5% ნარევით</t>
  </si>
  <si>
    <t>ცემენტი მ400</t>
  </si>
  <si>
    <t>27-20-3</t>
  </si>
  <si>
    <t>ქვიშა-ცემენტის მოსაპირკეთებელი ხნსარი 1:2</t>
  </si>
  <si>
    <t>ბეტონის ქვაფენილის მოწყობა</t>
  </si>
  <si>
    <t>ბეტონის ქვაფენილი</t>
  </si>
  <si>
    <t>ქვიშა შავი</t>
  </si>
  <si>
    <t>მე-4 კატეგორიის გრუნტის ფერდობების მოშანდაკება ხელით</t>
  </si>
  <si>
    <t xml:space="preserve">ქვესაგები ფენის მოწყობა ქვიშახრეშოვანი ნარევით </t>
  </si>
  <si>
    <t>რ/ბ კედლის ფუნდამენტის მოწყობა</t>
  </si>
  <si>
    <t>1.10.8</t>
  </si>
  <si>
    <t>1.10.9</t>
  </si>
  <si>
    <t>1.11.5</t>
  </si>
  <si>
    <t>1.13.3</t>
  </si>
  <si>
    <t>1.13.4</t>
  </si>
  <si>
    <t>1.16.4</t>
  </si>
  <si>
    <t>1.17.2</t>
  </si>
  <si>
    <t>1.17.3</t>
  </si>
  <si>
    <t>1.18.1</t>
  </si>
  <si>
    <t>1.18.2</t>
  </si>
  <si>
    <t>კედლის ფასადის მოპირკეთება ქვის წყობით</t>
  </si>
  <si>
    <t>1.19.1</t>
  </si>
  <si>
    <t>1.19.2</t>
  </si>
  <si>
    <t>დეკორატიული ფლეთილი ქვა</t>
  </si>
  <si>
    <t>არსებული ღობის დემონტაჟი</t>
  </si>
  <si>
    <t>ამწე საავტომობილო სვლაზე 6,3ტ</t>
  </si>
  <si>
    <t>სხვა მანქამები</t>
  </si>
  <si>
    <t xml:space="preserve">მე-3 კატეგორიის გრუნტის ფენის დამუშავება ხელით 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</si>
  <si>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</si>
  <si>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</si>
  <si>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</si>
  <si>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 xml:space="preserve"> წასაცხები ჰიდროიზოლაციის მოწყობა, 2 ფენა</t>
  </si>
  <si>
    <t>1.14.3</t>
  </si>
  <si>
    <t>1.14.5</t>
  </si>
  <si>
    <t>ღობის მოწყობის სამუშაოები</t>
  </si>
  <si>
    <t>სანიაღვრე ქსელის მოწყობა</t>
  </si>
  <si>
    <t>მე-3 კატეგორიის გრუნტის დამუშავება ექსკავატორით გვერდზე გადაყრით</t>
  </si>
  <si>
    <t>მილის თავზე ქვიშის დამცავი ფენის მოწყობა სისქით 20 სმ</t>
  </si>
  <si>
    <t>წვიმმიმღები ჭების მოწყობა</t>
  </si>
  <si>
    <t>1 კომპ</t>
  </si>
  <si>
    <t>თუჯის ცხაურის მონტაჟი</t>
  </si>
  <si>
    <t>დაბა მესტიაში ვ.სელას ქუჩის სარეაბილიტაციო სამუშაოების ლოკალურ-რესურსული ხარჯთაღრიცხვა</t>
  </si>
  <si>
    <t xml:space="preserve">არსებული ქვის კედლების დაშლა მექანიზმებით და დატვირთვა ავტოთვითმცლელზე </t>
  </si>
  <si>
    <t>1.20.1</t>
  </si>
  <si>
    <t>1.20.2</t>
  </si>
  <si>
    <t>არსებული კედლის დემონტაჟი</t>
  </si>
  <si>
    <t>რ/ბ კედლის მოწყობის სამუშაოები პკ 0+60 პკ 1+10 სკ2</t>
  </si>
  <si>
    <t>რ/ბ კედლის მოწყობის სამუშაოები პკ 1+26 პკ 1+44 სკ2</t>
  </si>
  <si>
    <t>რ/ბ კედლის მოწყობის სამუშაოები პკ 3+35 პკ 3+42 სკ4</t>
  </si>
  <si>
    <t>1.20.3</t>
  </si>
  <si>
    <t>რ/ბ კედლის მოწყობის სამუშაოები პკ 3+40 პკ 4+17 სკ2</t>
  </si>
  <si>
    <t>კონტრფორსების მოწყობა</t>
  </si>
  <si>
    <t xml:space="preserve">საგზაო სამოსი </t>
  </si>
  <si>
    <t>3-7</t>
  </si>
  <si>
    <t>3-6</t>
  </si>
  <si>
    <t>3-4</t>
  </si>
  <si>
    <t>3-5</t>
  </si>
  <si>
    <t>ხის ღობის მოწყობა</t>
  </si>
  <si>
    <t>კედლის თავზე ღობის მოწყობა</t>
  </si>
  <si>
    <t>კგ</t>
  </si>
  <si>
    <t>ხის ლაქით შეღებვა</t>
  </si>
  <si>
    <t>1.1.10</t>
  </si>
  <si>
    <t>3-8</t>
  </si>
  <si>
    <t>1 მ³</t>
  </si>
  <si>
    <t xml:space="preserve">1 მ² </t>
  </si>
  <si>
    <t>ტრანსპორტირების მანძილი, (კმ)</t>
  </si>
  <si>
    <t>სახარჯთაღ რიცხვო ღირებულება, სულ</t>
  </si>
  <si>
    <t>მანქანა/მექა ნიზმების ღირებულება, სულ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</si>
  <si>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</si>
  <si>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</si>
  <si>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</si>
  <si>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</si>
  <si>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</si>
  <si>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</si>
  <si>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</si>
  <si>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</si>
  <si>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შესრულების თარიღი: 13/06/2019</t>
  </si>
  <si>
    <t xml:space="preserve">ფასთა კრებული: 2017 წლის მე-4 კვარტალი </t>
  </si>
  <si>
    <t>პროექტის კოდი: SEL-BoQ</t>
  </si>
  <si>
    <t>ვალუტა: ლარი ₾</t>
  </si>
  <si>
    <t>15-ტრ-3</t>
  </si>
  <si>
    <t>მ3</t>
  </si>
  <si>
    <t>1000 მ3</t>
  </si>
  <si>
    <t>1-22-10.</t>
  </si>
  <si>
    <t>ღორღი ბუნებრივი ქვის ფრაქცია 40-70</t>
  </si>
  <si>
    <t>4-1-238</t>
  </si>
  <si>
    <t>ექსკავატორი პნევმოთვლიან სვლაზე 0.65 მ3</t>
  </si>
  <si>
    <t>14-1-127</t>
  </si>
  <si>
    <t>ექსკავატორი პნევმოთვლიან სვლაზე 0.5 მ3</t>
  </si>
  <si>
    <t>14-1-126</t>
  </si>
  <si>
    <t>14-1-142</t>
  </si>
  <si>
    <t>მ2</t>
  </si>
  <si>
    <t>10000 მ2</t>
  </si>
  <si>
    <t>14-1-200</t>
  </si>
  <si>
    <t>100 მ3</t>
  </si>
  <si>
    <t>10 მ3</t>
  </si>
  <si>
    <t>100 მ2</t>
  </si>
  <si>
    <t>1000 მ2</t>
  </si>
  <si>
    <t>Е1-22/1-а</t>
  </si>
  <si>
    <t>ЕНиР</t>
  </si>
  <si>
    <t>1-80-4</t>
  </si>
  <si>
    <r>
      <rPr>
        <b/>
        <sz val="10"/>
        <color rgb="FFFF0000"/>
        <rFont val="Arial"/>
        <family val="2"/>
        <charset val="204"/>
      </rPr>
      <t>პ.3-107</t>
    </r>
    <r>
      <rPr>
        <sz val="10"/>
        <color theme="1"/>
        <rFont val="Arial"/>
        <family val="2"/>
        <charset val="204"/>
      </rPr>
      <t>, კ=1.2</t>
    </r>
  </si>
  <si>
    <r>
      <rPr>
        <b/>
        <strike/>
        <sz val="10"/>
        <color rgb="FFFF0000"/>
        <rFont val="Arial"/>
        <family val="2"/>
        <charset val="204"/>
      </rPr>
      <t>მე-4</t>
    </r>
    <r>
      <rPr>
        <sz val="10"/>
        <color theme="1"/>
        <rFont val="Arial"/>
        <family val="2"/>
        <charset val="204"/>
      </rPr>
      <t xml:space="preserve">  III კატეგორიის გრუნტის დამუშავება ნაყარში</t>
    </r>
  </si>
  <si>
    <t>8-3-2.</t>
  </si>
  <si>
    <t>1 მ3</t>
  </si>
  <si>
    <t>4-1-228</t>
  </si>
  <si>
    <t>6-1-1.</t>
  </si>
  <si>
    <t>4-1-341</t>
  </si>
  <si>
    <t>6-1-16.</t>
  </si>
  <si>
    <t>ფარი ყალიბის სისქით 18 მმ</t>
  </si>
  <si>
    <t>5-1-132</t>
  </si>
  <si>
    <t>1-1-012</t>
  </si>
  <si>
    <t>4-1-357</t>
  </si>
  <si>
    <r>
      <t xml:space="preserve">ფიცარი ჩამოგანილი სისქით </t>
    </r>
    <r>
      <rPr>
        <strike/>
        <sz val="10"/>
        <color rgb="FFFF0000"/>
        <rFont val="Arial"/>
        <family val="2"/>
        <charset val="204"/>
      </rPr>
      <t>25-32</t>
    </r>
    <r>
      <rPr>
        <sz val="10"/>
        <color theme="1"/>
        <rFont val="Arial"/>
        <family val="2"/>
        <charset val="204"/>
      </rPr>
      <t xml:space="preserve">  40-60 მმ, III ხარისხის</t>
    </r>
  </si>
  <si>
    <t>5-1-022</t>
  </si>
  <si>
    <t>23-1-2.</t>
  </si>
  <si>
    <t>კომპრესორი მობილური შიდა წვის ძრავაზე,  7 ატმ 9 მ3/წთ</t>
  </si>
  <si>
    <r>
      <t xml:space="preserve">სხვა </t>
    </r>
    <r>
      <rPr>
        <b/>
        <strike/>
        <sz val="10"/>
        <color rgb="FFFF0000"/>
        <rFont val="Arial"/>
        <family val="2"/>
        <charset val="204"/>
      </rPr>
      <t>მასალები</t>
    </r>
    <r>
      <rPr>
        <sz val="10"/>
        <color theme="1"/>
        <rFont val="Arial"/>
        <family val="2"/>
        <charset val="204"/>
      </rPr>
      <t xml:space="preserve"> მანქანები</t>
    </r>
  </si>
  <si>
    <t>6-11-7.</t>
  </si>
  <si>
    <t>1-10-014</t>
  </si>
  <si>
    <t>1-10-017</t>
  </si>
  <si>
    <t>ელექტროდი შედუღების</t>
  </si>
  <si>
    <t>სამშენებლო ჭანჭიკი</t>
  </si>
  <si>
    <r>
      <t xml:space="preserve">რ/ბ </t>
    </r>
    <r>
      <rPr>
        <b/>
        <sz val="10"/>
        <color rgb="FFFF0000"/>
        <rFont val="Arial"/>
        <family val="2"/>
        <charset val="204"/>
      </rPr>
      <t>საყრდენი</t>
    </r>
    <r>
      <rPr>
        <sz val="10"/>
        <color theme="1"/>
        <rFont val="Arial"/>
        <family val="2"/>
        <charset val="204"/>
      </rPr>
      <t xml:space="preserve"> კედლის მოწყობა</t>
    </r>
  </si>
  <si>
    <t>8-4-7.</t>
  </si>
  <si>
    <t>4-1-539</t>
  </si>
  <si>
    <t>მასტიკა ბიტუმ-ზეთოვანი</t>
  </si>
  <si>
    <t>26-01-055-01;-02</t>
  </si>
  <si>
    <t>ГЭСН</t>
  </si>
  <si>
    <t>4-1-429</t>
  </si>
  <si>
    <t>Е3-2/1 ЕНиР</t>
  </si>
  <si>
    <t>4-1-441</t>
  </si>
  <si>
    <t>4-1-442</t>
  </si>
  <si>
    <t>გამაგრების დიუბელი</t>
  </si>
  <si>
    <t>1.13.5</t>
  </si>
  <si>
    <t>27-5-3.</t>
  </si>
  <si>
    <r>
      <t xml:space="preserve">პოლიეთილენის </t>
    </r>
    <r>
      <rPr>
        <b/>
        <sz val="10"/>
        <color rgb="FFFF0000"/>
        <rFont val="Arial"/>
        <family val="2"/>
        <charset val="204"/>
      </rPr>
      <t>სადრენაჟე</t>
    </r>
    <r>
      <rPr>
        <sz val="10"/>
        <color theme="1"/>
        <rFont val="Arial"/>
        <family val="2"/>
        <charset val="204"/>
      </rPr>
      <t xml:space="preserve"> მილის მონტაჟი</t>
    </r>
  </si>
  <si>
    <t>გოფრირებული მილი სადრენაჟო Ø150 მმ</t>
  </si>
  <si>
    <t>2-11-001</t>
  </si>
  <si>
    <t>პროექტი</t>
  </si>
  <si>
    <t>14-1-338</t>
  </si>
  <si>
    <t>14-1-113</t>
  </si>
  <si>
    <t>4-1-492</t>
  </si>
  <si>
    <t>4-1-318</t>
  </si>
  <si>
    <t>15-6-8.</t>
  </si>
  <si>
    <t>1.10.10</t>
  </si>
  <si>
    <t>1.10.11</t>
  </si>
  <si>
    <t>1.10.12</t>
  </si>
  <si>
    <t>4-1-379</t>
  </si>
  <si>
    <t>46-04-001-01</t>
  </si>
  <si>
    <t>14-1-332</t>
  </si>
  <si>
    <t>სანგრევი ჩაქუჩი მომუშავე მოძრავ კომპრესორზე</t>
  </si>
  <si>
    <t xml:space="preserve">მ² </t>
  </si>
  <si>
    <t>1.19.3</t>
  </si>
  <si>
    <t>1.19.4</t>
  </si>
  <si>
    <t>1.19.5</t>
  </si>
  <si>
    <t xml:space="preserve">მე-4 კატ გრუნტის ფენის დამუშავება ხელით სიღრმით 2 მ-მდე </t>
  </si>
  <si>
    <t>14-1-043</t>
  </si>
  <si>
    <t>14-1-143</t>
  </si>
  <si>
    <t>ბულდოზერი 96 კვტ (130 ც.ძ.)</t>
  </si>
  <si>
    <t>კ=0.7</t>
  </si>
  <si>
    <t>27-50-9.</t>
  </si>
  <si>
    <t>ტ.ნ. პ. 2.6</t>
  </si>
  <si>
    <t>კ=0.6</t>
  </si>
  <si>
    <t>კ=0.5</t>
  </si>
  <si>
    <t>1-80-3</t>
  </si>
  <si>
    <t>კ=1.2</t>
  </si>
  <si>
    <t>ბეტონი B 7.5</t>
  </si>
  <si>
    <t>4-1-339</t>
  </si>
  <si>
    <t>8-4-8.</t>
  </si>
  <si>
    <t>4-1-216</t>
  </si>
  <si>
    <t>4-1-232</t>
  </si>
  <si>
    <t>1-31-6; -16</t>
  </si>
  <si>
    <t>პლასტმასის გოფრირებული მილის მონტაჟი Ø500 მმ</t>
  </si>
  <si>
    <t>პლასტმასის გოფრირებული მილი Ø500 მმ</t>
  </si>
  <si>
    <t>2-11-124</t>
  </si>
  <si>
    <t>23-01-020-04</t>
  </si>
  <si>
    <t>14-1-086</t>
  </si>
  <si>
    <t>14-1-340</t>
  </si>
  <si>
    <t>ამწე საავტომობილო სვლაზე 6.3 ტ-ანი</t>
  </si>
  <si>
    <t>ჯალამბარი ხელის 1.2-1.5 ტ-ანი</t>
  </si>
  <si>
    <t>ავტომობილი ბორტიანი 5 ტ-მდე</t>
  </si>
  <si>
    <t>14-1-228</t>
  </si>
  <si>
    <t>23-1-1.</t>
  </si>
  <si>
    <t>თუჯის ცხაურა ოთხკუთხედი ჩარჩოთი 70x70 სმ</t>
  </si>
  <si>
    <t>6-26-4.</t>
  </si>
  <si>
    <t>4-1-355</t>
  </si>
  <si>
    <t>1.3.5</t>
  </si>
  <si>
    <t>1.3.6</t>
  </si>
  <si>
    <t>1.3.7</t>
  </si>
  <si>
    <r>
      <t>ფიცარი ჩამოგანილი სისქით</t>
    </r>
    <r>
      <rPr>
        <sz val="10"/>
        <color theme="1"/>
        <rFont val="Arial"/>
        <family val="2"/>
        <charset val="204"/>
      </rPr>
      <t xml:space="preserve"> 40-60 მმ, III ხარისხის</t>
    </r>
  </si>
  <si>
    <t>23-23-1.</t>
  </si>
  <si>
    <t>4-1-370</t>
  </si>
  <si>
    <t>ხსნარი წყობის, ცემენტის მ-100</t>
  </si>
  <si>
    <t>1.7.5</t>
  </si>
  <si>
    <t>4-1-123</t>
  </si>
  <si>
    <r>
      <rPr>
        <b/>
        <strike/>
        <sz val="10"/>
        <color rgb="FFFF0000"/>
        <rFont val="Arial"/>
        <family val="2"/>
        <charset val="204"/>
      </rPr>
      <t>თუჯის ცხაურის</t>
    </r>
    <r>
      <rPr>
        <sz val="10"/>
        <color theme="1"/>
        <rFont val="Arial"/>
        <family val="2"/>
        <charset val="204"/>
      </rPr>
      <t xml:space="preserve"> გადახურვის ფილის მონტაჟი</t>
    </r>
  </si>
  <si>
    <t>4-1-113</t>
  </si>
  <si>
    <t>გადახურვის ფილა თუჯის მრგვალი ხუფი-ცხაურით 1.0x1.0 მ</t>
  </si>
  <si>
    <t>კომპლ</t>
  </si>
  <si>
    <t>რკინაბეტონის ანაკრები ჭის რგოლის მონტაჟი Ø1000 მმ 2 ც</t>
  </si>
  <si>
    <t>რკინაბეტონის ანაკრები ჭის რგოლი Ø1000 მმ L-1000 მმ</t>
  </si>
  <si>
    <t>4-1-101</t>
  </si>
  <si>
    <t>6-11-9.</t>
  </si>
  <si>
    <t>არმატურა A-III კლასის</t>
  </si>
  <si>
    <t xml:space="preserve">სხვა მანქანები </t>
  </si>
  <si>
    <t>1.1.11</t>
  </si>
  <si>
    <t>1.1.12</t>
  </si>
  <si>
    <t>10-31-3.</t>
  </si>
  <si>
    <t>ჭანჭიკი სამშენებლო</t>
  </si>
  <si>
    <r>
      <t xml:space="preserve">ხის ძელი </t>
    </r>
    <r>
      <rPr>
        <strike/>
        <sz val="10"/>
        <color rgb="FFFF0000"/>
        <rFont val="Arial"/>
        <family val="2"/>
        <charset val="204"/>
      </rPr>
      <t xml:space="preserve">10X10 სმ </t>
    </r>
  </si>
  <si>
    <t>15-163-1.</t>
  </si>
  <si>
    <t>4-2-001</t>
  </si>
  <si>
    <t>ხის ლაქი ზეთოვანი</t>
  </si>
  <si>
    <t>6-15-9.</t>
  </si>
  <si>
    <t>არმატურა A-I კლასი</t>
  </si>
  <si>
    <t>27-7-2.</t>
  </si>
  <si>
    <t>14-1-222</t>
  </si>
  <si>
    <t>1-1-010</t>
  </si>
  <si>
    <t>4-1-226</t>
  </si>
  <si>
    <t>4-1-177</t>
  </si>
  <si>
    <t>4-1-071</t>
  </si>
  <si>
    <t>ბეტონის ქვაფენილი 20x10x5.5 სმ</t>
  </si>
  <si>
    <t>4-1-378</t>
  </si>
  <si>
    <t>1.5.6</t>
  </si>
  <si>
    <t>ქვიშა</t>
  </si>
  <si>
    <t>СЦИР-82, გვ. 557, ცხრ. 17; პ. 7 ა კ=1.1;  პ. 15 კ=1.13</t>
  </si>
  <si>
    <t>პ. 3.105</t>
  </si>
  <si>
    <t xml:space="preserve">                  ფასთა კრებული: 2018 წლის II კვარტალი </t>
  </si>
  <si>
    <t>5-1-037</t>
  </si>
  <si>
    <t xml:space="preserve">ქვაყრილის მოწყობა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</si>
</sst>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4" fillId="0" borderId="0" applyFont="0" applyFill="0" applyBorder="0" applyAlignment="0" applyProtection="0"/>
    <xf numFmtId="0" fontId="16" fillId="0" borderId="0"/>
    <xf numFmtId="0" fontId="17" fillId="0" borderId="0"/>
    <xf numFmtId="43" fontId="14" fillId="0" borderId="0" applyFont="0" applyFill="0" applyBorder="0" applyAlignment="0" applyProtection="0"/>
    <xf numFmtId="0" fontId="18" fillId="0" borderId="0"/>
    <xf numFmtId="0" fontId="19" fillId="0" borderId="0"/>
    <xf numFmtId="164" fontId="14" fillId="0" borderId="0" applyFont="0" applyFill="0" applyBorder="0" applyAlignment="0" applyProtection="0"/>
    <xf numFmtId="0" fontId="19" fillId="0" borderId="0"/>
    <xf numFmtId="0" fontId="17" fillId="0" borderId="0"/>
  </cellStyleXfs>
  <cellXfs count="324">
    <xf numFmtId="0" fontId="0" fillId="0" borderId="0" xfId="0"/>
    <xf numFmtId="0" fontId="0" fillId="2" borderId="0" xfId="0" applyFill="1" applyBorder="1"/>
    <xf numFmtId="0" fontId="10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0" fillId="2" borderId="0" xfId="0" applyNumberForma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Border="1" applyAlignment="1"/>
    <xf numFmtId="0" fontId="12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9" fontId="11" fillId="2" borderId="1" xfId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/>
    <xf numFmtId="9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0" borderId="0" xfId="0" applyFont="1"/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/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20" fillId="2" borderId="1" xfId="0" applyFont="1" applyFill="1" applyBorder="1" applyAlignment="1">
      <alignment horizontal="left" vertical="center" indent="1"/>
    </xf>
    <xf numFmtId="1" fontId="2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vertical="center"/>
    </xf>
    <xf numFmtId="2" fontId="9" fillId="2" borderId="0" xfId="0" applyNumberFormat="1" applyFont="1" applyFill="1"/>
    <xf numFmtId="0" fontId="2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7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6" fontId="9" fillId="2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20" fillId="2" borderId="0" xfId="0" applyNumberFormat="1" applyFont="1" applyFill="1" applyBorder="1" applyAlignment="1">
      <alignment vertical="center"/>
    </xf>
    <xf numFmtId="0" fontId="9" fillId="0" borderId="0" xfId="0" applyFont="1" applyBorder="1"/>
    <xf numFmtId="0" fontId="9" fillId="2" borderId="1" xfId="0" applyFont="1" applyFill="1" applyBorder="1" applyAlignment="1">
      <alignment vertical="center" wrapText="1"/>
    </xf>
    <xf numFmtId="0" fontId="20" fillId="2" borderId="0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/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" fontId="17" fillId="2" borderId="1" xfId="3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left" vertical="center" wrapText="1"/>
    </xf>
    <xf numFmtId="4" fontId="17" fillId="2" borderId="1" xfId="6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vertical="center"/>
    </xf>
    <xf numFmtId="2" fontId="8" fillId="2" borderId="0" xfId="0" applyNumberFormat="1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4" fontId="17" fillId="2" borderId="1" xfId="2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center" vertical="center"/>
    </xf>
    <xf numFmtId="4" fontId="17" fillId="2" borderId="3" xfId="6" applyNumberFormat="1" applyFont="1" applyFill="1" applyBorder="1" applyAlignment="1">
      <alignment horizontal="center" vertical="center"/>
    </xf>
    <xf numFmtId="0" fontId="17" fillId="0" borderId="1" xfId="8" applyNumberFormat="1" applyFont="1" applyFill="1" applyBorder="1" applyAlignment="1" applyProtection="1">
      <alignment horizontal="center" vertical="center"/>
    </xf>
    <xf numFmtId="166" fontId="17" fillId="0" borderId="1" xfId="9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4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/>
    </xf>
    <xf numFmtId="166" fontId="17" fillId="2" borderId="1" xfId="2" applyNumberFormat="1" applyFont="1" applyFill="1" applyBorder="1" applyAlignment="1">
      <alignment horizontal="center" vertical="center"/>
    </xf>
    <xf numFmtId="0" fontId="7" fillId="0" borderId="0" xfId="0" applyFont="1" applyFill="1"/>
    <xf numFmtId="4" fontId="17" fillId="5" borderId="1" xfId="6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3" borderId="0" xfId="0" applyFont="1" applyFill="1"/>
    <xf numFmtId="9" fontId="7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4" borderId="0" xfId="0" applyFont="1" applyFill="1"/>
    <xf numFmtId="2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7" fillId="2" borderId="1" xfId="2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vertical="center"/>
    </xf>
    <xf numFmtId="2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7" fillId="2" borderId="1" xfId="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0" fillId="3" borderId="0" xfId="0" applyFont="1" applyFill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center" vertical="center" wrapText="1"/>
    </xf>
    <xf numFmtId="0" fontId="7" fillId="0" borderId="0" xfId="0" applyFont="1" applyBorder="1"/>
    <xf numFmtId="4" fontId="17" fillId="2" borderId="3" xfId="6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4" borderId="0" xfId="0" applyFont="1" applyFill="1"/>
    <xf numFmtId="0" fontId="6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2" fontId="6" fillId="2" borderId="0" xfId="0" applyNumberFormat="1" applyFont="1" applyFill="1"/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6" fillId="5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/>
    <xf numFmtId="166" fontId="17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17" fillId="5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" fontId="17" fillId="5" borderId="1" xfId="3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inden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9" fontId="2" fillId="2" borderId="1" xfId="1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right" vertical="center" indent="1"/>
    </xf>
    <xf numFmtId="0" fontId="20" fillId="0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AG\&#4318;&#4320;&#4317;&#4308;&#4325;&#4322;&#4308;&#4305;&#4312;\&#4318;&#4320;&#4317;&#4308;&#4325;&#4322;&#4308;&#4305;&#4312;&#4321;%20&#4312;&#4316;&#4321;&#4318;&#4308;&#4325;&#4322;&#4312;&#4320;&#4308;&#4305;&#4304;\&#4321;&#4304;&#4315;&#4308;&#4306;&#4320;&#4308;&#4314;&#4317;&#4321;%20&#4320;&#4308;&#4306;&#4312;&#4317;&#4316;&#4312;\&#4315;&#4308;&#4321;&#4322;&#4312;&#4304;%202018\fwdgeologiadasmeta\&#4309;.&#4321;&#4308;&#4314;&#4304;&#4321;%20&#4325;&#4323;&#4329;&#4304;-Bo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0df0e3fdb395e79/Projects/Davit%20Kvaratskhelia/1.%20&#4307;&#4304;&#4305;&#4304;%20&#4315;&#4308;&#4321;&#4322;&#4312;&#4304;/BoQ/&#4305;.&#4334;&#4308;&#4320;&#4306;&#4312;&#4304;&#4316;&#4312;&#4321;%20&#4325;&#4323;&#4329;&#4304;-BoQ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3-4"/>
      <sheetName val="3-5"/>
      <sheetName val="3-6"/>
      <sheetName val="3-7"/>
      <sheetName val="3-8"/>
      <sheetName val="4-1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1">
          <cell r="J21">
            <v>162</v>
          </cell>
          <cell r="K21">
            <v>9.3800000000000008</v>
          </cell>
        </row>
        <row r="22">
          <cell r="J22">
            <v>95</v>
          </cell>
          <cell r="K22">
            <v>17.2</v>
          </cell>
        </row>
        <row r="25">
          <cell r="J25">
            <v>89</v>
          </cell>
          <cell r="K25">
            <v>18.77</v>
          </cell>
        </row>
        <row r="26">
          <cell r="J26">
            <v>97</v>
          </cell>
          <cell r="K26">
            <v>18.77</v>
          </cell>
        </row>
        <row r="27">
          <cell r="J27">
            <v>119</v>
          </cell>
          <cell r="K27">
            <v>18.77</v>
          </cell>
        </row>
        <row r="31">
          <cell r="J31">
            <v>126</v>
          </cell>
          <cell r="K31">
            <v>18.77</v>
          </cell>
        </row>
        <row r="33">
          <cell r="J33">
            <v>1520</v>
          </cell>
          <cell r="K33">
            <v>64.31</v>
          </cell>
        </row>
        <row r="36">
          <cell r="J36">
            <v>17</v>
          </cell>
          <cell r="K36">
            <v>15.6</v>
          </cell>
        </row>
        <row r="37">
          <cell r="J37">
            <v>12.7</v>
          </cell>
          <cell r="K37">
            <v>15.11</v>
          </cell>
        </row>
        <row r="38">
          <cell r="J38">
            <v>28</v>
          </cell>
          <cell r="K38">
            <v>11.73</v>
          </cell>
        </row>
        <row r="40">
          <cell r="J40">
            <v>15</v>
          </cell>
          <cell r="K40">
            <v>19.5</v>
          </cell>
        </row>
        <row r="42">
          <cell r="J42">
            <v>16</v>
          </cell>
          <cell r="K42">
            <v>9.25</v>
          </cell>
        </row>
        <row r="43">
          <cell r="J43">
            <v>443</v>
          </cell>
          <cell r="K43">
            <v>23.12</v>
          </cell>
        </row>
        <row r="44">
          <cell r="J44">
            <v>475</v>
          </cell>
          <cell r="K44">
            <v>23.12</v>
          </cell>
        </row>
        <row r="46">
          <cell r="J46">
            <v>280</v>
          </cell>
          <cell r="K46">
            <v>26.98</v>
          </cell>
        </row>
        <row r="47">
          <cell r="J47">
            <v>995</v>
          </cell>
          <cell r="K47">
            <v>7.82</v>
          </cell>
        </row>
        <row r="68">
          <cell r="J68">
            <v>136</v>
          </cell>
          <cell r="K68">
            <v>84.31</v>
          </cell>
        </row>
        <row r="70">
          <cell r="J70">
            <v>17</v>
          </cell>
          <cell r="K70">
            <v>0.19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4-1"/>
      <sheetName val="სატენდერო კრებსითი"/>
      <sheetName val="სატენდერო"/>
      <sheetName val="ტრანსპორტირებ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J71">
            <v>27</v>
          </cell>
          <cell r="K71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00"/>
  <sheetViews>
    <sheetView view="pageBreakPreview" zoomScaleNormal="55" zoomScaleSheetLayoutView="100" workbookViewId="0">
      <selection activeCell="F20" sqref="F20"/>
    </sheetView>
  </sheetViews>
  <sheetFormatPr defaultRowHeight="12.75"/>
  <cols>
    <col min="1" max="1" width="15.7109375" style="34" customWidth="1"/>
    <col min="2" max="2" width="62.5703125" style="34" customWidth="1"/>
    <col min="3" max="3" width="9.7109375" style="34" customWidth="1"/>
    <col min="4" max="4" width="18" style="34" customWidth="1"/>
    <col min="5" max="6" width="17.140625" style="34" customWidth="1"/>
    <col min="7" max="7" width="17.7109375" style="34" customWidth="1"/>
    <col min="8" max="10" width="20.7109375" style="34" customWidth="1"/>
    <col min="11" max="16384" width="9.140625" style="34"/>
  </cols>
  <sheetData>
    <row r="1" spans="1:7">
      <c r="A1" s="285"/>
      <c r="B1" s="285"/>
      <c r="C1" s="33"/>
      <c r="D1" s="33"/>
      <c r="E1" s="33"/>
      <c r="F1" s="33"/>
      <c r="G1" s="33"/>
    </row>
    <row r="2" spans="1:7">
      <c r="A2" s="285"/>
      <c r="B2" s="285"/>
      <c r="C2" s="33"/>
      <c r="D2" s="33"/>
      <c r="E2" s="33"/>
      <c r="F2" s="33"/>
      <c r="G2" s="33"/>
    </row>
    <row r="3" spans="1:7">
      <c r="A3" s="284"/>
      <c r="B3" s="284"/>
      <c r="C3" s="33"/>
      <c r="D3" s="33"/>
      <c r="E3" s="33"/>
      <c r="F3" s="194" t="s">
        <v>17</v>
      </c>
      <c r="G3" s="193"/>
    </row>
    <row r="4" spans="1:7" ht="15" customHeight="1">
      <c r="A4" s="283" t="s">
        <v>496</v>
      </c>
      <c r="B4" s="284"/>
      <c r="C4" s="33"/>
      <c r="D4" s="33"/>
      <c r="E4" s="72"/>
      <c r="F4" s="250" t="s">
        <v>18</v>
      </c>
      <c r="G4" s="193"/>
    </row>
    <row r="5" spans="1:7">
      <c r="A5" s="284"/>
      <c r="B5" s="284"/>
      <c r="C5" s="33"/>
      <c r="D5" s="33"/>
      <c r="E5" s="72"/>
      <c r="F5" s="250" t="s">
        <v>56</v>
      </c>
      <c r="G5" s="193" t="s">
        <v>20</v>
      </c>
    </row>
    <row r="6" spans="1:7">
      <c r="A6" s="284" t="s">
        <v>29</v>
      </c>
      <c r="B6" s="284"/>
      <c r="C6" s="33"/>
      <c r="D6" s="33"/>
      <c r="E6" s="72"/>
      <c r="F6" s="250" t="s">
        <v>19</v>
      </c>
      <c r="G6" s="193"/>
    </row>
    <row r="7" spans="1:7">
      <c r="A7" s="284"/>
      <c r="B7" s="284"/>
      <c r="C7" s="33"/>
      <c r="D7" s="33"/>
      <c r="E7" s="286"/>
      <c r="F7" s="286"/>
      <c r="G7" s="193"/>
    </row>
    <row r="8" spans="1:7" s="36" customFormat="1">
      <c r="A8" s="287" t="s">
        <v>47</v>
      </c>
      <c r="B8" s="288"/>
      <c r="C8" s="288"/>
      <c r="D8" s="288"/>
      <c r="E8" s="288"/>
      <c r="F8" s="288"/>
      <c r="G8" s="288"/>
    </row>
    <row r="9" spans="1:7" s="36" customFormat="1">
      <c r="A9" s="289" t="s">
        <v>2</v>
      </c>
      <c r="B9" s="289" t="s">
        <v>3</v>
      </c>
      <c r="C9" s="289" t="s">
        <v>12</v>
      </c>
      <c r="D9" s="290" t="s">
        <v>48</v>
      </c>
      <c r="E9" s="290" t="s">
        <v>49</v>
      </c>
      <c r="F9" s="290" t="s">
        <v>335</v>
      </c>
      <c r="G9" s="290" t="s">
        <v>334</v>
      </c>
    </row>
    <row r="10" spans="1:7" s="36" customFormat="1">
      <c r="A10" s="289"/>
      <c r="B10" s="289"/>
      <c r="C10" s="289"/>
      <c r="D10" s="290"/>
      <c r="E10" s="290"/>
      <c r="F10" s="290"/>
      <c r="G10" s="290"/>
    </row>
    <row r="11" spans="1:7" s="36" customFormat="1" ht="26.25" customHeight="1">
      <c r="A11" s="289"/>
      <c r="B11" s="289"/>
      <c r="C11" s="289"/>
      <c r="D11" s="290"/>
      <c r="E11" s="290"/>
      <c r="F11" s="290"/>
      <c r="G11" s="290"/>
    </row>
    <row r="12" spans="1:7" s="36" customFormat="1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</row>
    <row r="13" spans="1:7" s="36" customFormat="1">
      <c r="A13" s="263"/>
      <c r="B13" s="263"/>
      <c r="C13" s="263"/>
      <c r="D13" s="263"/>
      <c r="E13" s="263"/>
      <c r="F13" s="263"/>
      <c r="G13" s="263"/>
    </row>
    <row r="14" spans="1:7" s="36" customFormat="1">
      <c r="A14" s="282"/>
      <c r="B14" s="262" t="s">
        <v>51</v>
      </c>
      <c r="C14" s="42"/>
      <c r="D14" s="42"/>
      <c r="E14" s="42"/>
      <c r="F14" s="42"/>
      <c r="G14" s="42"/>
    </row>
    <row r="15" spans="1:7" s="36" customFormat="1">
      <c r="A15" s="264"/>
      <c r="B15" s="263"/>
      <c r="C15" s="264"/>
      <c r="D15" s="264"/>
      <c r="E15" s="264"/>
      <c r="F15" s="264"/>
      <c r="G15" s="264"/>
    </row>
    <row r="16" spans="1:7" s="36" customFormat="1">
      <c r="A16" s="38" t="s">
        <v>142</v>
      </c>
      <c r="B16" s="63" t="s">
        <v>32</v>
      </c>
      <c r="C16" s="39"/>
      <c r="D16" s="45"/>
      <c r="E16" s="45"/>
      <c r="F16" s="45"/>
      <c r="G16" s="45"/>
    </row>
    <row r="17" spans="1:7" s="36" customFormat="1">
      <c r="A17" s="85"/>
      <c r="B17" s="263"/>
      <c r="C17" s="263"/>
      <c r="D17" s="47"/>
      <c r="E17" s="47"/>
      <c r="F17" s="47"/>
      <c r="G17" s="47"/>
    </row>
    <row r="18" spans="1:7" s="36" customFormat="1">
      <c r="A18" s="42"/>
      <c r="B18" s="263" t="s">
        <v>52</v>
      </c>
      <c r="C18" s="42"/>
      <c r="D18" s="42"/>
      <c r="E18" s="42"/>
      <c r="F18" s="42"/>
      <c r="G18" s="42"/>
    </row>
    <row r="19" spans="1:7" s="36" customFormat="1">
      <c r="A19" s="263"/>
      <c r="B19" s="263"/>
      <c r="C19" s="263"/>
      <c r="D19" s="263"/>
      <c r="E19" s="263"/>
      <c r="F19" s="263"/>
      <c r="G19" s="263"/>
    </row>
    <row r="20" spans="1:7" s="36" customFormat="1">
      <c r="A20" s="85" t="s">
        <v>155</v>
      </c>
      <c r="B20" s="63" t="str">
        <f>'2-1'!C7</f>
        <v>მიწის ვაკისი</v>
      </c>
      <c r="C20" s="263"/>
      <c r="D20" s="47"/>
      <c r="E20" s="47"/>
      <c r="F20" s="47"/>
      <c r="G20" s="45"/>
    </row>
    <row r="21" spans="1:7" s="36" customFormat="1">
      <c r="A21" s="85"/>
      <c r="B21" s="263"/>
      <c r="C21" s="263"/>
      <c r="D21" s="47"/>
      <c r="E21" s="47"/>
      <c r="F21" s="47"/>
      <c r="G21" s="47"/>
    </row>
    <row r="22" spans="1:7" s="36" customFormat="1">
      <c r="A22" s="42"/>
      <c r="B22" s="263" t="s">
        <v>53</v>
      </c>
      <c r="C22" s="42"/>
      <c r="D22" s="42"/>
      <c r="E22" s="42"/>
      <c r="F22" s="42"/>
      <c r="G22" s="42"/>
    </row>
    <row r="23" spans="1:7" s="36" customFormat="1">
      <c r="A23" s="263"/>
      <c r="B23" s="263"/>
      <c r="C23" s="263"/>
      <c r="D23" s="263"/>
      <c r="E23" s="263"/>
      <c r="F23" s="263"/>
      <c r="G23" s="263"/>
    </row>
    <row r="24" spans="1:7" s="36" customFormat="1">
      <c r="A24" s="85" t="s">
        <v>182</v>
      </c>
      <c r="B24" s="63" t="s">
        <v>314</v>
      </c>
      <c r="C24" s="263"/>
      <c r="D24" s="47"/>
      <c r="E24" s="47"/>
      <c r="F24" s="47"/>
      <c r="G24" s="45"/>
    </row>
    <row r="25" spans="1:7" s="36" customFormat="1">
      <c r="A25" s="85" t="s">
        <v>183</v>
      </c>
      <c r="B25" s="63" t="s">
        <v>315</v>
      </c>
      <c r="C25" s="263"/>
      <c r="D25" s="47"/>
      <c r="E25" s="47"/>
      <c r="F25" s="47"/>
      <c r="G25" s="45"/>
    </row>
    <row r="26" spans="1:7" s="36" customFormat="1">
      <c r="A26" s="85" t="s">
        <v>184</v>
      </c>
      <c r="B26" s="63" t="s">
        <v>316</v>
      </c>
      <c r="C26" s="263"/>
      <c r="D26" s="47"/>
      <c r="E26" s="47"/>
      <c r="F26" s="47"/>
      <c r="G26" s="45"/>
    </row>
    <row r="27" spans="1:7" s="36" customFormat="1">
      <c r="A27" s="85" t="s">
        <v>323</v>
      </c>
      <c r="B27" s="63" t="s">
        <v>318</v>
      </c>
      <c r="C27" s="263"/>
      <c r="D27" s="47"/>
      <c r="E27" s="47"/>
      <c r="F27" s="47"/>
      <c r="G27" s="45"/>
    </row>
    <row r="28" spans="1:7" s="36" customFormat="1">
      <c r="A28" s="85" t="s">
        <v>324</v>
      </c>
      <c r="B28" s="63" t="s">
        <v>302</v>
      </c>
      <c r="C28" s="263"/>
      <c r="D28" s="47"/>
      <c r="E28" s="47"/>
      <c r="F28" s="47"/>
      <c r="G28" s="45"/>
    </row>
    <row r="29" spans="1:7" s="36" customFormat="1">
      <c r="A29" s="85" t="s">
        <v>322</v>
      </c>
      <c r="B29" s="63" t="s">
        <v>303</v>
      </c>
      <c r="C29" s="263"/>
      <c r="D29" s="47"/>
      <c r="E29" s="47"/>
      <c r="F29" s="47"/>
      <c r="G29" s="45"/>
    </row>
    <row r="30" spans="1:7" s="36" customFormat="1">
      <c r="A30" s="85" t="s">
        <v>321</v>
      </c>
      <c r="B30" s="63" t="s">
        <v>319</v>
      </c>
      <c r="C30" s="263"/>
      <c r="D30" s="47"/>
      <c r="E30" s="47"/>
      <c r="F30" s="47"/>
      <c r="G30" s="45"/>
    </row>
    <row r="31" spans="1:7" s="36" customFormat="1">
      <c r="A31" s="85" t="s">
        <v>330</v>
      </c>
      <c r="B31" s="63" t="s">
        <v>325</v>
      </c>
      <c r="C31" s="263"/>
      <c r="D31" s="47"/>
      <c r="E31" s="47"/>
      <c r="F31" s="47"/>
      <c r="G31" s="45"/>
    </row>
    <row r="32" spans="1:7" s="36" customFormat="1">
      <c r="A32" s="85"/>
      <c r="B32" s="281"/>
      <c r="C32" s="263"/>
      <c r="D32" s="47"/>
      <c r="E32" s="47"/>
      <c r="F32" s="47"/>
      <c r="G32" s="47"/>
    </row>
    <row r="33" spans="1:7" s="36" customFormat="1">
      <c r="A33" s="42"/>
      <c r="B33" s="263" t="s">
        <v>54</v>
      </c>
      <c r="C33" s="42"/>
      <c r="D33" s="42"/>
      <c r="E33" s="42"/>
      <c r="F33" s="42"/>
      <c r="G33" s="42"/>
    </row>
    <row r="34" spans="1:7" s="36" customFormat="1">
      <c r="A34" s="263"/>
      <c r="B34" s="263"/>
      <c r="C34" s="263"/>
      <c r="D34" s="263"/>
      <c r="E34" s="263"/>
      <c r="F34" s="263"/>
      <c r="G34" s="263"/>
    </row>
    <row r="35" spans="1:7" s="36" customFormat="1">
      <c r="A35" s="85" t="s">
        <v>169</v>
      </c>
      <c r="B35" s="63" t="str">
        <f>'4-1'!C8</f>
        <v xml:space="preserve">საგზაო სამოსი </v>
      </c>
      <c r="C35" s="263"/>
      <c r="D35" s="47"/>
      <c r="E35" s="47"/>
      <c r="F35" s="47"/>
      <c r="G35" s="45"/>
    </row>
    <row r="36" spans="1:7" s="36" customFormat="1">
      <c r="A36" s="85"/>
      <c r="B36" s="263"/>
      <c r="C36" s="263"/>
      <c r="D36" s="47"/>
      <c r="E36" s="47"/>
      <c r="F36" s="47"/>
      <c r="G36" s="47"/>
    </row>
    <row r="37" spans="1:7" s="280" customFormat="1">
      <c r="A37" s="85"/>
      <c r="B37" s="263" t="s">
        <v>4</v>
      </c>
      <c r="C37" s="272"/>
      <c r="D37" s="47"/>
      <c r="E37" s="47"/>
      <c r="F37" s="47"/>
      <c r="G37" s="47"/>
    </row>
    <row r="38" spans="1:7" s="277" customFormat="1">
      <c r="A38" s="276"/>
      <c r="B38" s="278"/>
      <c r="C38" s="271"/>
      <c r="D38" s="270"/>
      <c r="E38" s="270"/>
      <c r="F38" s="270"/>
      <c r="G38" s="270"/>
    </row>
    <row r="39" spans="1:7" s="277" customFormat="1">
      <c r="A39" s="276"/>
      <c r="B39" s="278" t="s">
        <v>10</v>
      </c>
      <c r="C39" s="271">
        <v>0.1</v>
      </c>
      <c r="D39" s="270"/>
      <c r="E39" s="270"/>
      <c r="F39" s="270"/>
      <c r="G39" s="270"/>
    </row>
    <row r="40" spans="1:7" s="277" customFormat="1">
      <c r="A40" s="276"/>
      <c r="B40" s="279" t="s">
        <v>4</v>
      </c>
      <c r="C40" s="271"/>
      <c r="D40" s="270"/>
      <c r="E40" s="270"/>
      <c r="F40" s="270"/>
      <c r="G40" s="270"/>
    </row>
    <row r="41" spans="1:7" s="277" customFormat="1">
      <c r="A41" s="276"/>
      <c r="B41" s="278" t="s">
        <v>11</v>
      </c>
      <c r="C41" s="271">
        <v>0.08</v>
      </c>
      <c r="D41" s="270"/>
      <c r="E41" s="270"/>
      <c r="F41" s="270"/>
      <c r="G41" s="270"/>
    </row>
    <row r="42" spans="1:7" s="277" customFormat="1">
      <c r="A42" s="269"/>
      <c r="B42" s="279" t="s">
        <v>4</v>
      </c>
      <c r="C42" s="271"/>
      <c r="D42" s="270"/>
      <c r="E42" s="270"/>
      <c r="F42" s="270"/>
      <c r="G42" s="270"/>
    </row>
    <row r="43" spans="1:7" s="277" customFormat="1">
      <c r="A43" s="273"/>
      <c r="B43" s="278" t="s">
        <v>26</v>
      </c>
      <c r="C43" s="274">
        <v>0.05</v>
      </c>
      <c r="D43" s="270"/>
      <c r="E43" s="270"/>
      <c r="F43" s="270"/>
      <c r="G43" s="270"/>
    </row>
    <row r="44" spans="1:7" s="277" customFormat="1">
      <c r="A44" s="273"/>
      <c r="B44" s="279" t="s">
        <v>4</v>
      </c>
      <c r="C44" s="271"/>
      <c r="D44" s="270"/>
      <c r="E44" s="270"/>
      <c r="F44" s="270"/>
      <c r="G44" s="270"/>
    </row>
    <row r="45" spans="1:7" s="277" customFormat="1">
      <c r="A45" s="273"/>
      <c r="B45" s="278" t="s">
        <v>27</v>
      </c>
      <c r="C45" s="274">
        <v>0.18</v>
      </c>
      <c r="D45" s="270"/>
      <c r="E45" s="270"/>
      <c r="F45" s="270"/>
      <c r="G45" s="270"/>
    </row>
    <row r="46" spans="1:7" s="277" customFormat="1">
      <c r="A46" s="273"/>
      <c r="B46" s="278"/>
      <c r="C46" s="275"/>
      <c r="D46" s="270"/>
      <c r="E46" s="270"/>
      <c r="F46" s="270"/>
      <c r="G46" s="270"/>
    </row>
    <row r="47" spans="1:7" s="280" customFormat="1">
      <c r="A47" s="263"/>
      <c r="B47" s="263" t="s">
        <v>4</v>
      </c>
      <c r="C47" s="263"/>
      <c r="D47" s="47"/>
      <c r="E47" s="47"/>
      <c r="F47" s="47"/>
      <c r="G47" s="47"/>
    </row>
    <row r="48" spans="1:7">
      <c r="B48" s="43"/>
      <c r="C48" s="44"/>
      <c r="D48" s="44"/>
      <c r="E48" s="44"/>
      <c r="F48" s="44"/>
      <c r="G48" s="44"/>
    </row>
    <row r="49" spans="2:7">
      <c r="B49" s="43"/>
      <c r="C49" s="44"/>
      <c r="D49" s="44"/>
      <c r="E49" s="44"/>
      <c r="F49" s="44"/>
      <c r="G49" s="44"/>
    </row>
    <row r="50" spans="2:7">
      <c r="B50" s="43"/>
      <c r="C50" s="44"/>
      <c r="D50" s="44"/>
      <c r="E50" s="44"/>
      <c r="F50" s="44"/>
      <c r="G50" s="44"/>
    </row>
    <row r="51" spans="2:7">
      <c r="B51" s="43"/>
      <c r="C51" s="44"/>
      <c r="D51" s="44"/>
      <c r="E51" s="44"/>
      <c r="F51" s="44"/>
      <c r="G51" s="44"/>
    </row>
    <row r="52" spans="2:7">
      <c r="B52" s="43"/>
      <c r="C52" s="44"/>
      <c r="D52" s="44"/>
      <c r="E52" s="44"/>
      <c r="F52" s="44"/>
      <c r="G52" s="44"/>
    </row>
    <row r="53" spans="2:7">
      <c r="B53" s="43"/>
      <c r="C53" s="44"/>
      <c r="D53" s="44"/>
      <c r="E53" s="44"/>
      <c r="F53" s="44"/>
      <c r="G53" s="44"/>
    </row>
    <row r="54" spans="2:7">
      <c r="B54" s="43"/>
      <c r="C54" s="44"/>
      <c r="D54" s="44"/>
      <c r="E54" s="44"/>
      <c r="F54" s="44"/>
      <c r="G54" s="44"/>
    </row>
    <row r="55" spans="2:7">
      <c r="B55" s="43"/>
      <c r="C55" s="44"/>
      <c r="D55" s="44"/>
      <c r="E55" s="44"/>
      <c r="F55" s="44"/>
      <c r="G55" s="44"/>
    </row>
    <row r="56" spans="2:7">
      <c r="B56" s="43"/>
      <c r="C56" s="44"/>
      <c r="D56" s="44"/>
      <c r="E56" s="44"/>
      <c r="F56" s="44"/>
      <c r="G56" s="44"/>
    </row>
    <row r="57" spans="2:7">
      <c r="B57" s="43"/>
      <c r="C57" s="44"/>
      <c r="D57" s="44"/>
      <c r="E57" s="44"/>
      <c r="F57" s="44"/>
      <c r="G57" s="44"/>
    </row>
    <row r="58" spans="2:7">
      <c r="B58" s="43"/>
      <c r="C58" s="44"/>
      <c r="D58" s="44"/>
      <c r="E58" s="44"/>
      <c r="F58" s="44"/>
      <c r="G58" s="44"/>
    </row>
    <row r="59" spans="2:7">
      <c r="B59" s="43"/>
      <c r="C59" s="44"/>
      <c r="D59" s="44"/>
      <c r="E59" s="44"/>
      <c r="F59" s="44"/>
      <c r="G59" s="44"/>
    </row>
    <row r="60" spans="2:7">
      <c r="B60" s="43"/>
      <c r="C60" s="44"/>
      <c r="D60" s="44"/>
      <c r="E60" s="44"/>
      <c r="F60" s="44"/>
      <c r="G60" s="44"/>
    </row>
    <row r="61" spans="2:7">
      <c r="B61" s="43"/>
      <c r="C61" s="44"/>
      <c r="D61" s="44"/>
      <c r="E61" s="44"/>
      <c r="F61" s="44"/>
      <c r="G61" s="44"/>
    </row>
    <row r="62" spans="2:7">
      <c r="B62" s="43"/>
      <c r="C62" s="44"/>
      <c r="D62" s="44"/>
      <c r="E62" s="44"/>
      <c r="F62" s="44"/>
      <c r="G62" s="44"/>
    </row>
    <row r="63" spans="2:7">
      <c r="B63" s="43"/>
      <c r="C63" s="44"/>
      <c r="D63" s="44"/>
      <c r="E63" s="44"/>
      <c r="F63" s="44"/>
      <c r="G63" s="44"/>
    </row>
    <row r="64" spans="2:7">
      <c r="B64" s="43"/>
      <c r="C64" s="44"/>
      <c r="D64" s="44"/>
      <c r="E64" s="44"/>
      <c r="F64" s="44"/>
      <c r="G64" s="44"/>
    </row>
    <row r="65" spans="2:7">
      <c r="B65" s="43"/>
      <c r="C65" s="44"/>
      <c r="D65" s="44"/>
      <c r="E65" s="44"/>
      <c r="F65" s="44"/>
      <c r="G65" s="44"/>
    </row>
    <row r="66" spans="2:7">
      <c r="B66" s="43"/>
      <c r="C66" s="44"/>
      <c r="D66" s="44"/>
      <c r="E66" s="44"/>
      <c r="F66" s="44"/>
      <c r="G66" s="44"/>
    </row>
    <row r="67" spans="2:7">
      <c r="B67" s="43"/>
      <c r="C67" s="44"/>
      <c r="D67" s="44"/>
      <c r="E67" s="44"/>
      <c r="F67" s="44"/>
      <c r="G67" s="44"/>
    </row>
    <row r="68" spans="2:7">
      <c r="B68" s="43"/>
      <c r="C68" s="44"/>
      <c r="D68" s="44"/>
      <c r="E68" s="44"/>
      <c r="F68" s="44"/>
      <c r="G68" s="44"/>
    </row>
    <row r="69" spans="2:7">
      <c r="B69" s="43"/>
      <c r="C69" s="44"/>
      <c r="D69" s="44"/>
      <c r="E69" s="44"/>
      <c r="F69" s="44"/>
      <c r="G69" s="44"/>
    </row>
    <row r="70" spans="2:7">
      <c r="B70" s="43"/>
      <c r="C70" s="44"/>
      <c r="D70" s="44"/>
      <c r="E70" s="44"/>
      <c r="F70" s="44"/>
      <c r="G70" s="44"/>
    </row>
    <row r="71" spans="2:7">
      <c r="B71" s="43"/>
      <c r="C71" s="44"/>
      <c r="D71" s="44"/>
      <c r="E71" s="44"/>
      <c r="F71" s="44"/>
      <c r="G71" s="44"/>
    </row>
    <row r="72" spans="2:7">
      <c r="B72" s="43"/>
      <c r="C72" s="44"/>
      <c r="D72" s="44"/>
      <c r="E72" s="44"/>
      <c r="F72" s="44"/>
      <c r="G72" s="44"/>
    </row>
    <row r="73" spans="2:7">
      <c r="B73" s="43"/>
      <c r="C73" s="44"/>
      <c r="D73" s="44"/>
      <c r="E73" s="44"/>
      <c r="F73" s="44"/>
      <c r="G73" s="44"/>
    </row>
    <row r="74" spans="2:7">
      <c r="B74" s="43"/>
      <c r="C74" s="44"/>
      <c r="D74" s="44"/>
      <c r="E74" s="44"/>
      <c r="F74" s="44"/>
      <c r="G74" s="44"/>
    </row>
    <row r="75" spans="2:7">
      <c r="B75" s="43"/>
      <c r="C75" s="44"/>
      <c r="D75" s="44"/>
      <c r="E75" s="44"/>
      <c r="F75" s="44"/>
      <c r="G75" s="44"/>
    </row>
    <row r="76" spans="2:7">
      <c r="B76" s="43"/>
      <c r="C76" s="44"/>
      <c r="D76" s="44"/>
      <c r="E76" s="44"/>
      <c r="F76" s="44"/>
      <c r="G76" s="44"/>
    </row>
    <row r="77" spans="2:7">
      <c r="B77" s="43"/>
      <c r="C77" s="44"/>
      <c r="D77" s="44"/>
      <c r="E77" s="44"/>
      <c r="F77" s="44"/>
      <c r="G77" s="44"/>
    </row>
    <row r="78" spans="2:7">
      <c r="B78" s="43"/>
      <c r="C78" s="44"/>
      <c r="D78" s="44"/>
      <c r="E78" s="44"/>
      <c r="F78" s="44"/>
      <c r="G78" s="44"/>
    </row>
    <row r="79" spans="2:7">
      <c r="B79" s="43"/>
      <c r="C79" s="44"/>
      <c r="D79" s="44"/>
      <c r="E79" s="44"/>
      <c r="F79" s="44"/>
      <c r="G79" s="44"/>
    </row>
    <row r="80" spans="2:7">
      <c r="B80" s="43"/>
      <c r="C80" s="44"/>
      <c r="D80" s="44"/>
      <c r="E80" s="44"/>
      <c r="F80" s="44"/>
      <c r="G80" s="44"/>
    </row>
    <row r="81" spans="2:7">
      <c r="B81" s="43"/>
      <c r="C81" s="44"/>
      <c r="D81" s="44"/>
      <c r="E81" s="44"/>
      <c r="F81" s="44"/>
      <c r="G81" s="44"/>
    </row>
    <row r="82" spans="2:7">
      <c r="B82" s="43"/>
      <c r="C82" s="44"/>
      <c r="D82" s="44"/>
      <c r="E82" s="44"/>
      <c r="F82" s="44"/>
      <c r="G82" s="44"/>
    </row>
    <row r="83" spans="2:7">
      <c r="B83" s="43"/>
      <c r="C83" s="44"/>
      <c r="D83" s="44"/>
      <c r="E83" s="44"/>
      <c r="F83" s="44"/>
      <c r="G83" s="44"/>
    </row>
    <row r="84" spans="2:7">
      <c r="B84" s="43"/>
      <c r="C84" s="44"/>
      <c r="D84" s="44"/>
      <c r="E84" s="44"/>
      <c r="F84" s="44"/>
      <c r="G84" s="44"/>
    </row>
    <row r="85" spans="2:7">
      <c r="B85" s="43"/>
      <c r="C85" s="44"/>
      <c r="D85" s="44"/>
      <c r="E85" s="44"/>
      <c r="F85" s="44"/>
      <c r="G85" s="44"/>
    </row>
    <row r="86" spans="2:7">
      <c r="B86" s="43"/>
      <c r="C86" s="44"/>
      <c r="D86" s="44"/>
      <c r="E86" s="44"/>
      <c r="F86" s="44"/>
      <c r="G86" s="44"/>
    </row>
    <row r="87" spans="2:7">
      <c r="B87" s="43"/>
      <c r="C87" s="44"/>
      <c r="D87" s="44"/>
      <c r="E87" s="44"/>
      <c r="F87" s="44"/>
      <c r="G87" s="44"/>
    </row>
    <row r="88" spans="2:7">
      <c r="B88" s="43"/>
      <c r="C88" s="43"/>
      <c r="D88" s="43"/>
      <c r="E88" s="43"/>
      <c r="F88" s="43"/>
      <c r="G88" s="43"/>
    </row>
    <row r="89" spans="2:7">
      <c r="B89" s="43"/>
      <c r="C89" s="43"/>
      <c r="D89" s="43"/>
      <c r="E89" s="43"/>
      <c r="F89" s="43"/>
      <c r="G89" s="43"/>
    </row>
    <row r="90" spans="2:7">
      <c r="B90" s="43"/>
      <c r="C90" s="43"/>
      <c r="D90" s="43"/>
      <c r="E90" s="43"/>
      <c r="F90" s="43"/>
      <c r="G90" s="43"/>
    </row>
    <row r="91" spans="2:7">
      <c r="B91" s="43"/>
      <c r="C91" s="43"/>
      <c r="D91" s="43"/>
      <c r="E91" s="43"/>
      <c r="F91" s="43"/>
      <c r="G91" s="43"/>
    </row>
    <row r="92" spans="2:7">
      <c r="B92" s="43"/>
      <c r="C92" s="43"/>
      <c r="D92" s="43"/>
      <c r="E92" s="43"/>
      <c r="F92" s="43"/>
      <c r="G92" s="43"/>
    </row>
    <row r="93" spans="2:7">
      <c r="B93" s="43"/>
      <c r="C93" s="43"/>
      <c r="D93" s="43"/>
      <c r="E93" s="43"/>
      <c r="F93" s="43"/>
      <c r="G93" s="43"/>
    </row>
    <row r="94" spans="2:7">
      <c r="B94" s="43"/>
      <c r="C94" s="43"/>
      <c r="D94" s="43"/>
      <c r="E94" s="43"/>
      <c r="F94" s="43"/>
      <c r="G94" s="43"/>
    </row>
    <row r="95" spans="2:7">
      <c r="B95" s="43"/>
      <c r="C95" s="43"/>
      <c r="D95" s="43"/>
      <c r="E95" s="43"/>
      <c r="F95" s="43"/>
      <c r="G95" s="43"/>
    </row>
    <row r="96" spans="2:7">
      <c r="B96" s="43"/>
      <c r="C96" s="43"/>
      <c r="D96" s="43"/>
      <c r="E96" s="43"/>
      <c r="F96" s="43"/>
      <c r="G96" s="43"/>
    </row>
    <row r="97" spans="2:7">
      <c r="B97" s="43"/>
      <c r="C97" s="43"/>
      <c r="D97" s="43"/>
      <c r="E97" s="43"/>
      <c r="F97" s="43"/>
      <c r="G97" s="43"/>
    </row>
    <row r="98" spans="2:7">
      <c r="B98" s="43"/>
      <c r="C98" s="43"/>
      <c r="D98" s="43"/>
      <c r="E98" s="43"/>
      <c r="F98" s="43"/>
      <c r="G98" s="43"/>
    </row>
    <row r="99" spans="2:7">
      <c r="B99" s="43"/>
      <c r="C99" s="43"/>
      <c r="D99" s="43"/>
      <c r="E99" s="43"/>
      <c r="F99" s="43"/>
      <c r="G99" s="43"/>
    </row>
    <row r="100" spans="2:7">
      <c r="B100" s="43"/>
      <c r="C100" s="43"/>
      <c r="D100" s="43"/>
      <c r="E100" s="43"/>
      <c r="F100" s="43"/>
      <c r="G100" s="43"/>
    </row>
  </sheetData>
  <mergeCells count="16">
    <mergeCell ref="A6:B6"/>
    <mergeCell ref="A7:B7"/>
    <mergeCell ref="E7:F7"/>
    <mergeCell ref="A8:G8"/>
    <mergeCell ref="A9:A11"/>
    <mergeCell ref="B9:B11"/>
    <mergeCell ref="C9:C11"/>
    <mergeCell ref="D9:D11"/>
    <mergeCell ref="E9:E11"/>
    <mergeCell ref="F9:F11"/>
    <mergeCell ref="G9:G11"/>
    <mergeCell ref="A4:B4"/>
    <mergeCell ref="A1:B1"/>
    <mergeCell ref="A2:B2"/>
    <mergeCell ref="A3:B3"/>
    <mergeCell ref="A5:B5"/>
  </mergeCells>
  <pageMargins left="0.39370078740157483" right="0.39370078740157483" top="0.78740157480314965" bottom="0.39370078740157483" header="0.31496062992125984" footer="0.31496062992125984"/>
  <pageSetup paperSize="9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81"/>
  <sheetViews>
    <sheetView view="pageBreakPreview" topLeftCell="A10" zoomScaleNormal="60" zoomScaleSheetLayoutView="100" workbookViewId="0">
      <selection activeCell="G16" sqref="G16"/>
    </sheetView>
  </sheetViews>
  <sheetFormatPr defaultRowHeight="12.75"/>
  <cols>
    <col min="1" max="1" width="6.5703125" style="212" customWidth="1"/>
    <col min="2" max="2" width="12.42578125" style="218" customWidth="1"/>
    <col min="3" max="3" width="45.85546875" style="212" bestFit="1" customWidth="1"/>
    <col min="4" max="12" width="10" style="212" customWidth="1"/>
    <col min="13" max="13" width="12.42578125" style="217" customWidth="1"/>
    <col min="14" max="14" width="8.7109375" style="207" bestFit="1" customWidth="1"/>
    <col min="15" max="15" width="20.7109375" style="207" customWidth="1"/>
    <col min="16" max="16384" width="9.140625" style="207"/>
  </cols>
  <sheetData>
    <row r="1" spans="1:14">
      <c r="A1" s="297" t="s">
        <v>309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4">
      <c r="A2" s="87"/>
      <c r="B2" s="13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4" s="208" customFormat="1" ht="27" customHeight="1">
      <c r="A3" s="296" t="s">
        <v>336</v>
      </c>
      <c r="B3" s="295" t="s">
        <v>337</v>
      </c>
      <c r="C3" s="295" t="s">
        <v>338</v>
      </c>
      <c r="D3" s="295" t="s">
        <v>339</v>
      </c>
      <c r="E3" s="296" t="s">
        <v>340</v>
      </c>
      <c r="F3" s="296"/>
      <c r="G3" s="295" t="s">
        <v>341</v>
      </c>
      <c r="H3" s="295"/>
      <c r="I3" s="295" t="s">
        <v>6</v>
      </c>
      <c r="J3" s="295"/>
      <c r="K3" s="296" t="s">
        <v>342</v>
      </c>
      <c r="L3" s="296"/>
      <c r="M3" s="296" t="s">
        <v>4</v>
      </c>
    </row>
    <row r="4" spans="1:14" s="208" customFormat="1">
      <c r="A4" s="296"/>
      <c r="B4" s="295"/>
      <c r="C4" s="295"/>
      <c r="D4" s="295"/>
      <c r="E4" s="137" t="s">
        <v>343</v>
      </c>
      <c r="F4" s="137" t="s">
        <v>243</v>
      </c>
      <c r="G4" s="137" t="s">
        <v>343</v>
      </c>
      <c r="H4" s="137" t="s">
        <v>243</v>
      </c>
      <c r="I4" s="137" t="s">
        <v>343</v>
      </c>
      <c r="J4" s="137" t="s">
        <v>243</v>
      </c>
      <c r="K4" s="137" t="s">
        <v>343</v>
      </c>
      <c r="L4" s="137" t="s">
        <v>243</v>
      </c>
      <c r="M4" s="296"/>
    </row>
    <row r="5" spans="1:14" s="208" customFormat="1">
      <c r="A5" s="137">
        <v>1</v>
      </c>
      <c r="B5" s="137">
        <v>2</v>
      </c>
      <c r="C5" s="136">
        <v>3</v>
      </c>
      <c r="D5" s="137">
        <v>4</v>
      </c>
      <c r="E5" s="137">
        <v>5</v>
      </c>
      <c r="F5" s="137">
        <v>6</v>
      </c>
      <c r="G5" s="137">
        <v>7</v>
      </c>
      <c r="H5" s="77">
        <v>8</v>
      </c>
      <c r="I5" s="137">
        <v>9</v>
      </c>
      <c r="J5" s="77">
        <v>10</v>
      </c>
      <c r="K5" s="137">
        <v>11</v>
      </c>
      <c r="L5" s="77">
        <v>12</v>
      </c>
      <c r="M5" s="77">
        <v>13</v>
      </c>
    </row>
    <row r="6" spans="1:14" s="208" customFormat="1">
      <c r="A6" s="134"/>
      <c r="B6" s="134"/>
      <c r="C6" s="134"/>
      <c r="D6" s="134"/>
      <c r="E6" s="47"/>
      <c r="F6" s="47"/>
      <c r="G6" s="47"/>
      <c r="H6" s="47"/>
      <c r="I6" s="47"/>
      <c r="J6" s="47"/>
      <c r="K6" s="47"/>
      <c r="L6" s="47"/>
      <c r="M6" s="47"/>
    </row>
    <row r="7" spans="1:14" s="208" customFormat="1">
      <c r="A7" s="134"/>
      <c r="B7" s="198"/>
      <c r="C7" s="134" t="s">
        <v>319</v>
      </c>
      <c r="D7" s="198"/>
      <c r="E7" s="204"/>
      <c r="F7" s="204"/>
      <c r="G7" s="204"/>
      <c r="H7" s="204"/>
      <c r="I7" s="204"/>
      <c r="J7" s="204"/>
      <c r="K7" s="204"/>
      <c r="L7" s="204"/>
      <c r="M7" s="204"/>
    </row>
    <row r="8" spans="1:14" s="208" customFormat="1">
      <c r="A8" s="134"/>
      <c r="B8" s="198"/>
      <c r="C8" s="134"/>
      <c r="D8" s="198"/>
      <c r="E8" s="204"/>
      <c r="F8" s="204"/>
      <c r="G8" s="204"/>
      <c r="H8" s="204"/>
      <c r="I8" s="204"/>
      <c r="J8" s="204"/>
      <c r="K8" s="204"/>
      <c r="L8" s="204"/>
      <c r="M8" s="204"/>
    </row>
    <row r="9" spans="1:14">
      <c r="A9" s="198">
        <v>1.1000000000000001</v>
      </c>
      <c r="B9" s="201" t="s">
        <v>471</v>
      </c>
      <c r="C9" s="209" t="s">
        <v>319</v>
      </c>
      <c r="D9" s="198" t="s">
        <v>349</v>
      </c>
      <c r="E9" s="204"/>
      <c r="F9" s="204">
        <v>36</v>
      </c>
      <c r="G9" s="204"/>
      <c r="H9" s="204"/>
      <c r="I9" s="204"/>
      <c r="J9" s="204"/>
      <c r="K9" s="204"/>
      <c r="L9" s="204"/>
      <c r="M9" s="204"/>
      <c r="N9" s="211"/>
    </row>
    <row r="10" spans="1:14">
      <c r="A10" s="226"/>
      <c r="B10" s="206"/>
      <c r="C10" s="230"/>
      <c r="D10" s="198" t="s">
        <v>362</v>
      </c>
      <c r="E10" s="204"/>
      <c r="F10" s="220">
        <f>F9/100</f>
        <v>0.36</v>
      </c>
      <c r="G10" s="204"/>
      <c r="H10" s="204"/>
      <c r="I10" s="204"/>
      <c r="J10" s="204"/>
      <c r="K10" s="204"/>
      <c r="L10" s="204"/>
      <c r="M10" s="204"/>
      <c r="N10" s="211"/>
    </row>
    <row r="11" spans="1:14">
      <c r="A11" s="198" t="s">
        <v>0</v>
      </c>
      <c r="B11" s="196"/>
      <c r="C11" s="209" t="s">
        <v>40</v>
      </c>
      <c r="D11" s="198" t="s">
        <v>1</v>
      </c>
      <c r="E11" s="224">
        <v>342</v>
      </c>
      <c r="F11" s="204">
        <f>E11*F10</f>
        <v>123.11999999999999</v>
      </c>
      <c r="G11" s="204"/>
      <c r="H11" s="204"/>
      <c r="I11" s="204"/>
      <c r="J11" s="204"/>
      <c r="K11" s="204"/>
      <c r="L11" s="204"/>
      <c r="M11" s="204"/>
    </row>
    <row r="12" spans="1:14">
      <c r="A12" s="198" t="s">
        <v>186</v>
      </c>
      <c r="B12" s="196"/>
      <c r="C12" s="233" t="s">
        <v>473</v>
      </c>
      <c r="D12" s="198" t="s">
        <v>25</v>
      </c>
      <c r="E12" s="224">
        <v>79</v>
      </c>
      <c r="F12" s="204">
        <f>E12*F10</f>
        <v>28.439999999999998</v>
      </c>
      <c r="G12" s="204"/>
      <c r="H12" s="204"/>
      <c r="I12" s="204"/>
      <c r="J12" s="204"/>
      <c r="K12" s="204"/>
      <c r="L12" s="204"/>
      <c r="M12" s="204"/>
    </row>
    <row r="13" spans="1:14">
      <c r="A13" s="198" t="s">
        <v>187</v>
      </c>
      <c r="B13" s="132" t="s">
        <v>380</v>
      </c>
      <c r="C13" s="209" t="s">
        <v>172</v>
      </c>
      <c r="D13" s="198" t="s">
        <v>349</v>
      </c>
      <c r="E13" s="224">
        <v>101.5</v>
      </c>
      <c r="F13" s="204">
        <f>E13*F10</f>
        <v>36.54</v>
      </c>
      <c r="G13" s="224"/>
      <c r="H13" s="204"/>
      <c r="I13" s="204"/>
      <c r="J13" s="204"/>
      <c r="K13" s="204"/>
      <c r="L13" s="204"/>
      <c r="M13" s="204"/>
    </row>
    <row r="14" spans="1:14">
      <c r="A14" s="198" t="s">
        <v>192</v>
      </c>
      <c r="B14" s="132" t="s">
        <v>379</v>
      </c>
      <c r="C14" s="202" t="s">
        <v>472</v>
      </c>
      <c r="D14" s="198" t="s">
        <v>23</v>
      </c>
      <c r="E14" s="104" t="s">
        <v>407</v>
      </c>
      <c r="F14" s="242">
        <v>0.8266</v>
      </c>
      <c r="G14" s="224"/>
      <c r="H14" s="204"/>
      <c r="I14" s="204"/>
      <c r="J14" s="204"/>
      <c r="K14" s="104"/>
      <c r="L14" s="204"/>
      <c r="M14" s="204"/>
    </row>
    <row r="15" spans="1:14">
      <c r="A15" s="198" t="s">
        <v>265</v>
      </c>
      <c r="B15" s="132" t="s">
        <v>382</v>
      </c>
      <c r="C15" s="223" t="s">
        <v>458</v>
      </c>
      <c r="D15" s="198" t="s">
        <v>349</v>
      </c>
      <c r="E15" s="224">
        <f>0.07+0.83</f>
        <v>0.89999999999999991</v>
      </c>
      <c r="F15" s="204">
        <f>E15*F10</f>
        <v>0.32399999999999995</v>
      </c>
      <c r="G15" s="224"/>
      <c r="H15" s="204"/>
      <c r="I15" s="204"/>
      <c r="J15" s="204"/>
      <c r="K15" s="204"/>
      <c r="L15" s="204"/>
      <c r="M15" s="204"/>
    </row>
    <row r="16" spans="1:14">
      <c r="A16" s="198" t="s">
        <v>266</v>
      </c>
      <c r="B16" s="196"/>
      <c r="C16" s="209" t="s">
        <v>99</v>
      </c>
      <c r="D16" s="198" t="s">
        <v>25</v>
      </c>
      <c r="E16" s="224">
        <v>11</v>
      </c>
      <c r="F16" s="204">
        <f>E16*F10</f>
        <v>3.96</v>
      </c>
      <c r="G16" s="204"/>
      <c r="H16" s="204"/>
      <c r="I16" s="204"/>
      <c r="J16" s="204"/>
      <c r="K16" s="204"/>
      <c r="L16" s="204"/>
      <c r="M16" s="204"/>
    </row>
    <row r="17" spans="1:13">
      <c r="A17" s="198" t="s">
        <v>329</v>
      </c>
      <c r="B17" s="132" t="s">
        <v>378</v>
      </c>
      <c r="C17" s="133" t="s">
        <v>377</v>
      </c>
      <c r="D17" s="118" t="s">
        <v>359</v>
      </c>
      <c r="E17" s="126">
        <v>39.700000000000003</v>
      </c>
      <c r="F17" s="126">
        <f>E17*F10</f>
        <v>14.292</v>
      </c>
      <c r="G17" s="126"/>
      <c r="H17" s="126"/>
      <c r="I17" s="126"/>
      <c r="J17" s="126"/>
      <c r="K17" s="126"/>
      <c r="L17" s="126"/>
      <c r="M17" s="126"/>
    </row>
    <row r="18" spans="1:13">
      <c r="A18" s="198" t="s">
        <v>474</v>
      </c>
      <c r="B18" s="132" t="s">
        <v>387</v>
      </c>
      <c r="C18" s="133" t="s">
        <v>389</v>
      </c>
      <c r="D18" s="118" t="s">
        <v>327</v>
      </c>
      <c r="E18" s="126">
        <v>40</v>
      </c>
      <c r="F18" s="126">
        <f>E18*F10</f>
        <v>14.399999999999999</v>
      </c>
      <c r="G18" s="126"/>
      <c r="H18" s="126"/>
      <c r="I18" s="126"/>
      <c r="J18" s="126"/>
      <c r="K18" s="126"/>
      <c r="L18" s="126"/>
      <c r="M18" s="126"/>
    </row>
    <row r="19" spans="1:13">
      <c r="A19" s="198" t="s">
        <v>475</v>
      </c>
      <c r="B19" s="132" t="s">
        <v>388</v>
      </c>
      <c r="C19" s="133" t="s">
        <v>390</v>
      </c>
      <c r="D19" s="118" t="s">
        <v>327</v>
      </c>
      <c r="E19" s="126">
        <v>50</v>
      </c>
      <c r="F19" s="126">
        <f>E19*F10</f>
        <v>18</v>
      </c>
      <c r="G19" s="126"/>
      <c r="H19" s="126"/>
      <c r="I19" s="126"/>
      <c r="J19" s="126"/>
      <c r="K19" s="126"/>
      <c r="L19" s="126"/>
      <c r="M19" s="126"/>
    </row>
    <row r="20" spans="1:13">
      <c r="A20" s="198"/>
      <c r="B20" s="196"/>
      <c r="C20" s="198"/>
      <c r="D20" s="198"/>
      <c r="E20" s="204"/>
      <c r="F20" s="204"/>
      <c r="G20" s="204"/>
      <c r="H20" s="204"/>
      <c r="I20" s="204"/>
      <c r="J20" s="204"/>
      <c r="K20" s="204"/>
      <c r="L20" s="204"/>
      <c r="M20" s="204"/>
    </row>
    <row r="21" spans="1:13" s="86" customFormat="1">
      <c r="A21" s="134"/>
      <c r="B21" s="85"/>
      <c r="C21" s="134" t="s">
        <v>4</v>
      </c>
      <c r="D21" s="134"/>
      <c r="E21" s="47"/>
      <c r="F21" s="47"/>
      <c r="G21" s="47"/>
      <c r="H21" s="47"/>
      <c r="I21" s="47"/>
      <c r="J21" s="47"/>
      <c r="K21" s="47"/>
      <c r="L21" s="47"/>
      <c r="M21" s="47"/>
    </row>
    <row r="22" spans="1:13" s="205" customFormat="1">
      <c r="A22" s="134"/>
      <c r="B22" s="196"/>
      <c r="C22" s="143"/>
      <c r="D22" s="143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1:13" s="205" customFormat="1">
      <c r="A23" s="42"/>
      <c r="B23" s="196"/>
      <c r="C23" s="143" t="s">
        <v>10</v>
      </c>
      <c r="D23" s="164">
        <v>0.1</v>
      </c>
      <c r="E23" s="149"/>
      <c r="F23" s="149"/>
      <c r="G23" s="149"/>
      <c r="H23" s="149"/>
      <c r="I23" s="149"/>
      <c r="J23" s="149"/>
      <c r="K23" s="149"/>
      <c r="L23" s="149"/>
      <c r="M23" s="149"/>
    </row>
    <row r="24" spans="1:13" s="205" customFormat="1">
      <c r="A24" s="42"/>
      <c r="B24" s="196"/>
      <c r="C24" s="143" t="s">
        <v>4</v>
      </c>
      <c r="D24" s="164"/>
      <c r="E24" s="149"/>
      <c r="F24" s="149"/>
      <c r="G24" s="149"/>
      <c r="H24" s="149"/>
      <c r="I24" s="149"/>
      <c r="J24" s="149"/>
      <c r="K24" s="149"/>
      <c r="L24" s="149"/>
      <c r="M24" s="149"/>
    </row>
    <row r="25" spans="1:13" s="205" customFormat="1">
      <c r="A25" s="42"/>
      <c r="B25" s="196"/>
      <c r="C25" s="143" t="s">
        <v>11</v>
      </c>
      <c r="D25" s="164">
        <v>0.08</v>
      </c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s="205" customFormat="1">
      <c r="A26" s="42"/>
      <c r="B26" s="196"/>
      <c r="C26" s="143"/>
      <c r="D26" s="164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3" s="205" customFormat="1">
      <c r="A27" s="42"/>
      <c r="B27" s="196"/>
      <c r="C27" s="134" t="s">
        <v>4</v>
      </c>
      <c r="D27" s="134"/>
      <c r="E27" s="47"/>
      <c r="F27" s="47"/>
      <c r="G27" s="47"/>
      <c r="H27" s="47"/>
      <c r="I27" s="47"/>
      <c r="J27" s="47"/>
      <c r="K27" s="47"/>
      <c r="L27" s="47"/>
      <c r="M27" s="47"/>
    </row>
    <row r="28" spans="1:13">
      <c r="B28" s="214"/>
      <c r="C28" s="213"/>
      <c r="D28" s="214"/>
      <c r="E28" s="214"/>
      <c r="F28" s="214"/>
      <c r="G28" s="214"/>
      <c r="H28" s="214"/>
      <c r="I28" s="214"/>
      <c r="J28" s="214"/>
      <c r="K28" s="214"/>
      <c r="L28" s="214"/>
      <c r="M28" s="215"/>
    </row>
    <row r="29" spans="1:13">
      <c r="B29" s="214"/>
      <c r="C29" s="213"/>
      <c r="D29" s="214"/>
      <c r="E29" s="214"/>
      <c r="F29" s="214"/>
      <c r="G29" s="214"/>
      <c r="H29" s="214"/>
      <c r="I29" s="214"/>
      <c r="J29" s="214"/>
      <c r="K29" s="214"/>
      <c r="L29" s="214"/>
      <c r="M29" s="215"/>
    </row>
    <row r="30" spans="1:13">
      <c r="B30" s="214"/>
      <c r="C30" s="213"/>
      <c r="D30" s="214"/>
      <c r="E30" s="214"/>
      <c r="F30" s="214"/>
      <c r="G30" s="214"/>
      <c r="H30" s="214"/>
      <c r="I30" s="214"/>
      <c r="J30" s="214"/>
      <c r="K30" s="214"/>
      <c r="L30" s="214"/>
      <c r="M30" s="215"/>
    </row>
    <row r="31" spans="1:13">
      <c r="B31" s="214"/>
      <c r="C31" s="213"/>
      <c r="D31" s="214"/>
      <c r="E31" s="214"/>
      <c r="F31" s="214"/>
      <c r="G31" s="214"/>
      <c r="H31" s="214"/>
      <c r="I31" s="214"/>
      <c r="J31" s="214"/>
      <c r="K31" s="214"/>
      <c r="L31" s="214"/>
      <c r="M31" s="215"/>
    </row>
    <row r="32" spans="1:13">
      <c r="B32" s="214"/>
      <c r="C32" s="213"/>
      <c r="D32" s="214"/>
      <c r="E32" s="214"/>
      <c r="F32" s="214"/>
      <c r="G32" s="214"/>
      <c r="H32" s="214"/>
      <c r="I32" s="214"/>
      <c r="J32" s="214"/>
      <c r="K32" s="214"/>
      <c r="L32" s="214"/>
      <c r="M32" s="215"/>
    </row>
    <row r="33" spans="2:13">
      <c r="B33" s="214"/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5"/>
    </row>
    <row r="34" spans="2:13">
      <c r="B34" s="214"/>
      <c r="C34" s="213"/>
      <c r="D34" s="214"/>
      <c r="E34" s="214"/>
      <c r="F34" s="214"/>
      <c r="G34" s="214"/>
      <c r="H34" s="214"/>
      <c r="I34" s="214"/>
      <c r="J34" s="214"/>
      <c r="K34" s="214"/>
      <c r="L34" s="214"/>
      <c r="M34" s="215"/>
    </row>
    <row r="35" spans="2:13">
      <c r="B35" s="214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5"/>
    </row>
    <row r="36" spans="2:13">
      <c r="B36" s="214"/>
      <c r="C36" s="213"/>
      <c r="D36" s="214"/>
      <c r="E36" s="214"/>
      <c r="F36" s="214"/>
      <c r="G36" s="214"/>
      <c r="H36" s="214"/>
      <c r="I36" s="214"/>
      <c r="J36" s="214"/>
      <c r="K36" s="214"/>
      <c r="L36" s="214"/>
      <c r="M36" s="215"/>
    </row>
    <row r="37" spans="2:13">
      <c r="B37" s="214"/>
      <c r="C37" s="213"/>
      <c r="D37" s="214"/>
      <c r="E37" s="214"/>
      <c r="F37" s="214"/>
      <c r="G37" s="214"/>
      <c r="H37" s="214"/>
      <c r="I37" s="214"/>
      <c r="J37" s="214"/>
      <c r="K37" s="214"/>
      <c r="L37" s="214"/>
      <c r="M37" s="215"/>
    </row>
    <row r="38" spans="2:13">
      <c r="B38" s="214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5"/>
    </row>
    <row r="39" spans="2:13">
      <c r="B39" s="214"/>
      <c r="C39" s="213"/>
      <c r="D39" s="214"/>
      <c r="E39" s="214"/>
      <c r="F39" s="214"/>
      <c r="G39" s="214"/>
      <c r="H39" s="214"/>
      <c r="I39" s="214"/>
      <c r="J39" s="214"/>
      <c r="K39" s="214"/>
      <c r="L39" s="214"/>
      <c r="M39" s="215"/>
    </row>
    <row r="40" spans="2:13">
      <c r="B40" s="214"/>
      <c r="C40" s="213"/>
      <c r="D40" s="214"/>
      <c r="E40" s="214"/>
      <c r="F40" s="214"/>
      <c r="G40" s="214"/>
      <c r="H40" s="214"/>
      <c r="I40" s="214"/>
      <c r="J40" s="214"/>
      <c r="K40" s="214"/>
      <c r="L40" s="214"/>
      <c r="M40" s="215"/>
    </row>
    <row r="41" spans="2:13">
      <c r="B41" s="214"/>
      <c r="C41" s="213"/>
      <c r="D41" s="214"/>
      <c r="E41" s="214"/>
      <c r="F41" s="214"/>
      <c r="G41" s="214"/>
      <c r="H41" s="214"/>
      <c r="I41" s="214"/>
      <c r="J41" s="214"/>
      <c r="K41" s="214"/>
      <c r="L41" s="214"/>
      <c r="M41" s="215"/>
    </row>
    <row r="42" spans="2:13">
      <c r="B42" s="214"/>
      <c r="C42" s="213"/>
      <c r="D42" s="214"/>
      <c r="E42" s="214"/>
      <c r="F42" s="214"/>
      <c r="G42" s="214"/>
      <c r="H42" s="214"/>
      <c r="I42" s="214"/>
      <c r="J42" s="214"/>
      <c r="K42" s="214"/>
      <c r="L42" s="214"/>
      <c r="M42" s="215"/>
    </row>
    <row r="43" spans="2:13">
      <c r="B43" s="214"/>
      <c r="C43" s="213"/>
      <c r="D43" s="214"/>
      <c r="E43" s="214"/>
      <c r="F43" s="214"/>
      <c r="G43" s="214"/>
      <c r="H43" s="214"/>
      <c r="I43" s="214"/>
      <c r="J43" s="214"/>
      <c r="K43" s="214"/>
      <c r="L43" s="214"/>
      <c r="M43" s="215"/>
    </row>
    <row r="44" spans="2:13">
      <c r="B44" s="214"/>
      <c r="C44" s="213"/>
      <c r="D44" s="214"/>
      <c r="E44" s="214"/>
      <c r="F44" s="214"/>
      <c r="G44" s="214"/>
      <c r="H44" s="214"/>
      <c r="I44" s="214"/>
      <c r="J44" s="214"/>
      <c r="K44" s="214"/>
      <c r="L44" s="214"/>
      <c r="M44" s="215"/>
    </row>
    <row r="45" spans="2:13">
      <c r="B45" s="214"/>
      <c r="C45" s="213"/>
      <c r="D45" s="214"/>
      <c r="E45" s="214"/>
      <c r="F45" s="214"/>
      <c r="G45" s="214"/>
      <c r="H45" s="214"/>
      <c r="I45" s="214"/>
      <c r="J45" s="214"/>
      <c r="K45" s="214"/>
      <c r="L45" s="214"/>
      <c r="M45" s="215"/>
    </row>
    <row r="46" spans="2:13">
      <c r="B46" s="214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15"/>
    </row>
    <row r="47" spans="2:13">
      <c r="B47" s="214"/>
      <c r="C47" s="213"/>
      <c r="D47" s="214"/>
      <c r="E47" s="214"/>
      <c r="F47" s="214"/>
      <c r="G47" s="214"/>
      <c r="H47" s="214"/>
      <c r="I47" s="214"/>
      <c r="J47" s="214"/>
      <c r="K47" s="214"/>
      <c r="L47" s="214"/>
      <c r="M47" s="215"/>
    </row>
    <row r="48" spans="2:13">
      <c r="B48" s="214"/>
      <c r="C48" s="213"/>
      <c r="D48" s="214"/>
      <c r="E48" s="214"/>
      <c r="F48" s="214"/>
      <c r="G48" s="214"/>
      <c r="H48" s="214"/>
      <c r="I48" s="214"/>
      <c r="J48" s="214"/>
      <c r="K48" s="214"/>
      <c r="L48" s="214"/>
      <c r="M48" s="215"/>
    </row>
    <row r="49" spans="2:13">
      <c r="B49" s="214"/>
      <c r="C49" s="213"/>
      <c r="D49" s="214"/>
      <c r="E49" s="214"/>
      <c r="F49" s="214"/>
      <c r="G49" s="214"/>
      <c r="H49" s="214"/>
      <c r="I49" s="214"/>
      <c r="J49" s="214"/>
      <c r="K49" s="214"/>
      <c r="L49" s="214"/>
      <c r="M49" s="215"/>
    </row>
    <row r="50" spans="2:13">
      <c r="B50" s="214"/>
      <c r="C50" s="213"/>
      <c r="D50" s="214"/>
      <c r="E50" s="214"/>
      <c r="F50" s="214"/>
      <c r="G50" s="214"/>
      <c r="H50" s="214"/>
      <c r="I50" s="214"/>
      <c r="J50" s="214"/>
      <c r="K50" s="214"/>
      <c r="L50" s="214"/>
      <c r="M50" s="215"/>
    </row>
    <row r="51" spans="2:13">
      <c r="B51" s="214"/>
      <c r="C51" s="213"/>
      <c r="D51" s="214"/>
      <c r="E51" s="214"/>
      <c r="F51" s="214"/>
      <c r="G51" s="214"/>
      <c r="H51" s="214"/>
      <c r="I51" s="214"/>
      <c r="J51" s="214"/>
      <c r="K51" s="214"/>
      <c r="L51" s="214"/>
      <c r="M51" s="215"/>
    </row>
    <row r="52" spans="2:13">
      <c r="B52" s="214"/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5"/>
    </row>
    <row r="53" spans="2:13">
      <c r="B53" s="214"/>
      <c r="C53" s="213"/>
      <c r="D53" s="214"/>
      <c r="E53" s="214"/>
      <c r="F53" s="214"/>
      <c r="G53" s="214"/>
      <c r="H53" s="214"/>
      <c r="I53" s="214"/>
      <c r="J53" s="214"/>
      <c r="K53" s="214"/>
      <c r="L53" s="214"/>
      <c r="M53" s="215"/>
    </row>
    <row r="54" spans="2:13">
      <c r="B54" s="214"/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5"/>
    </row>
    <row r="55" spans="2:13">
      <c r="B55" s="214"/>
      <c r="C55" s="213"/>
      <c r="D55" s="214"/>
      <c r="E55" s="214"/>
      <c r="F55" s="214"/>
      <c r="G55" s="214"/>
      <c r="H55" s="214"/>
      <c r="I55" s="214"/>
      <c r="J55" s="214"/>
      <c r="K55" s="214"/>
      <c r="L55" s="214"/>
      <c r="M55" s="215"/>
    </row>
    <row r="56" spans="2:13">
      <c r="B56" s="214"/>
      <c r="C56" s="213"/>
      <c r="D56" s="214"/>
      <c r="E56" s="214"/>
      <c r="F56" s="214"/>
      <c r="G56" s="214"/>
      <c r="H56" s="214"/>
      <c r="I56" s="214"/>
      <c r="J56" s="214"/>
      <c r="K56" s="214"/>
      <c r="L56" s="214"/>
      <c r="M56" s="215"/>
    </row>
    <row r="57" spans="2:13">
      <c r="B57" s="214"/>
      <c r="C57" s="213"/>
      <c r="D57" s="214"/>
      <c r="E57" s="214"/>
      <c r="F57" s="214"/>
      <c r="G57" s="214"/>
      <c r="H57" s="214"/>
      <c r="I57" s="214"/>
      <c r="J57" s="214"/>
      <c r="K57" s="214"/>
      <c r="L57" s="214"/>
      <c r="M57" s="215"/>
    </row>
    <row r="58" spans="2:13">
      <c r="B58" s="214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5"/>
    </row>
    <row r="59" spans="2:13">
      <c r="B59" s="214"/>
      <c r="C59" s="213"/>
      <c r="D59" s="214"/>
      <c r="E59" s="214"/>
      <c r="F59" s="214"/>
      <c r="G59" s="214"/>
      <c r="H59" s="214"/>
      <c r="I59" s="214"/>
      <c r="J59" s="214"/>
      <c r="K59" s="214"/>
      <c r="L59" s="214"/>
      <c r="M59" s="215"/>
    </row>
    <row r="60" spans="2:13">
      <c r="B60" s="214"/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5"/>
    </row>
    <row r="61" spans="2:13">
      <c r="B61" s="214"/>
      <c r="C61" s="213"/>
      <c r="D61" s="214"/>
      <c r="E61" s="214"/>
      <c r="F61" s="214"/>
      <c r="G61" s="214"/>
      <c r="H61" s="214"/>
      <c r="I61" s="214"/>
      <c r="J61" s="214"/>
      <c r="K61" s="214"/>
      <c r="L61" s="214"/>
      <c r="M61" s="215"/>
    </row>
    <row r="62" spans="2:13">
      <c r="B62" s="214"/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5"/>
    </row>
    <row r="63" spans="2:13">
      <c r="B63" s="214"/>
      <c r="C63" s="213"/>
      <c r="D63" s="214"/>
      <c r="E63" s="214"/>
      <c r="F63" s="214"/>
      <c r="G63" s="214"/>
      <c r="H63" s="214"/>
      <c r="I63" s="214"/>
      <c r="J63" s="214"/>
      <c r="K63" s="214"/>
      <c r="L63" s="214"/>
      <c r="M63" s="215"/>
    </row>
    <row r="64" spans="2:13">
      <c r="B64" s="214"/>
      <c r="C64" s="213"/>
      <c r="D64" s="214"/>
      <c r="E64" s="214"/>
      <c r="F64" s="214"/>
      <c r="G64" s="214"/>
      <c r="H64" s="214"/>
      <c r="I64" s="214"/>
      <c r="J64" s="214"/>
      <c r="K64" s="214"/>
      <c r="L64" s="214"/>
      <c r="M64" s="215"/>
    </row>
    <row r="65" spans="2:13">
      <c r="B65" s="214"/>
      <c r="C65" s="213"/>
      <c r="D65" s="214"/>
      <c r="E65" s="214"/>
      <c r="F65" s="214"/>
      <c r="G65" s="214"/>
      <c r="H65" s="214"/>
      <c r="I65" s="214"/>
      <c r="J65" s="214"/>
      <c r="K65" s="214"/>
      <c r="L65" s="214"/>
      <c r="M65" s="215"/>
    </row>
    <row r="66" spans="2:13">
      <c r="B66" s="214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5"/>
    </row>
    <row r="67" spans="2:13">
      <c r="B67" s="214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5"/>
    </row>
    <row r="68" spans="2:13">
      <c r="B68" s="214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5"/>
    </row>
    <row r="69" spans="2:13">
      <c r="B69" s="214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6"/>
    </row>
    <row r="70" spans="2:13">
      <c r="B70" s="214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6"/>
    </row>
    <row r="71" spans="2:13">
      <c r="B71" s="214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6"/>
    </row>
    <row r="72" spans="2:13">
      <c r="B72" s="214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6"/>
    </row>
    <row r="73" spans="2:13">
      <c r="B73" s="214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6"/>
    </row>
    <row r="74" spans="2:13">
      <c r="B74" s="214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6"/>
    </row>
    <row r="75" spans="2:13">
      <c r="B75" s="214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6"/>
    </row>
    <row r="76" spans="2:13">
      <c r="B76" s="214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6"/>
    </row>
    <row r="77" spans="2:13">
      <c r="B77" s="214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6"/>
    </row>
    <row r="78" spans="2:13">
      <c r="B78" s="214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6"/>
    </row>
    <row r="79" spans="2:13">
      <c r="B79" s="214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6"/>
    </row>
    <row r="80" spans="2:13">
      <c r="B80" s="214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6"/>
    </row>
    <row r="81" spans="2:13">
      <c r="B81" s="214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6"/>
    </row>
  </sheetData>
  <mergeCells count="10">
    <mergeCell ref="I3:J3"/>
    <mergeCell ref="K3:L3"/>
    <mergeCell ref="A3:A4"/>
    <mergeCell ref="M3:M4"/>
    <mergeCell ref="A1:M1"/>
    <mergeCell ref="B3:B4"/>
    <mergeCell ref="C3:C4"/>
    <mergeCell ref="D3:D4"/>
    <mergeCell ref="E3:F3"/>
    <mergeCell ref="G3:H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3"/>
  <sheetViews>
    <sheetView view="pageBreakPreview" topLeftCell="A7" zoomScaleNormal="60" zoomScaleSheetLayoutView="100" workbookViewId="0">
      <selection activeCell="F23" sqref="F23"/>
    </sheetView>
  </sheetViews>
  <sheetFormatPr defaultRowHeight="12.75"/>
  <cols>
    <col min="1" max="1" width="6.42578125" style="218" bestFit="1" customWidth="1"/>
    <col min="2" max="2" width="16.28515625" style="212" customWidth="1"/>
    <col min="3" max="3" width="46.5703125" style="212" customWidth="1"/>
    <col min="4" max="12" width="9.7109375" style="212" customWidth="1"/>
    <col min="13" max="13" width="9.7109375" style="217" customWidth="1"/>
    <col min="14" max="14" width="20.7109375" style="207" customWidth="1"/>
    <col min="15" max="16384" width="9.140625" style="207"/>
  </cols>
  <sheetData>
    <row r="1" spans="1:13" s="243" customFormat="1">
      <c r="A1" s="297" t="s">
        <v>309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>
      <c r="A2" s="138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208" customFormat="1" ht="30" customHeight="1">
      <c r="A3" s="296" t="s">
        <v>336</v>
      </c>
      <c r="B3" s="295" t="s">
        <v>337</v>
      </c>
      <c r="C3" s="295" t="s">
        <v>338</v>
      </c>
      <c r="D3" s="295" t="s">
        <v>339</v>
      </c>
      <c r="E3" s="296" t="s">
        <v>340</v>
      </c>
      <c r="F3" s="296"/>
      <c r="G3" s="295" t="s">
        <v>341</v>
      </c>
      <c r="H3" s="295"/>
      <c r="I3" s="295" t="s">
        <v>6</v>
      </c>
      <c r="J3" s="295"/>
      <c r="K3" s="296" t="s">
        <v>342</v>
      </c>
      <c r="L3" s="296"/>
      <c r="M3" s="296" t="s">
        <v>4</v>
      </c>
    </row>
    <row r="4" spans="1:13" s="208" customFormat="1">
      <c r="A4" s="296"/>
      <c r="B4" s="295"/>
      <c r="C4" s="295"/>
      <c r="D4" s="295"/>
      <c r="E4" s="137" t="s">
        <v>343</v>
      </c>
      <c r="F4" s="137" t="s">
        <v>243</v>
      </c>
      <c r="G4" s="137" t="s">
        <v>343</v>
      </c>
      <c r="H4" s="137" t="s">
        <v>243</v>
      </c>
      <c r="I4" s="137" t="s">
        <v>343</v>
      </c>
      <c r="J4" s="137" t="s">
        <v>243</v>
      </c>
      <c r="K4" s="137" t="s">
        <v>343</v>
      </c>
      <c r="L4" s="137" t="s">
        <v>243</v>
      </c>
      <c r="M4" s="296"/>
    </row>
    <row r="5" spans="1:13" s="208" customFormat="1">
      <c r="A5" s="137">
        <v>1</v>
      </c>
      <c r="B5" s="137">
        <v>2</v>
      </c>
      <c r="C5" s="136">
        <v>3</v>
      </c>
      <c r="D5" s="137">
        <v>4</v>
      </c>
      <c r="E5" s="137">
        <v>5</v>
      </c>
      <c r="F5" s="137">
        <v>6</v>
      </c>
      <c r="G5" s="137">
        <v>7</v>
      </c>
      <c r="H5" s="77">
        <v>8</v>
      </c>
      <c r="I5" s="137">
        <v>9</v>
      </c>
      <c r="J5" s="77">
        <v>10</v>
      </c>
      <c r="K5" s="137">
        <v>11</v>
      </c>
      <c r="L5" s="77">
        <v>12</v>
      </c>
      <c r="M5" s="77">
        <v>13</v>
      </c>
    </row>
    <row r="6" spans="1:13" s="208" customFormat="1">
      <c r="A6" s="134"/>
      <c r="B6" s="134"/>
      <c r="C6" s="134"/>
      <c r="D6" s="134"/>
      <c r="E6" s="47"/>
      <c r="F6" s="47"/>
      <c r="G6" s="47"/>
      <c r="H6" s="47"/>
      <c r="I6" s="47"/>
      <c r="J6" s="47"/>
      <c r="K6" s="47"/>
      <c r="L6" s="47"/>
      <c r="M6" s="47"/>
    </row>
    <row r="7" spans="1:13" s="208" customFormat="1">
      <c r="A7" s="134"/>
      <c r="B7" s="198"/>
      <c r="C7" s="134" t="s">
        <v>325</v>
      </c>
      <c r="D7" s="198"/>
      <c r="E7" s="204"/>
      <c r="F7" s="204"/>
      <c r="G7" s="204"/>
      <c r="H7" s="204"/>
      <c r="I7" s="204"/>
      <c r="J7" s="204"/>
      <c r="K7" s="204"/>
      <c r="L7" s="204"/>
      <c r="M7" s="204"/>
    </row>
    <row r="8" spans="1:13" s="208" customFormat="1">
      <c r="A8" s="134"/>
      <c r="B8" s="198"/>
      <c r="C8" s="134"/>
      <c r="D8" s="198"/>
      <c r="E8" s="204"/>
      <c r="F8" s="204"/>
      <c r="G8" s="204"/>
      <c r="H8" s="204"/>
      <c r="I8" s="204"/>
      <c r="J8" s="204"/>
      <c r="K8" s="204"/>
      <c r="L8" s="204"/>
      <c r="M8" s="204"/>
    </row>
    <row r="9" spans="1:13">
      <c r="A9" s="198">
        <v>1.1000000000000001</v>
      </c>
      <c r="B9" s="200" t="s">
        <v>476</v>
      </c>
      <c r="C9" s="199" t="s">
        <v>326</v>
      </c>
      <c r="D9" s="203" t="s">
        <v>96</v>
      </c>
      <c r="E9" s="106"/>
      <c r="F9" s="119">
        <v>35</v>
      </c>
      <c r="G9" s="106"/>
      <c r="H9" s="106"/>
      <c r="I9" s="106"/>
      <c r="J9" s="104"/>
      <c r="K9" s="106"/>
      <c r="L9" s="106"/>
      <c r="M9" s="204"/>
    </row>
    <row r="10" spans="1:13">
      <c r="A10" s="198"/>
      <c r="B10" s="195"/>
      <c r="C10" s="199"/>
      <c r="D10" s="203" t="s">
        <v>364</v>
      </c>
      <c r="E10" s="106">
        <v>1.5</v>
      </c>
      <c r="F10" s="159">
        <f>F9*E10/100</f>
        <v>0.52500000000000002</v>
      </c>
      <c r="G10" s="106"/>
      <c r="H10" s="106"/>
      <c r="I10" s="106"/>
      <c r="J10" s="104"/>
      <c r="K10" s="106"/>
      <c r="L10" s="106"/>
      <c r="M10" s="204"/>
    </row>
    <row r="11" spans="1:13">
      <c r="A11" s="198" t="s">
        <v>0</v>
      </c>
      <c r="B11" s="195"/>
      <c r="C11" s="199" t="s">
        <v>90</v>
      </c>
      <c r="D11" s="198" t="s">
        <v>1</v>
      </c>
      <c r="E11" s="157">
        <v>141</v>
      </c>
      <c r="F11" s="119">
        <f>F10*E11</f>
        <v>74.025000000000006</v>
      </c>
      <c r="G11" s="106"/>
      <c r="H11" s="106"/>
      <c r="I11" s="106"/>
      <c r="J11" s="204"/>
      <c r="K11" s="106"/>
      <c r="L11" s="106"/>
      <c r="M11" s="104"/>
    </row>
    <row r="12" spans="1:13">
      <c r="A12" s="198" t="s">
        <v>187</v>
      </c>
      <c r="B12" s="195"/>
      <c r="C12" s="199" t="s">
        <v>294</v>
      </c>
      <c r="D12" s="198" t="s">
        <v>25</v>
      </c>
      <c r="E12" s="157">
        <v>4.76</v>
      </c>
      <c r="F12" s="119">
        <f>F10*E12</f>
        <v>2.4990000000000001</v>
      </c>
      <c r="G12" s="106"/>
      <c r="H12" s="106"/>
      <c r="I12" s="106"/>
      <c r="J12" s="104"/>
      <c r="K12" s="106"/>
      <c r="L12" s="204"/>
      <c r="M12" s="104"/>
    </row>
    <row r="13" spans="1:13" s="225" customFormat="1">
      <c r="A13" s="226" t="s">
        <v>192</v>
      </c>
      <c r="B13" s="200" t="s">
        <v>497</v>
      </c>
      <c r="C13" s="245" t="s">
        <v>478</v>
      </c>
      <c r="D13" s="226" t="s">
        <v>349</v>
      </c>
      <c r="E13" s="157">
        <f>1.26+1.06+1.54</f>
        <v>3.8600000000000003</v>
      </c>
      <c r="F13" s="247">
        <f>E13*F10</f>
        <v>2.0265000000000004</v>
      </c>
      <c r="G13" s="246"/>
      <c r="H13" s="229"/>
      <c r="I13" s="246"/>
      <c r="J13" s="237"/>
      <c r="K13" s="246"/>
      <c r="L13" s="229"/>
      <c r="M13" s="237"/>
    </row>
    <row r="14" spans="1:13">
      <c r="A14" s="198" t="s">
        <v>266</v>
      </c>
      <c r="B14" s="200" t="s">
        <v>388</v>
      </c>
      <c r="C14" s="199" t="s">
        <v>477</v>
      </c>
      <c r="D14" s="244" t="s">
        <v>327</v>
      </c>
      <c r="E14" s="157">
        <v>21.5</v>
      </c>
      <c r="F14" s="119">
        <f>E14*F10</f>
        <v>11.2875</v>
      </c>
      <c r="G14" s="106"/>
      <c r="H14" s="204"/>
      <c r="I14" s="106"/>
      <c r="J14" s="104"/>
      <c r="K14" s="106"/>
      <c r="L14" s="106"/>
      <c r="M14" s="104"/>
    </row>
    <row r="15" spans="1:13">
      <c r="A15" s="198" t="s">
        <v>329</v>
      </c>
      <c r="B15" s="195"/>
      <c r="C15" s="199" t="s">
        <v>14</v>
      </c>
      <c r="D15" s="198" t="s">
        <v>25</v>
      </c>
      <c r="E15" s="157">
        <v>11.3</v>
      </c>
      <c r="F15" s="119">
        <f>F10*E15</f>
        <v>5.932500000000001</v>
      </c>
      <c r="G15" s="106"/>
      <c r="H15" s="204"/>
      <c r="I15" s="106"/>
      <c r="J15" s="104"/>
      <c r="K15" s="106"/>
      <c r="L15" s="106"/>
      <c r="M15" s="104"/>
    </row>
    <row r="16" spans="1:13">
      <c r="A16" s="198"/>
      <c r="B16" s="195"/>
      <c r="C16" s="199"/>
      <c r="D16" s="198"/>
      <c r="E16" s="106"/>
      <c r="F16" s="119"/>
      <c r="G16" s="106"/>
      <c r="H16" s="204"/>
      <c r="I16" s="106"/>
      <c r="J16" s="104"/>
      <c r="K16" s="106"/>
      <c r="L16" s="106"/>
      <c r="M16" s="104"/>
    </row>
    <row r="17" spans="1:13">
      <c r="A17" s="198">
        <v>1.2</v>
      </c>
      <c r="B17" s="201" t="s">
        <v>479</v>
      </c>
      <c r="C17" s="209" t="s">
        <v>328</v>
      </c>
      <c r="D17" s="198" t="s">
        <v>359</v>
      </c>
      <c r="E17" s="229">
        <v>2</v>
      </c>
      <c r="F17" s="224">
        <f>E17*F10*100</f>
        <v>105</v>
      </c>
      <c r="G17" s="204"/>
      <c r="H17" s="204"/>
      <c r="I17" s="204"/>
      <c r="J17" s="204"/>
      <c r="K17" s="204"/>
      <c r="L17" s="204"/>
      <c r="M17" s="204"/>
    </row>
    <row r="18" spans="1:13">
      <c r="A18" s="198"/>
      <c r="B18" s="196"/>
      <c r="C18" s="209"/>
      <c r="D18" s="198" t="s">
        <v>364</v>
      </c>
      <c r="E18" s="229"/>
      <c r="F18" s="248">
        <f>F17/100</f>
        <v>1.05</v>
      </c>
      <c r="G18" s="204"/>
      <c r="H18" s="204"/>
      <c r="I18" s="204"/>
      <c r="J18" s="204"/>
      <c r="K18" s="204"/>
      <c r="L18" s="204"/>
      <c r="M18" s="204"/>
    </row>
    <row r="19" spans="1:13">
      <c r="A19" s="198" t="s">
        <v>21</v>
      </c>
      <c r="B19" s="196"/>
      <c r="C19" s="209" t="s">
        <v>15</v>
      </c>
      <c r="D19" s="198" t="s">
        <v>1</v>
      </c>
      <c r="E19" s="224">
        <v>11.8</v>
      </c>
      <c r="F19" s="204">
        <f>E19*F18</f>
        <v>12.39</v>
      </c>
      <c r="G19" s="204"/>
      <c r="H19" s="204"/>
      <c r="I19" s="204"/>
      <c r="J19" s="204"/>
      <c r="K19" s="204"/>
      <c r="L19" s="204"/>
      <c r="M19" s="204"/>
    </row>
    <row r="20" spans="1:13">
      <c r="A20" s="198" t="s">
        <v>37</v>
      </c>
      <c r="B20" s="201" t="s">
        <v>480</v>
      </c>
      <c r="C20" s="233" t="s">
        <v>481</v>
      </c>
      <c r="D20" s="222" t="s">
        <v>327</v>
      </c>
      <c r="E20" s="224">
        <v>20.8</v>
      </c>
      <c r="F20" s="224">
        <f>E20*F18</f>
        <v>21.840000000000003</v>
      </c>
      <c r="G20" s="224"/>
      <c r="H20" s="224"/>
      <c r="I20" s="224"/>
      <c r="J20" s="224"/>
      <c r="K20" s="224"/>
      <c r="L20" s="224"/>
      <c r="M20" s="249"/>
    </row>
    <row r="21" spans="1:13">
      <c r="A21" s="198" t="s">
        <v>38</v>
      </c>
      <c r="B21" s="195"/>
      <c r="C21" s="199" t="s">
        <v>14</v>
      </c>
      <c r="D21" s="198" t="s">
        <v>25</v>
      </c>
      <c r="E21" s="157">
        <v>0.12</v>
      </c>
      <c r="F21" s="119">
        <f>F18*E21</f>
        <v>0.126</v>
      </c>
      <c r="G21" s="106"/>
      <c r="H21" s="204"/>
      <c r="I21" s="106"/>
      <c r="J21" s="104"/>
      <c r="K21" s="106"/>
      <c r="L21" s="106"/>
      <c r="M21" s="104"/>
    </row>
    <row r="22" spans="1:13">
      <c r="A22" s="198"/>
      <c r="B22" s="196"/>
      <c r="C22" s="209"/>
      <c r="D22" s="198"/>
      <c r="E22" s="204"/>
      <c r="F22" s="204"/>
      <c r="G22" s="204"/>
      <c r="H22" s="204"/>
      <c r="I22" s="204"/>
      <c r="J22" s="204"/>
      <c r="K22" s="204"/>
      <c r="L22" s="204"/>
      <c r="M22" s="204"/>
    </row>
    <row r="23" spans="1:13" s="86" customFormat="1">
      <c r="A23" s="134"/>
      <c r="B23" s="85"/>
      <c r="C23" s="134" t="s">
        <v>4</v>
      </c>
      <c r="D23" s="134"/>
      <c r="E23" s="47"/>
      <c r="F23" s="47"/>
      <c r="G23" s="47"/>
      <c r="H23" s="47"/>
      <c r="I23" s="47"/>
      <c r="J23" s="47"/>
      <c r="K23" s="47"/>
      <c r="L23" s="47"/>
      <c r="M23" s="47"/>
    </row>
    <row r="24" spans="1:13" s="205" customFormat="1">
      <c r="A24" s="198"/>
      <c r="B24" s="196"/>
      <c r="C24" s="143"/>
      <c r="D24" s="143"/>
      <c r="E24" s="149"/>
      <c r="F24" s="149"/>
      <c r="G24" s="149"/>
      <c r="H24" s="149"/>
      <c r="I24" s="149"/>
      <c r="J24" s="149"/>
      <c r="K24" s="149"/>
      <c r="L24" s="149"/>
      <c r="M24" s="149"/>
    </row>
    <row r="25" spans="1:13" s="205" customFormat="1">
      <c r="A25" s="198"/>
      <c r="B25" s="196"/>
      <c r="C25" s="143" t="s">
        <v>10</v>
      </c>
      <c r="D25" s="164">
        <v>0.1</v>
      </c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s="205" customFormat="1">
      <c r="A26" s="198"/>
      <c r="B26" s="196"/>
      <c r="C26" s="143" t="s">
        <v>4</v>
      </c>
      <c r="D26" s="164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3" s="205" customFormat="1">
      <c r="A27" s="198"/>
      <c r="B27" s="196"/>
      <c r="C27" s="143" t="s">
        <v>11</v>
      </c>
      <c r="D27" s="164">
        <v>0.08</v>
      </c>
      <c r="E27" s="149"/>
      <c r="F27" s="149"/>
      <c r="G27" s="149"/>
      <c r="H27" s="149"/>
      <c r="I27" s="149"/>
      <c r="J27" s="149"/>
      <c r="K27" s="149"/>
      <c r="L27" s="149"/>
      <c r="M27" s="149"/>
    </row>
    <row r="28" spans="1:13" s="205" customFormat="1">
      <c r="A28" s="198"/>
      <c r="B28" s="196"/>
      <c r="C28" s="143"/>
      <c r="D28" s="164"/>
      <c r="E28" s="149"/>
      <c r="F28" s="149"/>
      <c r="G28" s="149"/>
      <c r="H28" s="149"/>
      <c r="I28" s="149"/>
      <c r="J28" s="149"/>
      <c r="K28" s="149"/>
      <c r="L28" s="149"/>
      <c r="M28" s="149"/>
    </row>
    <row r="29" spans="1:13" s="205" customFormat="1">
      <c r="A29" s="134"/>
      <c r="B29" s="196"/>
      <c r="C29" s="134" t="s">
        <v>4</v>
      </c>
      <c r="D29" s="134"/>
      <c r="E29" s="47"/>
      <c r="F29" s="47"/>
      <c r="G29" s="47"/>
      <c r="H29" s="47"/>
      <c r="I29" s="47"/>
      <c r="J29" s="47"/>
      <c r="K29" s="47"/>
      <c r="L29" s="47"/>
      <c r="M29" s="47"/>
    </row>
    <row r="30" spans="1:13">
      <c r="B30" s="214"/>
      <c r="C30" s="213"/>
      <c r="D30" s="214"/>
      <c r="E30" s="214"/>
      <c r="F30" s="214"/>
      <c r="G30" s="214"/>
      <c r="H30" s="214"/>
      <c r="I30" s="214"/>
      <c r="J30" s="214"/>
      <c r="K30" s="214"/>
      <c r="L30" s="214"/>
      <c r="M30" s="215"/>
    </row>
    <row r="31" spans="1:13">
      <c r="B31" s="214"/>
      <c r="C31" s="213"/>
      <c r="D31" s="214"/>
      <c r="E31" s="214"/>
      <c r="F31" s="214"/>
      <c r="G31" s="214"/>
      <c r="H31" s="214"/>
      <c r="I31" s="214"/>
      <c r="J31" s="214"/>
      <c r="K31" s="214"/>
      <c r="L31" s="214"/>
      <c r="M31" s="215"/>
    </row>
    <row r="32" spans="1:13">
      <c r="B32" s="214"/>
      <c r="C32" s="213"/>
      <c r="D32" s="214"/>
      <c r="E32" s="214"/>
      <c r="F32" s="214"/>
      <c r="G32" s="214"/>
      <c r="H32" s="214"/>
      <c r="I32" s="214"/>
      <c r="J32" s="214"/>
      <c r="K32" s="214"/>
      <c r="L32" s="214"/>
      <c r="M32" s="215"/>
    </row>
    <row r="33" spans="2:13">
      <c r="B33" s="214"/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5"/>
    </row>
    <row r="34" spans="2:13">
      <c r="B34" s="214"/>
      <c r="C34" s="213"/>
      <c r="D34" s="214"/>
      <c r="E34" s="214"/>
      <c r="F34" s="214"/>
      <c r="G34" s="214"/>
      <c r="H34" s="214"/>
      <c r="I34" s="214"/>
      <c r="J34" s="214"/>
      <c r="K34" s="214"/>
      <c r="L34" s="214"/>
      <c r="M34" s="215"/>
    </row>
    <row r="35" spans="2:13">
      <c r="B35" s="214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5"/>
    </row>
    <row r="36" spans="2:13">
      <c r="B36" s="214"/>
      <c r="C36" s="213"/>
      <c r="D36" s="214"/>
      <c r="E36" s="214"/>
      <c r="F36" s="214"/>
      <c r="G36" s="214"/>
      <c r="H36" s="214"/>
      <c r="I36" s="214"/>
      <c r="J36" s="214"/>
      <c r="K36" s="214"/>
      <c r="L36" s="214"/>
      <c r="M36" s="215"/>
    </row>
    <row r="37" spans="2:13">
      <c r="B37" s="214"/>
      <c r="C37" s="213"/>
      <c r="D37" s="214"/>
      <c r="E37" s="214"/>
      <c r="F37" s="214"/>
      <c r="G37" s="214"/>
      <c r="H37" s="214"/>
      <c r="I37" s="214"/>
      <c r="J37" s="214"/>
      <c r="K37" s="214"/>
      <c r="L37" s="214"/>
      <c r="M37" s="215"/>
    </row>
    <row r="38" spans="2:13">
      <c r="B38" s="214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5"/>
    </row>
    <row r="39" spans="2:13">
      <c r="B39" s="214"/>
      <c r="C39" s="213"/>
      <c r="D39" s="214"/>
      <c r="E39" s="214"/>
      <c r="F39" s="214"/>
      <c r="G39" s="214"/>
      <c r="H39" s="214"/>
      <c r="I39" s="214"/>
      <c r="J39" s="214"/>
      <c r="K39" s="214"/>
      <c r="L39" s="214"/>
      <c r="M39" s="215"/>
    </row>
    <row r="40" spans="2:13">
      <c r="B40" s="214"/>
      <c r="C40" s="213"/>
      <c r="D40" s="214"/>
      <c r="E40" s="214"/>
      <c r="F40" s="214"/>
      <c r="G40" s="214"/>
      <c r="H40" s="214"/>
      <c r="I40" s="214"/>
      <c r="J40" s="214"/>
      <c r="K40" s="214"/>
      <c r="L40" s="214"/>
      <c r="M40" s="215"/>
    </row>
    <row r="41" spans="2:13">
      <c r="B41" s="214"/>
      <c r="C41" s="213"/>
      <c r="D41" s="214"/>
      <c r="E41" s="214"/>
      <c r="F41" s="214"/>
      <c r="G41" s="214"/>
      <c r="H41" s="214"/>
      <c r="I41" s="214"/>
      <c r="J41" s="214"/>
      <c r="K41" s="214"/>
      <c r="L41" s="214"/>
      <c r="M41" s="215"/>
    </row>
    <row r="42" spans="2:13">
      <c r="B42" s="214"/>
      <c r="C42" s="213"/>
      <c r="D42" s="214"/>
      <c r="E42" s="214"/>
      <c r="F42" s="214"/>
      <c r="G42" s="214"/>
      <c r="H42" s="214"/>
      <c r="I42" s="214"/>
      <c r="J42" s="214"/>
      <c r="K42" s="214"/>
      <c r="L42" s="214"/>
      <c r="M42" s="215"/>
    </row>
    <row r="43" spans="2:13">
      <c r="B43" s="214"/>
      <c r="C43" s="213"/>
      <c r="D43" s="214"/>
      <c r="E43" s="214"/>
      <c r="F43" s="214"/>
      <c r="G43" s="214"/>
      <c r="H43" s="214"/>
      <c r="I43" s="214"/>
      <c r="J43" s="214"/>
      <c r="K43" s="214"/>
      <c r="L43" s="214"/>
      <c r="M43" s="215"/>
    </row>
    <row r="44" spans="2:13">
      <c r="B44" s="214"/>
      <c r="C44" s="213"/>
      <c r="D44" s="214"/>
      <c r="E44" s="214"/>
      <c r="F44" s="214"/>
      <c r="G44" s="214"/>
      <c r="H44" s="214"/>
      <c r="I44" s="214"/>
      <c r="J44" s="214"/>
      <c r="K44" s="214"/>
      <c r="L44" s="214"/>
      <c r="M44" s="215"/>
    </row>
    <row r="45" spans="2:13">
      <c r="B45" s="214"/>
      <c r="C45" s="213"/>
      <c r="D45" s="214"/>
      <c r="E45" s="214"/>
      <c r="F45" s="214"/>
      <c r="G45" s="214"/>
      <c r="H45" s="214"/>
      <c r="I45" s="214"/>
      <c r="J45" s="214"/>
      <c r="K45" s="214"/>
      <c r="L45" s="214"/>
      <c r="M45" s="215"/>
    </row>
    <row r="46" spans="2:13">
      <c r="B46" s="214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15"/>
    </row>
    <row r="47" spans="2:13">
      <c r="B47" s="214"/>
      <c r="C47" s="213"/>
      <c r="D47" s="214"/>
      <c r="E47" s="214"/>
      <c r="F47" s="214"/>
      <c r="G47" s="214"/>
      <c r="H47" s="214"/>
      <c r="I47" s="214"/>
      <c r="J47" s="214"/>
      <c r="K47" s="214"/>
      <c r="L47" s="214"/>
      <c r="M47" s="215"/>
    </row>
    <row r="48" spans="2:13">
      <c r="B48" s="214"/>
      <c r="C48" s="213"/>
      <c r="D48" s="214"/>
      <c r="E48" s="214"/>
      <c r="F48" s="214"/>
      <c r="G48" s="214"/>
      <c r="H48" s="214"/>
      <c r="I48" s="214"/>
      <c r="J48" s="214"/>
      <c r="K48" s="214"/>
      <c r="L48" s="214"/>
      <c r="M48" s="215"/>
    </row>
    <row r="49" spans="2:13">
      <c r="B49" s="214"/>
      <c r="C49" s="213"/>
      <c r="D49" s="214"/>
      <c r="E49" s="214"/>
      <c r="F49" s="214"/>
      <c r="G49" s="214"/>
      <c r="H49" s="214"/>
      <c r="I49" s="214"/>
      <c r="J49" s="214"/>
      <c r="K49" s="214"/>
      <c r="L49" s="214"/>
      <c r="M49" s="215"/>
    </row>
    <row r="50" spans="2:13">
      <c r="B50" s="214"/>
      <c r="C50" s="213"/>
      <c r="D50" s="214"/>
      <c r="E50" s="214"/>
      <c r="F50" s="214"/>
      <c r="G50" s="214"/>
      <c r="H50" s="214"/>
      <c r="I50" s="214"/>
      <c r="J50" s="214"/>
      <c r="K50" s="214"/>
      <c r="L50" s="214"/>
      <c r="M50" s="215"/>
    </row>
    <row r="51" spans="2:13">
      <c r="B51" s="214"/>
      <c r="C51" s="213"/>
      <c r="D51" s="214"/>
      <c r="E51" s="214"/>
      <c r="F51" s="214"/>
      <c r="G51" s="214"/>
      <c r="H51" s="214"/>
      <c r="I51" s="214"/>
      <c r="J51" s="214"/>
      <c r="K51" s="214"/>
      <c r="L51" s="214"/>
      <c r="M51" s="215"/>
    </row>
    <row r="52" spans="2:13">
      <c r="B52" s="214"/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5"/>
    </row>
    <row r="53" spans="2:13">
      <c r="B53" s="214"/>
      <c r="C53" s="213"/>
      <c r="D53" s="214"/>
      <c r="E53" s="214"/>
      <c r="F53" s="214"/>
      <c r="G53" s="214"/>
      <c r="H53" s="214"/>
      <c r="I53" s="214"/>
      <c r="J53" s="214"/>
      <c r="K53" s="214"/>
      <c r="L53" s="214"/>
      <c r="M53" s="215"/>
    </row>
    <row r="54" spans="2:13">
      <c r="B54" s="214"/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5"/>
    </row>
    <row r="55" spans="2:13">
      <c r="B55" s="214"/>
      <c r="C55" s="213"/>
      <c r="D55" s="214"/>
      <c r="E55" s="214"/>
      <c r="F55" s="214"/>
      <c r="G55" s="214"/>
      <c r="H55" s="214"/>
      <c r="I55" s="214"/>
      <c r="J55" s="214"/>
      <c r="K55" s="214"/>
      <c r="L55" s="214"/>
      <c r="M55" s="215"/>
    </row>
    <row r="56" spans="2:13">
      <c r="B56" s="214"/>
      <c r="C56" s="213"/>
      <c r="D56" s="214"/>
      <c r="E56" s="214"/>
      <c r="F56" s="214"/>
      <c r="G56" s="214"/>
      <c r="H56" s="214"/>
      <c r="I56" s="214"/>
      <c r="J56" s="214"/>
      <c r="K56" s="214"/>
      <c r="L56" s="214"/>
      <c r="M56" s="215"/>
    </row>
    <row r="57" spans="2:13">
      <c r="B57" s="214"/>
      <c r="C57" s="213"/>
      <c r="D57" s="214"/>
      <c r="E57" s="214"/>
      <c r="F57" s="214"/>
      <c r="G57" s="214"/>
      <c r="H57" s="214"/>
      <c r="I57" s="214"/>
      <c r="J57" s="214"/>
      <c r="K57" s="214"/>
      <c r="L57" s="214"/>
      <c r="M57" s="215"/>
    </row>
    <row r="58" spans="2:13">
      <c r="B58" s="214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5"/>
    </row>
    <row r="59" spans="2:13">
      <c r="B59" s="214"/>
      <c r="C59" s="213"/>
      <c r="D59" s="214"/>
      <c r="E59" s="214"/>
      <c r="F59" s="214"/>
      <c r="G59" s="214"/>
      <c r="H59" s="214"/>
      <c r="I59" s="214"/>
      <c r="J59" s="214"/>
      <c r="K59" s="214"/>
      <c r="L59" s="214"/>
      <c r="M59" s="215"/>
    </row>
    <row r="60" spans="2:13">
      <c r="B60" s="214"/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5"/>
    </row>
    <row r="61" spans="2:13">
      <c r="B61" s="214"/>
      <c r="C61" s="213"/>
      <c r="D61" s="214"/>
      <c r="E61" s="214"/>
      <c r="F61" s="214"/>
      <c r="G61" s="214"/>
      <c r="H61" s="214"/>
      <c r="I61" s="214"/>
      <c r="J61" s="214"/>
      <c r="K61" s="214"/>
      <c r="L61" s="214"/>
      <c r="M61" s="215"/>
    </row>
    <row r="62" spans="2:13">
      <c r="B62" s="214"/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5"/>
    </row>
    <row r="63" spans="2:13">
      <c r="B63" s="214"/>
      <c r="C63" s="213"/>
      <c r="D63" s="214"/>
      <c r="E63" s="214"/>
      <c r="F63" s="214"/>
      <c r="G63" s="214"/>
      <c r="H63" s="214"/>
      <c r="I63" s="214"/>
      <c r="J63" s="214"/>
      <c r="K63" s="214"/>
      <c r="L63" s="214"/>
      <c r="M63" s="215"/>
    </row>
    <row r="64" spans="2:13">
      <c r="B64" s="214"/>
      <c r="C64" s="213"/>
      <c r="D64" s="214"/>
      <c r="E64" s="214"/>
      <c r="F64" s="214"/>
      <c r="G64" s="214"/>
      <c r="H64" s="214"/>
      <c r="I64" s="214"/>
      <c r="J64" s="214"/>
      <c r="K64" s="214"/>
      <c r="L64" s="214"/>
      <c r="M64" s="215"/>
    </row>
    <row r="65" spans="2:13">
      <c r="B65" s="214"/>
      <c r="C65" s="213"/>
      <c r="D65" s="214"/>
      <c r="E65" s="214"/>
      <c r="F65" s="214"/>
      <c r="G65" s="214"/>
      <c r="H65" s="214"/>
      <c r="I65" s="214"/>
      <c r="J65" s="214"/>
      <c r="K65" s="214"/>
      <c r="L65" s="214"/>
      <c r="M65" s="215"/>
    </row>
    <row r="66" spans="2:13">
      <c r="B66" s="214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5"/>
    </row>
    <row r="67" spans="2:13">
      <c r="B67" s="214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5"/>
    </row>
    <row r="68" spans="2:13">
      <c r="B68" s="214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5"/>
    </row>
    <row r="69" spans="2:13">
      <c r="B69" s="214"/>
      <c r="C69" s="213"/>
      <c r="D69" s="214"/>
      <c r="E69" s="214"/>
      <c r="F69" s="214"/>
      <c r="G69" s="214"/>
      <c r="H69" s="214"/>
      <c r="I69" s="214"/>
      <c r="J69" s="214"/>
      <c r="K69" s="214"/>
      <c r="L69" s="214"/>
      <c r="M69" s="215"/>
    </row>
    <row r="70" spans="2:13">
      <c r="B70" s="214"/>
      <c r="C70" s="213"/>
      <c r="D70" s="214"/>
      <c r="E70" s="214"/>
      <c r="F70" s="214"/>
      <c r="G70" s="214"/>
      <c r="H70" s="214"/>
      <c r="I70" s="214"/>
      <c r="J70" s="214"/>
      <c r="K70" s="214"/>
      <c r="L70" s="214"/>
      <c r="M70" s="215"/>
    </row>
    <row r="71" spans="2:13"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6"/>
    </row>
    <row r="72" spans="2:13"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6"/>
    </row>
    <row r="73" spans="2:13"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6"/>
    </row>
    <row r="74" spans="2:13"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6"/>
    </row>
    <row r="75" spans="2:13"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6"/>
    </row>
    <row r="76" spans="2:13"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6"/>
    </row>
    <row r="77" spans="2:13"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6"/>
    </row>
    <row r="78" spans="2:13"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6"/>
    </row>
    <row r="79" spans="2:13"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6"/>
    </row>
    <row r="80" spans="2:13"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6"/>
    </row>
    <row r="81" spans="2:13"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6"/>
    </row>
    <row r="82" spans="2:13"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6"/>
    </row>
    <row r="83" spans="2:13"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6"/>
    </row>
  </sheetData>
  <mergeCells count="10">
    <mergeCell ref="M3:M4"/>
    <mergeCell ref="A1:M1"/>
    <mergeCell ref="A3:A4"/>
    <mergeCell ref="B3:B4"/>
    <mergeCell ref="C3:C4"/>
    <mergeCell ref="D3:D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2"/>
  <sheetViews>
    <sheetView view="pageBreakPreview" topLeftCell="A52" zoomScaleNormal="60" zoomScaleSheetLayoutView="100" workbookViewId="0">
      <selection activeCell="A51" sqref="A51:XFD58"/>
    </sheetView>
  </sheetViews>
  <sheetFormatPr defaultRowHeight="12.75"/>
  <cols>
    <col min="1" max="1" width="5.28515625" style="218" bestFit="1" customWidth="1"/>
    <col min="2" max="2" width="12.85546875" style="212" customWidth="1"/>
    <col min="3" max="3" width="67.140625" style="212" bestFit="1" customWidth="1"/>
    <col min="4" max="7" width="9.42578125" style="212" customWidth="1"/>
    <col min="8" max="8" width="10.140625" style="212" customWidth="1"/>
    <col min="9" max="12" width="9.42578125" style="212" customWidth="1"/>
    <col min="13" max="13" width="12" style="217" customWidth="1"/>
    <col min="14" max="16" width="20.7109375" style="207" customWidth="1"/>
    <col min="17" max="16384" width="9.140625" style="207"/>
  </cols>
  <sheetData>
    <row r="1" spans="1:13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255"/>
    </row>
    <row r="2" spans="1:13">
      <c r="A2" s="297" t="s">
        <v>309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>
      <c r="A3" s="13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208" customFormat="1" ht="27" customHeight="1">
      <c r="A4" s="296" t="s">
        <v>336</v>
      </c>
      <c r="B4" s="295" t="s">
        <v>337</v>
      </c>
      <c r="C4" s="295" t="s">
        <v>338</v>
      </c>
      <c r="D4" s="295" t="s">
        <v>339</v>
      </c>
      <c r="E4" s="296" t="s">
        <v>340</v>
      </c>
      <c r="F4" s="296"/>
      <c r="G4" s="295" t="s">
        <v>341</v>
      </c>
      <c r="H4" s="295"/>
      <c r="I4" s="295" t="s">
        <v>6</v>
      </c>
      <c r="J4" s="295"/>
      <c r="K4" s="296" t="s">
        <v>342</v>
      </c>
      <c r="L4" s="296"/>
      <c r="M4" s="296" t="s">
        <v>4</v>
      </c>
    </row>
    <row r="5" spans="1:13" s="208" customFormat="1">
      <c r="A5" s="296"/>
      <c r="B5" s="295"/>
      <c r="C5" s="295"/>
      <c r="D5" s="295"/>
      <c r="E5" s="137" t="s">
        <v>343</v>
      </c>
      <c r="F5" s="137" t="s">
        <v>243</v>
      </c>
      <c r="G5" s="137" t="s">
        <v>343</v>
      </c>
      <c r="H5" s="137" t="s">
        <v>243</v>
      </c>
      <c r="I5" s="137" t="s">
        <v>343</v>
      </c>
      <c r="J5" s="137" t="s">
        <v>243</v>
      </c>
      <c r="K5" s="137" t="s">
        <v>343</v>
      </c>
      <c r="L5" s="137" t="s">
        <v>243</v>
      </c>
      <c r="M5" s="296"/>
    </row>
    <row r="6" spans="1:13" s="208" customFormat="1">
      <c r="A6" s="137">
        <v>1</v>
      </c>
      <c r="B6" s="137">
        <v>2</v>
      </c>
      <c r="C6" s="136">
        <v>3</v>
      </c>
      <c r="D6" s="137">
        <v>4</v>
      </c>
      <c r="E6" s="137">
        <v>5</v>
      </c>
      <c r="F6" s="137">
        <v>6</v>
      </c>
      <c r="G6" s="137">
        <v>7</v>
      </c>
      <c r="H6" s="77">
        <v>8</v>
      </c>
      <c r="I6" s="137">
        <v>9</v>
      </c>
      <c r="J6" s="77">
        <v>10</v>
      </c>
      <c r="K6" s="137">
        <v>11</v>
      </c>
      <c r="L6" s="77">
        <v>12</v>
      </c>
      <c r="M6" s="77">
        <v>13</v>
      </c>
    </row>
    <row r="7" spans="1:13" s="208" customFormat="1">
      <c r="A7" s="134"/>
      <c r="B7" s="134"/>
      <c r="C7" s="134"/>
      <c r="D7" s="134"/>
      <c r="E7" s="47"/>
      <c r="F7" s="47"/>
      <c r="G7" s="47"/>
      <c r="H7" s="47"/>
      <c r="I7" s="47"/>
      <c r="J7" s="47"/>
      <c r="K7" s="47"/>
      <c r="L7" s="47"/>
      <c r="M7" s="47"/>
    </row>
    <row r="8" spans="1:13" s="208" customFormat="1">
      <c r="A8" s="134"/>
      <c r="B8" s="198"/>
      <c r="C8" s="134" t="s">
        <v>320</v>
      </c>
      <c r="D8" s="198"/>
      <c r="E8" s="204"/>
      <c r="F8" s="204"/>
      <c r="G8" s="204"/>
      <c r="H8" s="204"/>
      <c r="I8" s="204"/>
      <c r="J8" s="204"/>
      <c r="K8" s="204"/>
      <c r="L8" s="204"/>
      <c r="M8" s="204"/>
    </row>
    <row r="9" spans="1:13" s="208" customFormat="1">
      <c r="A9" s="134"/>
      <c r="B9" s="198"/>
      <c r="C9" s="134"/>
      <c r="D9" s="198"/>
      <c r="E9" s="204"/>
      <c r="F9" s="204"/>
      <c r="G9" s="204"/>
      <c r="H9" s="204"/>
      <c r="I9" s="204"/>
      <c r="J9" s="204"/>
      <c r="K9" s="204"/>
      <c r="L9" s="204"/>
      <c r="M9" s="204"/>
    </row>
    <row r="10" spans="1:13">
      <c r="A10" s="198">
        <v>1.1000000000000001</v>
      </c>
      <c r="B10" s="256" t="s">
        <v>484</v>
      </c>
      <c r="C10" s="209" t="s">
        <v>276</v>
      </c>
      <c r="D10" s="267" t="s">
        <v>349</v>
      </c>
      <c r="E10" s="204"/>
      <c r="F10" s="204">
        <v>206</v>
      </c>
      <c r="G10" s="204"/>
      <c r="H10" s="204"/>
      <c r="I10" s="204"/>
      <c r="J10" s="204"/>
      <c r="K10" s="204"/>
      <c r="L10" s="204"/>
      <c r="M10" s="204"/>
    </row>
    <row r="11" spans="1:13">
      <c r="A11" s="198"/>
      <c r="B11" s="256"/>
      <c r="C11" s="209"/>
      <c r="D11" s="198" t="s">
        <v>362</v>
      </c>
      <c r="E11" s="204"/>
      <c r="F11" s="204">
        <f>F10/100</f>
        <v>2.06</v>
      </c>
      <c r="G11" s="204"/>
      <c r="H11" s="204"/>
      <c r="I11" s="204"/>
      <c r="J11" s="204"/>
      <c r="K11" s="204"/>
      <c r="L11" s="204"/>
      <c r="M11" s="204"/>
    </row>
    <row r="12" spans="1:13">
      <c r="A12" s="198" t="s">
        <v>0</v>
      </c>
      <c r="B12" s="196"/>
      <c r="C12" s="209" t="s">
        <v>15</v>
      </c>
      <c r="D12" s="198" t="s">
        <v>1</v>
      </c>
      <c r="E12" s="204">
        <v>15</v>
      </c>
      <c r="F12" s="204">
        <f>E12*F11</f>
        <v>30.900000000000002</v>
      </c>
      <c r="G12" s="204"/>
      <c r="H12" s="204"/>
      <c r="I12" s="204"/>
      <c r="J12" s="204"/>
      <c r="K12" s="204"/>
      <c r="L12" s="204"/>
      <c r="M12" s="204"/>
    </row>
    <row r="13" spans="1:13">
      <c r="A13" s="198" t="s">
        <v>185</v>
      </c>
      <c r="B13" s="259" t="s">
        <v>361</v>
      </c>
      <c r="C13" s="209" t="s">
        <v>70</v>
      </c>
      <c r="D13" s="198" t="s">
        <v>24</v>
      </c>
      <c r="E13" s="204">
        <v>2.16</v>
      </c>
      <c r="F13" s="204">
        <f>E13*F11</f>
        <v>4.4496000000000002</v>
      </c>
      <c r="G13" s="204"/>
      <c r="H13" s="204"/>
      <c r="I13" s="204"/>
      <c r="J13" s="204"/>
      <c r="K13" s="204"/>
      <c r="L13" s="204"/>
      <c r="M13" s="204"/>
    </row>
    <row r="14" spans="1:13">
      <c r="A14" s="198" t="s">
        <v>186</v>
      </c>
      <c r="B14" s="259" t="s">
        <v>485</v>
      </c>
      <c r="C14" s="209" t="s">
        <v>83</v>
      </c>
      <c r="D14" s="198" t="s">
        <v>24</v>
      </c>
      <c r="E14" s="204">
        <v>2.73</v>
      </c>
      <c r="F14" s="204">
        <f>E14*F11</f>
        <v>5.6238000000000001</v>
      </c>
      <c r="G14" s="204"/>
      <c r="H14" s="204"/>
      <c r="I14" s="204"/>
      <c r="J14" s="204"/>
      <c r="K14" s="204"/>
      <c r="L14" s="204"/>
      <c r="M14" s="204"/>
    </row>
    <row r="15" spans="1:13">
      <c r="A15" s="198" t="s">
        <v>187</v>
      </c>
      <c r="B15" s="259" t="s">
        <v>450</v>
      </c>
      <c r="C15" s="209" t="s">
        <v>71</v>
      </c>
      <c r="D15" s="198" t="s">
        <v>24</v>
      </c>
      <c r="E15" s="204">
        <v>0.97</v>
      </c>
      <c r="F15" s="204">
        <f>E15*F11</f>
        <v>1.9982</v>
      </c>
      <c r="G15" s="204"/>
      <c r="H15" s="204"/>
      <c r="I15" s="204"/>
      <c r="J15" s="204"/>
      <c r="K15" s="204"/>
      <c r="L15" s="204"/>
      <c r="M15" s="204"/>
    </row>
    <row r="16" spans="1:13">
      <c r="A16" s="198" t="s">
        <v>192</v>
      </c>
      <c r="B16" s="196"/>
      <c r="C16" s="209" t="s">
        <v>72</v>
      </c>
      <c r="D16" s="198" t="s">
        <v>349</v>
      </c>
      <c r="E16" s="204">
        <v>7</v>
      </c>
      <c r="F16" s="204">
        <f>E16*F11</f>
        <v>14.42</v>
      </c>
      <c r="G16" s="204"/>
      <c r="H16" s="204"/>
      <c r="I16" s="204"/>
      <c r="J16" s="204"/>
      <c r="K16" s="204"/>
      <c r="L16" s="204"/>
      <c r="M16" s="204"/>
    </row>
    <row r="17" spans="1:13">
      <c r="A17" s="198" t="s">
        <v>193</v>
      </c>
      <c r="B17" s="259" t="s">
        <v>373</v>
      </c>
      <c r="C17" s="209" t="s">
        <v>150</v>
      </c>
      <c r="D17" s="198" t="s">
        <v>349</v>
      </c>
      <c r="E17" s="204">
        <v>122</v>
      </c>
      <c r="F17" s="204">
        <f>E17*F11</f>
        <v>251.32</v>
      </c>
      <c r="G17" s="204"/>
      <c r="H17" s="204"/>
      <c r="I17" s="204"/>
      <c r="J17" s="204"/>
      <c r="K17" s="204"/>
      <c r="L17" s="204"/>
      <c r="M17" s="204"/>
    </row>
    <row r="18" spans="1:13">
      <c r="A18" s="198"/>
      <c r="B18" s="196"/>
      <c r="C18" s="209"/>
      <c r="D18" s="198"/>
      <c r="E18" s="204"/>
      <c r="F18" s="204"/>
      <c r="G18" s="204"/>
      <c r="H18" s="204"/>
      <c r="I18" s="204"/>
      <c r="J18" s="204"/>
      <c r="K18" s="204"/>
      <c r="L18" s="204"/>
      <c r="M18" s="204"/>
    </row>
    <row r="19" spans="1:13">
      <c r="A19" s="198">
        <v>1.2</v>
      </c>
      <c r="B19" s="251" t="s">
        <v>482</v>
      </c>
      <c r="C19" s="209" t="s">
        <v>267</v>
      </c>
      <c r="D19" s="253" t="s">
        <v>96</v>
      </c>
      <c r="E19" s="224"/>
      <c r="F19" s="224">
        <v>1720</v>
      </c>
      <c r="G19" s="204"/>
      <c r="H19" s="204"/>
      <c r="I19" s="204"/>
      <c r="J19" s="204"/>
      <c r="K19" s="204"/>
      <c r="L19" s="204"/>
      <c r="M19" s="204"/>
    </row>
    <row r="20" spans="1:13">
      <c r="A20" s="198">
        <v>1.2</v>
      </c>
      <c r="B20" s="196"/>
      <c r="C20" s="209"/>
      <c r="D20" s="222" t="s">
        <v>362</v>
      </c>
      <c r="E20" s="224">
        <v>0.04</v>
      </c>
      <c r="F20" s="224">
        <f>F19*E20/100</f>
        <v>0.68799999999999994</v>
      </c>
      <c r="G20" s="204"/>
      <c r="H20" s="204"/>
      <c r="I20" s="204"/>
      <c r="J20" s="204"/>
      <c r="K20" s="204"/>
      <c r="L20" s="204"/>
      <c r="M20" s="204"/>
    </row>
    <row r="21" spans="1:13">
      <c r="A21" s="198" t="s">
        <v>21</v>
      </c>
      <c r="B21" s="196"/>
      <c r="C21" s="209" t="s">
        <v>15</v>
      </c>
      <c r="D21" s="198" t="s">
        <v>1</v>
      </c>
      <c r="E21" s="224">
        <v>854</v>
      </c>
      <c r="F21" s="204">
        <f>E21*F20</f>
        <v>587.55199999999991</v>
      </c>
      <c r="G21" s="204"/>
      <c r="H21" s="204"/>
      <c r="I21" s="204"/>
      <c r="J21" s="204"/>
      <c r="K21" s="204"/>
      <c r="L21" s="204"/>
      <c r="M21" s="204"/>
    </row>
    <row r="22" spans="1:13">
      <c r="A22" s="198" t="s">
        <v>35</v>
      </c>
      <c r="B22" s="196"/>
      <c r="C22" s="209" t="s">
        <v>13</v>
      </c>
      <c r="D22" s="198" t="s">
        <v>25</v>
      </c>
      <c r="E22" s="224">
        <v>106</v>
      </c>
      <c r="F22" s="204">
        <f>E22*F20</f>
        <v>72.927999999999997</v>
      </c>
      <c r="G22" s="204"/>
      <c r="H22" s="204"/>
      <c r="I22" s="204"/>
      <c r="J22" s="204"/>
      <c r="K22" s="204"/>
      <c r="L22" s="204"/>
      <c r="M22" s="204"/>
    </row>
    <row r="23" spans="1:13">
      <c r="A23" s="198" t="s">
        <v>36</v>
      </c>
      <c r="B23" s="259" t="s">
        <v>454</v>
      </c>
      <c r="C23" s="258" t="s">
        <v>107</v>
      </c>
      <c r="D23" s="198" t="s">
        <v>349</v>
      </c>
      <c r="E23" s="224">
        <v>101.5</v>
      </c>
      <c r="F23" s="204">
        <f>E23*F20</f>
        <v>69.831999999999994</v>
      </c>
      <c r="G23" s="204"/>
      <c r="H23" s="204"/>
      <c r="I23" s="204"/>
      <c r="J23" s="204"/>
      <c r="K23" s="204"/>
      <c r="L23" s="204"/>
      <c r="M23" s="204"/>
    </row>
    <row r="24" spans="1:13">
      <c r="A24" s="198" t="s">
        <v>37</v>
      </c>
      <c r="B24" s="259" t="s">
        <v>486</v>
      </c>
      <c r="C24" s="252" t="s">
        <v>483</v>
      </c>
      <c r="D24" s="222" t="s">
        <v>23</v>
      </c>
      <c r="E24" s="224">
        <v>0.2</v>
      </c>
      <c r="F24" s="238">
        <f>F19*E24/1000</f>
        <v>0.34399999999999997</v>
      </c>
      <c r="G24" s="224"/>
      <c r="H24" s="224"/>
      <c r="I24" s="224"/>
      <c r="J24" s="224"/>
      <c r="K24" s="224"/>
      <c r="L24" s="224"/>
      <c r="M24" s="224"/>
    </row>
    <row r="25" spans="1:13">
      <c r="A25" s="198" t="s">
        <v>37</v>
      </c>
      <c r="B25" s="259" t="s">
        <v>379</v>
      </c>
      <c r="C25" s="209" t="s">
        <v>124</v>
      </c>
      <c r="D25" s="198" t="s">
        <v>23</v>
      </c>
      <c r="E25" s="204">
        <v>3.6</v>
      </c>
      <c r="F25" s="204">
        <f>F19*E25/1000</f>
        <v>6.1920000000000002</v>
      </c>
      <c r="G25" s="224"/>
      <c r="H25" s="204"/>
      <c r="I25" s="204"/>
      <c r="J25" s="204"/>
      <c r="K25" s="204"/>
      <c r="L25" s="204"/>
      <c r="M25" s="204"/>
    </row>
    <row r="26" spans="1:13">
      <c r="A26" s="198" t="s">
        <v>38</v>
      </c>
      <c r="B26" s="132" t="s">
        <v>378</v>
      </c>
      <c r="C26" s="133" t="s">
        <v>377</v>
      </c>
      <c r="D26" s="198" t="s">
        <v>359</v>
      </c>
      <c r="E26" s="224">
        <v>140</v>
      </c>
      <c r="F26" s="204">
        <f>E26*F20</f>
        <v>96.32</v>
      </c>
      <c r="G26" s="204"/>
      <c r="H26" s="204"/>
      <c r="I26" s="204"/>
      <c r="J26" s="204"/>
      <c r="K26" s="204"/>
      <c r="L26" s="204"/>
      <c r="M26" s="204"/>
    </row>
    <row r="27" spans="1:13">
      <c r="A27" s="198" t="s">
        <v>39</v>
      </c>
      <c r="B27" s="132" t="s">
        <v>382</v>
      </c>
      <c r="C27" s="223" t="s">
        <v>458</v>
      </c>
      <c r="D27" s="198" t="s">
        <v>349</v>
      </c>
      <c r="E27" s="224">
        <v>1.45</v>
      </c>
      <c r="F27" s="204">
        <f>E27*F20</f>
        <v>0.99759999999999993</v>
      </c>
      <c r="G27" s="204"/>
      <c r="H27" s="204"/>
      <c r="I27" s="204"/>
      <c r="J27" s="204"/>
      <c r="K27" s="204"/>
      <c r="L27" s="204"/>
      <c r="M27" s="204"/>
    </row>
    <row r="28" spans="1:13" s="165" customFormat="1">
      <c r="A28" s="143" t="s">
        <v>413</v>
      </c>
      <c r="B28" s="132" t="s">
        <v>387</v>
      </c>
      <c r="C28" s="133" t="s">
        <v>389</v>
      </c>
      <c r="D28" s="118" t="s">
        <v>327</v>
      </c>
      <c r="E28" s="126">
        <v>250</v>
      </c>
      <c r="F28" s="126">
        <f>E28*F20</f>
        <v>172</v>
      </c>
      <c r="G28" s="126"/>
      <c r="H28" s="126"/>
      <c r="I28" s="126"/>
      <c r="J28" s="126"/>
      <c r="K28" s="126"/>
      <c r="L28" s="126"/>
      <c r="M28" s="126"/>
    </row>
    <row r="29" spans="1:13">
      <c r="A29" s="198" t="s">
        <v>217</v>
      </c>
      <c r="B29" s="196"/>
      <c r="C29" s="209" t="s">
        <v>14</v>
      </c>
      <c r="D29" s="198" t="s">
        <v>25</v>
      </c>
      <c r="E29" s="224">
        <v>74</v>
      </c>
      <c r="F29" s="204">
        <f>E29*F20</f>
        <v>50.911999999999999</v>
      </c>
      <c r="G29" s="204"/>
      <c r="H29" s="204"/>
      <c r="I29" s="204"/>
      <c r="J29" s="204"/>
      <c r="K29" s="204"/>
      <c r="L29" s="204"/>
      <c r="M29" s="204"/>
    </row>
    <row r="30" spans="1:13">
      <c r="A30" s="198"/>
      <c r="B30" s="196"/>
      <c r="C30" s="209"/>
      <c r="D30" s="198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13">
      <c r="A31" s="198"/>
      <c r="B31" s="196"/>
      <c r="C31" s="209"/>
      <c r="D31" s="198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13">
      <c r="A32" s="198">
        <v>1.4</v>
      </c>
      <c r="B32" s="256" t="s">
        <v>484</v>
      </c>
      <c r="C32" s="209" t="s">
        <v>268</v>
      </c>
      <c r="D32" s="257" t="s">
        <v>349</v>
      </c>
      <c r="E32" s="204"/>
      <c r="F32" s="204">
        <v>193.1</v>
      </c>
      <c r="G32" s="204"/>
      <c r="H32" s="204"/>
      <c r="I32" s="204"/>
      <c r="J32" s="204"/>
      <c r="K32" s="204"/>
      <c r="L32" s="204"/>
      <c r="M32" s="204"/>
    </row>
    <row r="33" spans="1:13">
      <c r="A33" s="198"/>
      <c r="B33" s="256"/>
      <c r="C33" s="209"/>
      <c r="D33" s="198" t="s">
        <v>362</v>
      </c>
      <c r="E33" s="204"/>
      <c r="F33" s="220">
        <f>F32/100</f>
        <v>1.931</v>
      </c>
      <c r="G33" s="204"/>
      <c r="H33" s="204"/>
      <c r="I33" s="204"/>
      <c r="J33" s="204"/>
      <c r="K33" s="204"/>
      <c r="L33" s="204"/>
      <c r="M33" s="204"/>
    </row>
    <row r="34" spans="1:13">
      <c r="A34" s="198" t="s">
        <v>22</v>
      </c>
      <c r="B34" s="196"/>
      <c r="C34" s="209" t="s">
        <v>15</v>
      </c>
      <c r="D34" s="198" t="s">
        <v>1</v>
      </c>
      <c r="E34" s="204">
        <v>15</v>
      </c>
      <c r="F34" s="204">
        <f>E34*F33</f>
        <v>28.965</v>
      </c>
      <c r="G34" s="204"/>
      <c r="H34" s="204"/>
      <c r="I34" s="204"/>
      <c r="J34" s="204"/>
      <c r="K34" s="204"/>
      <c r="L34" s="204"/>
      <c r="M34" s="204"/>
    </row>
    <row r="35" spans="1:13">
      <c r="A35" s="198" t="s">
        <v>213</v>
      </c>
      <c r="B35" s="259" t="s">
        <v>361</v>
      </c>
      <c r="C35" s="209" t="s">
        <v>70</v>
      </c>
      <c r="D35" s="198" t="s">
        <v>24</v>
      </c>
      <c r="E35" s="204">
        <v>2.16</v>
      </c>
      <c r="F35" s="204">
        <f>E35*F33</f>
        <v>4.17096</v>
      </c>
      <c r="G35" s="204"/>
      <c r="H35" s="204"/>
      <c r="I35" s="204"/>
      <c r="J35" s="204"/>
      <c r="K35" s="204"/>
      <c r="L35" s="204"/>
      <c r="M35" s="204"/>
    </row>
    <row r="36" spans="1:13">
      <c r="A36" s="198" t="s">
        <v>214</v>
      </c>
      <c r="B36" s="259" t="s">
        <v>485</v>
      </c>
      <c r="C36" s="209" t="s">
        <v>83</v>
      </c>
      <c r="D36" s="198" t="s">
        <v>24</v>
      </c>
      <c r="E36" s="204">
        <v>2.73</v>
      </c>
      <c r="F36" s="204">
        <f>E36*F33</f>
        <v>5.27163</v>
      </c>
      <c r="G36" s="204"/>
      <c r="H36" s="204"/>
      <c r="I36" s="204"/>
      <c r="J36" s="204"/>
      <c r="K36" s="204"/>
      <c r="L36" s="204"/>
      <c r="M36" s="204"/>
    </row>
    <row r="37" spans="1:13">
      <c r="A37" s="198" t="s">
        <v>215</v>
      </c>
      <c r="B37" s="259" t="s">
        <v>450</v>
      </c>
      <c r="C37" s="209" t="s">
        <v>71</v>
      </c>
      <c r="D37" s="198" t="s">
        <v>24</v>
      </c>
      <c r="E37" s="204">
        <v>0.97</v>
      </c>
      <c r="F37" s="204">
        <f>E37*F33</f>
        <v>1.87307</v>
      </c>
      <c r="G37" s="204"/>
      <c r="H37" s="204"/>
      <c r="I37" s="204"/>
      <c r="J37" s="204"/>
      <c r="K37" s="204"/>
      <c r="L37" s="204"/>
      <c r="M37" s="204"/>
    </row>
    <row r="38" spans="1:13">
      <c r="A38" s="198" t="s">
        <v>218</v>
      </c>
      <c r="B38" s="196"/>
      <c r="C38" s="209" t="s">
        <v>72</v>
      </c>
      <c r="D38" s="198" t="s">
        <v>349</v>
      </c>
      <c r="E38" s="204">
        <v>7</v>
      </c>
      <c r="F38" s="204">
        <f>E38*F33</f>
        <v>13.516999999999999</v>
      </c>
      <c r="G38" s="204"/>
      <c r="H38" s="204"/>
      <c r="I38" s="204"/>
      <c r="J38" s="204"/>
      <c r="K38" s="204"/>
      <c r="L38" s="204"/>
      <c r="M38" s="204"/>
    </row>
    <row r="39" spans="1:13">
      <c r="A39" s="198" t="s">
        <v>219</v>
      </c>
      <c r="B39" s="259" t="s">
        <v>487</v>
      </c>
      <c r="C39" s="209" t="s">
        <v>274</v>
      </c>
      <c r="D39" s="198" t="s">
        <v>349</v>
      </c>
      <c r="E39" s="204">
        <f>122*95%</f>
        <v>115.89999999999999</v>
      </c>
      <c r="F39" s="204">
        <f>E39*F33</f>
        <v>223.80289999999999</v>
      </c>
      <c r="G39" s="204"/>
      <c r="H39" s="204"/>
      <c r="I39" s="204"/>
      <c r="J39" s="204"/>
      <c r="K39" s="204"/>
      <c r="L39" s="204"/>
      <c r="M39" s="204"/>
    </row>
    <row r="40" spans="1:13">
      <c r="A40" s="198" t="s">
        <v>220</v>
      </c>
      <c r="B40" s="259" t="s">
        <v>488</v>
      </c>
      <c r="C40" s="209" t="s">
        <v>269</v>
      </c>
      <c r="D40" s="198" t="s">
        <v>23</v>
      </c>
      <c r="E40" s="204">
        <f>122*5%</f>
        <v>6.1000000000000005</v>
      </c>
      <c r="F40" s="204">
        <f>F33*E40</f>
        <v>11.779100000000001</v>
      </c>
      <c r="G40" s="224"/>
      <c r="H40" s="204"/>
      <c r="I40" s="204"/>
      <c r="J40" s="204"/>
      <c r="K40" s="204"/>
      <c r="L40" s="204"/>
      <c r="M40" s="204"/>
    </row>
    <row r="41" spans="1:13">
      <c r="A41" s="198"/>
      <c r="B41" s="196"/>
      <c r="C41" s="209"/>
      <c r="D41" s="198"/>
      <c r="E41" s="204"/>
      <c r="F41" s="204"/>
      <c r="G41" s="204"/>
      <c r="H41" s="204"/>
      <c r="I41" s="204"/>
      <c r="J41" s="204"/>
      <c r="K41" s="204"/>
      <c r="L41" s="204"/>
      <c r="M41" s="204"/>
    </row>
    <row r="42" spans="1:13">
      <c r="A42" s="198">
        <v>1.5</v>
      </c>
      <c r="B42" s="196" t="s">
        <v>270</v>
      </c>
      <c r="C42" s="209" t="s">
        <v>272</v>
      </c>
      <c r="D42" s="257" t="s">
        <v>359</v>
      </c>
      <c r="E42" s="204"/>
      <c r="F42" s="204">
        <v>1931</v>
      </c>
      <c r="G42" s="204"/>
      <c r="H42" s="204"/>
      <c r="I42" s="204"/>
      <c r="J42" s="204"/>
      <c r="K42" s="204"/>
      <c r="L42" s="204"/>
      <c r="M42" s="204"/>
    </row>
    <row r="43" spans="1:13">
      <c r="A43" s="198"/>
      <c r="B43" s="196"/>
      <c r="C43" s="209"/>
      <c r="D43" s="198" t="s">
        <v>365</v>
      </c>
      <c r="E43" s="204"/>
      <c r="F43" s="220">
        <v>1.931</v>
      </c>
      <c r="G43" s="204"/>
      <c r="H43" s="204"/>
      <c r="I43" s="204"/>
      <c r="J43" s="204"/>
      <c r="K43" s="204"/>
      <c r="L43" s="204"/>
      <c r="M43" s="204"/>
    </row>
    <row r="44" spans="1:13">
      <c r="A44" s="198" t="s">
        <v>188</v>
      </c>
      <c r="B44" s="196"/>
      <c r="C44" s="209" t="s">
        <v>15</v>
      </c>
      <c r="D44" s="198" t="s">
        <v>1</v>
      </c>
      <c r="E44" s="204">
        <v>737</v>
      </c>
      <c r="F44" s="204">
        <f>ROUND(E44*F43,2)</f>
        <v>1423.15</v>
      </c>
      <c r="G44" s="204"/>
      <c r="H44" s="204"/>
      <c r="I44" s="204"/>
      <c r="J44" s="204"/>
      <c r="K44" s="204"/>
      <c r="L44" s="204"/>
      <c r="M44" s="204"/>
    </row>
    <row r="45" spans="1:13">
      <c r="A45" s="198" t="s">
        <v>189</v>
      </c>
      <c r="B45" s="259" t="s">
        <v>450</v>
      </c>
      <c r="C45" s="209" t="s">
        <v>71</v>
      </c>
      <c r="D45" s="198" t="s">
        <v>24</v>
      </c>
      <c r="E45" s="204">
        <v>15.3</v>
      </c>
      <c r="F45" s="204">
        <f>ROUND(E45*F43,1)</f>
        <v>29.5</v>
      </c>
      <c r="G45" s="204"/>
      <c r="H45" s="204"/>
      <c r="I45" s="204"/>
      <c r="J45" s="204"/>
      <c r="K45" s="204"/>
      <c r="L45" s="204"/>
      <c r="M45" s="204"/>
    </row>
    <row r="46" spans="1:13">
      <c r="A46" s="198" t="s">
        <v>190</v>
      </c>
      <c r="B46" s="259" t="s">
        <v>489</v>
      </c>
      <c r="C46" s="258" t="s">
        <v>490</v>
      </c>
      <c r="D46" s="260" t="s">
        <v>349</v>
      </c>
      <c r="E46" s="224">
        <f>8+123</f>
        <v>131</v>
      </c>
      <c r="F46" s="204">
        <f>ROUND(E46*F43,1)</f>
        <v>253</v>
      </c>
      <c r="G46" s="204"/>
      <c r="H46" s="204"/>
      <c r="I46" s="204"/>
      <c r="J46" s="204"/>
      <c r="K46" s="204"/>
      <c r="L46" s="204"/>
      <c r="M46" s="204"/>
    </row>
    <row r="47" spans="1:13">
      <c r="A47" s="198" t="s">
        <v>191</v>
      </c>
      <c r="B47" s="259" t="s">
        <v>491</v>
      </c>
      <c r="C47" s="209" t="s">
        <v>271</v>
      </c>
      <c r="D47" s="198" t="s">
        <v>349</v>
      </c>
      <c r="E47" s="204">
        <v>18.8</v>
      </c>
      <c r="F47" s="204">
        <f>ROUND(E47*F43,2)</f>
        <v>36.299999999999997</v>
      </c>
      <c r="G47" s="204"/>
      <c r="H47" s="204"/>
      <c r="I47" s="204"/>
      <c r="J47" s="204"/>
      <c r="K47" s="204"/>
      <c r="L47" s="204"/>
      <c r="M47" s="204"/>
    </row>
    <row r="48" spans="1:13">
      <c r="A48" s="198" t="s">
        <v>198</v>
      </c>
      <c r="B48" s="196"/>
      <c r="C48" s="209" t="s">
        <v>14</v>
      </c>
      <c r="D48" s="198" t="s">
        <v>25</v>
      </c>
      <c r="E48" s="204">
        <v>3.32</v>
      </c>
      <c r="F48" s="204">
        <f>ROUND(E48*F43,1)</f>
        <v>6.4</v>
      </c>
      <c r="G48" s="204"/>
      <c r="H48" s="204"/>
      <c r="I48" s="204"/>
      <c r="J48" s="204"/>
      <c r="K48" s="204"/>
      <c r="L48" s="204"/>
      <c r="M48" s="204"/>
    </row>
    <row r="49" spans="1:13">
      <c r="A49" s="198" t="s">
        <v>492</v>
      </c>
      <c r="B49" s="259" t="s">
        <v>487</v>
      </c>
      <c r="C49" s="261" t="s">
        <v>493</v>
      </c>
      <c r="D49" s="260" t="s">
        <v>349</v>
      </c>
      <c r="E49" s="224">
        <v>9.1999999999999993</v>
      </c>
      <c r="F49" s="224">
        <f>E49*F43</f>
        <v>17.7652</v>
      </c>
      <c r="G49" s="224"/>
      <c r="H49" s="224"/>
      <c r="I49" s="224"/>
      <c r="J49" s="224"/>
      <c r="K49" s="224"/>
      <c r="L49" s="224"/>
      <c r="M49" s="224"/>
    </row>
    <row r="50" spans="1:13">
      <c r="A50" s="198"/>
      <c r="B50" s="196"/>
      <c r="C50" s="209"/>
      <c r="D50" s="198"/>
      <c r="E50" s="204"/>
      <c r="F50" s="204"/>
      <c r="G50" s="204"/>
      <c r="H50" s="204"/>
      <c r="I50" s="204"/>
      <c r="J50" s="204"/>
      <c r="K50" s="204"/>
      <c r="L50" s="204"/>
      <c r="M50" s="204"/>
    </row>
    <row r="51" spans="1:13">
      <c r="A51" s="198"/>
      <c r="B51" s="196"/>
      <c r="C51" s="209"/>
      <c r="D51" s="198"/>
      <c r="E51" s="204"/>
      <c r="F51" s="204"/>
      <c r="G51" s="204"/>
      <c r="H51" s="204"/>
      <c r="I51" s="204"/>
      <c r="J51" s="204"/>
      <c r="K51" s="204"/>
      <c r="L51" s="204"/>
      <c r="M51" s="204"/>
    </row>
    <row r="52" spans="1:13" s="86" customFormat="1">
      <c r="A52" s="254"/>
      <c r="B52" s="85"/>
      <c r="C52" s="254" t="s">
        <v>4</v>
      </c>
      <c r="D52" s="254"/>
      <c r="E52" s="47"/>
      <c r="F52" s="47"/>
      <c r="G52" s="47"/>
      <c r="H52" s="47"/>
      <c r="I52" s="47"/>
      <c r="J52" s="47"/>
      <c r="K52" s="47"/>
      <c r="L52" s="47"/>
      <c r="M52" s="47"/>
    </row>
    <row r="53" spans="1:13" s="205" customFormat="1">
      <c r="A53" s="134"/>
      <c r="B53" s="196"/>
      <c r="C53" s="269"/>
      <c r="D53" s="269"/>
      <c r="E53" s="270"/>
      <c r="F53" s="270"/>
      <c r="G53" s="270"/>
      <c r="H53" s="270"/>
      <c r="I53" s="270"/>
      <c r="J53" s="270"/>
      <c r="K53" s="270"/>
      <c r="L53" s="270"/>
      <c r="M53" s="270"/>
    </row>
    <row r="54" spans="1:13" s="205" customFormat="1">
      <c r="A54" s="134"/>
      <c r="B54" s="196"/>
      <c r="C54" s="269" t="s">
        <v>10</v>
      </c>
      <c r="D54" s="271">
        <v>0.1</v>
      </c>
      <c r="E54" s="270"/>
      <c r="F54" s="270"/>
      <c r="G54" s="270"/>
      <c r="H54" s="270"/>
      <c r="I54" s="270"/>
      <c r="J54" s="270"/>
      <c r="K54" s="270"/>
      <c r="L54" s="270"/>
      <c r="M54" s="270"/>
    </row>
    <row r="55" spans="1:13" s="205" customFormat="1">
      <c r="A55" s="134"/>
      <c r="B55" s="196"/>
      <c r="C55" s="269" t="s">
        <v>4</v>
      </c>
      <c r="D55" s="271"/>
      <c r="E55" s="270"/>
      <c r="F55" s="270"/>
      <c r="G55" s="270"/>
      <c r="H55" s="270"/>
      <c r="I55" s="270"/>
      <c r="J55" s="270"/>
      <c r="K55" s="270"/>
      <c r="L55" s="270"/>
      <c r="M55" s="270"/>
    </row>
    <row r="56" spans="1:13" s="205" customFormat="1">
      <c r="A56" s="134"/>
      <c r="B56" s="196"/>
      <c r="C56" s="269" t="s">
        <v>11</v>
      </c>
      <c r="D56" s="271">
        <v>0.08</v>
      </c>
      <c r="E56" s="270"/>
      <c r="F56" s="270"/>
      <c r="G56" s="270"/>
      <c r="H56" s="270"/>
      <c r="I56" s="270"/>
      <c r="J56" s="270"/>
      <c r="K56" s="270"/>
      <c r="L56" s="270"/>
      <c r="M56" s="270"/>
    </row>
    <row r="57" spans="1:13" s="205" customFormat="1">
      <c r="A57" s="134"/>
      <c r="B57" s="196"/>
      <c r="C57" s="269"/>
      <c r="D57" s="271"/>
      <c r="E57" s="270"/>
      <c r="F57" s="270"/>
      <c r="G57" s="270"/>
      <c r="H57" s="270"/>
      <c r="I57" s="270"/>
      <c r="J57" s="270"/>
      <c r="K57" s="270"/>
      <c r="L57" s="270"/>
      <c r="M57" s="270"/>
    </row>
    <row r="58" spans="1:13" s="205" customFormat="1">
      <c r="A58" s="134"/>
      <c r="B58" s="196"/>
      <c r="C58" s="263" t="s">
        <v>4</v>
      </c>
      <c r="D58" s="263"/>
      <c r="E58" s="47"/>
      <c r="F58" s="47"/>
      <c r="G58" s="47"/>
      <c r="H58" s="47"/>
      <c r="I58" s="47"/>
      <c r="J58" s="47"/>
      <c r="K58" s="47"/>
      <c r="L58" s="47"/>
      <c r="M58" s="47"/>
    </row>
    <row r="59" spans="1:13">
      <c r="B59" s="214"/>
      <c r="C59" s="213"/>
      <c r="D59" s="214"/>
      <c r="E59" s="214"/>
      <c r="F59" s="214"/>
      <c r="G59" s="214"/>
      <c r="H59" s="214"/>
      <c r="I59" s="214"/>
      <c r="J59" s="214"/>
      <c r="K59" s="214"/>
      <c r="L59" s="214"/>
      <c r="M59" s="215"/>
    </row>
    <row r="60" spans="1:13">
      <c r="B60" s="214"/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5"/>
    </row>
    <row r="61" spans="1:13">
      <c r="B61" s="214"/>
      <c r="C61" s="213"/>
      <c r="D61" s="214"/>
      <c r="E61" s="214"/>
      <c r="F61" s="214"/>
      <c r="G61" s="214"/>
      <c r="H61" s="214"/>
      <c r="I61" s="214"/>
      <c r="J61" s="214"/>
      <c r="K61" s="214"/>
      <c r="L61" s="214"/>
      <c r="M61" s="215"/>
    </row>
    <row r="62" spans="1:13">
      <c r="B62" s="214"/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5"/>
    </row>
    <row r="63" spans="1:13">
      <c r="B63" s="214"/>
      <c r="C63" s="213"/>
      <c r="D63" s="214"/>
      <c r="E63" s="214"/>
      <c r="F63" s="214"/>
      <c r="G63" s="214"/>
      <c r="H63" s="214"/>
      <c r="I63" s="214"/>
      <c r="J63" s="214"/>
      <c r="K63" s="214"/>
      <c r="L63" s="214"/>
      <c r="M63" s="215"/>
    </row>
    <row r="64" spans="1:13">
      <c r="B64" s="214"/>
      <c r="C64" s="213"/>
      <c r="D64" s="214"/>
      <c r="E64" s="214"/>
      <c r="F64" s="214"/>
      <c r="G64" s="214"/>
      <c r="H64" s="214"/>
      <c r="I64" s="214"/>
      <c r="J64" s="214"/>
      <c r="K64" s="214"/>
      <c r="L64" s="214"/>
      <c r="M64" s="215"/>
    </row>
    <row r="65" spans="2:13">
      <c r="B65" s="214"/>
      <c r="C65" s="213"/>
      <c r="D65" s="214"/>
      <c r="E65" s="214"/>
      <c r="F65" s="214"/>
      <c r="G65" s="214"/>
      <c r="H65" s="214"/>
      <c r="I65" s="214"/>
      <c r="J65" s="214"/>
      <c r="K65" s="214"/>
      <c r="L65" s="214"/>
      <c r="M65" s="215"/>
    </row>
    <row r="66" spans="2:13">
      <c r="B66" s="214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5"/>
    </row>
    <row r="67" spans="2:13">
      <c r="B67" s="214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5"/>
    </row>
    <row r="68" spans="2:13">
      <c r="B68" s="214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5"/>
    </row>
    <row r="69" spans="2:13">
      <c r="B69" s="214"/>
      <c r="C69" s="213"/>
      <c r="D69" s="214"/>
      <c r="E69" s="214"/>
      <c r="F69" s="214"/>
      <c r="G69" s="214"/>
      <c r="H69" s="214"/>
      <c r="I69" s="214"/>
      <c r="J69" s="214"/>
      <c r="K69" s="214"/>
      <c r="L69" s="214"/>
      <c r="M69" s="215"/>
    </row>
    <row r="70" spans="2:13">
      <c r="B70" s="214"/>
      <c r="C70" s="213"/>
      <c r="D70" s="214"/>
      <c r="E70" s="214"/>
      <c r="F70" s="214"/>
      <c r="G70" s="214"/>
      <c r="H70" s="214"/>
      <c r="I70" s="214"/>
      <c r="J70" s="214"/>
      <c r="K70" s="214"/>
      <c r="L70" s="214"/>
      <c r="M70" s="215"/>
    </row>
    <row r="71" spans="2:13">
      <c r="B71" s="214"/>
      <c r="C71" s="213"/>
      <c r="D71" s="214"/>
      <c r="E71" s="214"/>
      <c r="F71" s="214"/>
      <c r="G71" s="214"/>
      <c r="H71" s="214"/>
      <c r="I71" s="214"/>
      <c r="J71" s="214"/>
      <c r="K71" s="214"/>
      <c r="L71" s="214"/>
      <c r="M71" s="215"/>
    </row>
    <row r="72" spans="2:13">
      <c r="B72" s="214"/>
      <c r="C72" s="213"/>
      <c r="D72" s="214"/>
      <c r="E72" s="214"/>
      <c r="F72" s="214"/>
      <c r="G72" s="214"/>
      <c r="H72" s="214"/>
      <c r="I72" s="214"/>
      <c r="J72" s="214"/>
      <c r="K72" s="214"/>
      <c r="L72" s="214"/>
      <c r="M72" s="215"/>
    </row>
    <row r="73" spans="2:13">
      <c r="B73" s="214"/>
      <c r="C73" s="213"/>
      <c r="D73" s="214"/>
      <c r="E73" s="214"/>
      <c r="F73" s="214"/>
      <c r="G73" s="214"/>
      <c r="H73" s="214"/>
      <c r="I73" s="214"/>
      <c r="J73" s="214"/>
      <c r="K73" s="214"/>
      <c r="L73" s="214"/>
      <c r="M73" s="215"/>
    </row>
    <row r="74" spans="2:13">
      <c r="B74" s="214"/>
      <c r="C74" s="213"/>
      <c r="D74" s="214"/>
      <c r="E74" s="214"/>
      <c r="F74" s="214"/>
      <c r="G74" s="214"/>
      <c r="H74" s="214"/>
      <c r="I74" s="214"/>
      <c r="J74" s="214"/>
      <c r="K74" s="214"/>
      <c r="L74" s="214"/>
      <c r="M74" s="215"/>
    </row>
    <row r="75" spans="2:13">
      <c r="B75" s="214"/>
      <c r="C75" s="213"/>
      <c r="D75" s="214"/>
      <c r="E75" s="214"/>
      <c r="F75" s="214"/>
      <c r="G75" s="214"/>
      <c r="H75" s="214"/>
      <c r="I75" s="214"/>
      <c r="J75" s="214"/>
      <c r="K75" s="214"/>
      <c r="L75" s="214"/>
      <c r="M75" s="215"/>
    </row>
    <row r="76" spans="2:13">
      <c r="B76" s="214"/>
      <c r="C76" s="213"/>
      <c r="D76" s="214"/>
      <c r="E76" s="214"/>
      <c r="F76" s="214"/>
      <c r="G76" s="214"/>
      <c r="H76" s="214"/>
      <c r="I76" s="214"/>
      <c r="J76" s="214"/>
      <c r="K76" s="214"/>
      <c r="L76" s="214"/>
      <c r="M76" s="215"/>
    </row>
    <row r="77" spans="2:13">
      <c r="B77" s="214"/>
      <c r="C77" s="213"/>
      <c r="D77" s="214"/>
      <c r="E77" s="214"/>
      <c r="F77" s="214"/>
      <c r="G77" s="214"/>
      <c r="H77" s="214"/>
      <c r="I77" s="214"/>
      <c r="J77" s="214"/>
      <c r="K77" s="214"/>
      <c r="L77" s="214"/>
      <c r="M77" s="215"/>
    </row>
    <row r="78" spans="2:13">
      <c r="B78" s="214"/>
      <c r="C78" s="213"/>
      <c r="D78" s="214"/>
      <c r="E78" s="214"/>
      <c r="F78" s="214"/>
      <c r="G78" s="214"/>
      <c r="H78" s="214"/>
      <c r="I78" s="214"/>
      <c r="J78" s="214"/>
      <c r="K78" s="214"/>
      <c r="L78" s="214"/>
      <c r="M78" s="215"/>
    </row>
    <row r="79" spans="2:13">
      <c r="B79" s="214"/>
      <c r="C79" s="213"/>
      <c r="D79" s="214"/>
      <c r="E79" s="214"/>
      <c r="F79" s="214"/>
      <c r="G79" s="214"/>
      <c r="H79" s="214"/>
      <c r="I79" s="214"/>
      <c r="J79" s="214"/>
      <c r="K79" s="214"/>
      <c r="L79" s="214"/>
      <c r="M79" s="215"/>
    </row>
    <row r="80" spans="2:13">
      <c r="B80" s="214"/>
      <c r="C80" s="213"/>
      <c r="D80" s="214"/>
      <c r="E80" s="214"/>
      <c r="F80" s="214"/>
      <c r="G80" s="214"/>
      <c r="H80" s="214"/>
      <c r="I80" s="214"/>
      <c r="J80" s="214"/>
      <c r="K80" s="214"/>
      <c r="L80" s="214"/>
      <c r="M80" s="215"/>
    </row>
    <row r="81" spans="2:13">
      <c r="B81" s="214"/>
      <c r="C81" s="213"/>
      <c r="D81" s="214"/>
      <c r="E81" s="214"/>
      <c r="F81" s="214"/>
      <c r="G81" s="214"/>
      <c r="H81" s="214"/>
      <c r="I81" s="214"/>
      <c r="J81" s="214"/>
      <c r="K81" s="214"/>
      <c r="L81" s="214"/>
      <c r="M81" s="215"/>
    </row>
    <row r="82" spans="2:13">
      <c r="B82" s="214"/>
      <c r="C82" s="213"/>
      <c r="D82" s="214"/>
      <c r="E82" s="214"/>
      <c r="F82" s="214"/>
      <c r="G82" s="214"/>
      <c r="H82" s="214"/>
      <c r="I82" s="214"/>
      <c r="J82" s="214"/>
      <c r="K82" s="214"/>
      <c r="L82" s="214"/>
      <c r="M82" s="215"/>
    </row>
    <row r="83" spans="2:13">
      <c r="B83" s="214"/>
      <c r="C83" s="213"/>
      <c r="D83" s="214"/>
      <c r="E83" s="214"/>
      <c r="F83" s="214"/>
      <c r="G83" s="214"/>
      <c r="H83" s="214"/>
      <c r="I83" s="214"/>
      <c r="J83" s="214"/>
      <c r="K83" s="214"/>
      <c r="L83" s="214"/>
      <c r="M83" s="215"/>
    </row>
    <row r="84" spans="2:13">
      <c r="B84" s="214"/>
      <c r="C84" s="213"/>
      <c r="D84" s="214"/>
      <c r="E84" s="214"/>
      <c r="F84" s="214"/>
      <c r="G84" s="214"/>
      <c r="H84" s="214"/>
      <c r="I84" s="214"/>
      <c r="J84" s="214"/>
      <c r="K84" s="214"/>
      <c r="L84" s="214"/>
      <c r="M84" s="215"/>
    </row>
    <row r="85" spans="2:13">
      <c r="B85" s="214"/>
      <c r="C85" s="213"/>
      <c r="D85" s="214"/>
      <c r="E85" s="214"/>
      <c r="F85" s="214"/>
      <c r="G85" s="214"/>
      <c r="H85" s="214"/>
      <c r="I85" s="214"/>
      <c r="J85" s="214"/>
      <c r="K85" s="214"/>
      <c r="L85" s="214"/>
      <c r="M85" s="215"/>
    </row>
    <row r="86" spans="2:13">
      <c r="B86" s="214"/>
      <c r="C86" s="213"/>
      <c r="D86" s="214"/>
      <c r="E86" s="214"/>
      <c r="F86" s="214"/>
      <c r="G86" s="214"/>
      <c r="H86" s="214"/>
      <c r="I86" s="214"/>
      <c r="J86" s="214"/>
      <c r="K86" s="214"/>
      <c r="L86" s="214"/>
      <c r="M86" s="215"/>
    </row>
    <row r="87" spans="2:13">
      <c r="B87" s="214"/>
      <c r="C87" s="213"/>
      <c r="D87" s="214"/>
      <c r="E87" s="214"/>
      <c r="F87" s="214"/>
      <c r="G87" s="214"/>
      <c r="H87" s="214"/>
      <c r="I87" s="214"/>
      <c r="J87" s="214"/>
      <c r="K87" s="214"/>
      <c r="L87" s="214"/>
      <c r="M87" s="215"/>
    </row>
    <row r="88" spans="2:13">
      <c r="B88" s="214"/>
      <c r="C88" s="213"/>
      <c r="D88" s="214"/>
      <c r="E88" s="214"/>
      <c r="F88" s="214"/>
      <c r="G88" s="214"/>
      <c r="H88" s="214"/>
      <c r="I88" s="214"/>
      <c r="J88" s="214"/>
      <c r="K88" s="214"/>
      <c r="L88" s="214"/>
      <c r="M88" s="215"/>
    </row>
    <row r="89" spans="2:13">
      <c r="B89" s="214"/>
      <c r="C89" s="213"/>
      <c r="D89" s="214"/>
      <c r="E89" s="214"/>
      <c r="F89" s="214"/>
      <c r="G89" s="214"/>
      <c r="H89" s="214"/>
      <c r="I89" s="214"/>
      <c r="J89" s="214"/>
      <c r="K89" s="214"/>
      <c r="L89" s="214"/>
      <c r="M89" s="215"/>
    </row>
    <row r="90" spans="2:13">
      <c r="B90" s="214"/>
      <c r="C90" s="213"/>
      <c r="D90" s="214"/>
      <c r="E90" s="214"/>
      <c r="F90" s="214"/>
      <c r="G90" s="214"/>
      <c r="H90" s="214"/>
      <c r="I90" s="214"/>
      <c r="J90" s="214"/>
      <c r="K90" s="214"/>
      <c r="L90" s="214"/>
      <c r="M90" s="215"/>
    </row>
    <row r="91" spans="2:13">
      <c r="B91" s="214"/>
      <c r="C91" s="213"/>
      <c r="D91" s="214"/>
      <c r="E91" s="214"/>
      <c r="F91" s="214"/>
      <c r="G91" s="214"/>
      <c r="H91" s="214"/>
      <c r="I91" s="214"/>
      <c r="J91" s="214"/>
      <c r="K91" s="214"/>
      <c r="L91" s="214"/>
      <c r="M91" s="215"/>
    </row>
    <row r="92" spans="2:13">
      <c r="B92" s="214"/>
      <c r="C92" s="213"/>
      <c r="D92" s="214"/>
      <c r="E92" s="214"/>
      <c r="F92" s="214"/>
      <c r="G92" s="214"/>
      <c r="H92" s="214"/>
      <c r="I92" s="214"/>
      <c r="J92" s="214"/>
      <c r="K92" s="214"/>
      <c r="L92" s="214"/>
      <c r="M92" s="215"/>
    </row>
    <row r="93" spans="2:13">
      <c r="B93" s="214"/>
      <c r="C93" s="213"/>
      <c r="D93" s="214"/>
      <c r="E93" s="214"/>
      <c r="F93" s="214"/>
      <c r="G93" s="214"/>
      <c r="H93" s="214"/>
      <c r="I93" s="214"/>
      <c r="J93" s="214"/>
      <c r="K93" s="214"/>
      <c r="L93" s="214"/>
      <c r="M93" s="215"/>
    </row>
    <row r="94" spans="2:13">
      <c r="B94" s="214"/>
      <c r="C94" s="213"/>
      <c r="D94" s="214"/>
      <c r="E94" s="214"/>
      <c r="F94" s="214"/>
      <c r="G94" s="214"/>
      <c r="H94" s="214"/>
      <c r="I94" s="214"/>
      <c r="J94" s="214"/>
      <c r="K94" s="214"/>
      <c r="L94" s="214"/>
      <c r="M94" s="215"/>
    </row>
    <row r="95" spans="2:13">
      <c r="B95" s="214"/>
      <c r="C95" s="213"/>
      <c r="D95" s="214"/>
      <c r="E95" s="214"/>
      <c r="F95" s="214"/>
      <c r="G95" s="214"/>
      <c r="H95" s="214"/>
      <c r="I95" s="214"/>
      <c r="J95" s="214"/>
      <c r="K95" s="214"/>
      <c r="L95" s="214"/>
      <c r="M95" s="215"/>
    </row>
    <row r="96" spans="2:13">
      <c r="B96" s="214"/>
      <c r="C96" s="213"/>
      <c r="D96" s="214"/>
      <c r="E96" s="214"/>
      <c r="F96" s="214"/>
      <c r="G96" s="214"/>
      <c r="H96" s="214"/>
      <c r="I96" s="214"/>
      <c r="J96" s="214"/>
      <c r="K96" s="214"/>
      <c r="L96" s="214"/>
      <c r="M96" s="215"/>
    </row>
    <row r="97" spans="2:13">
      <c r="B97" s="214"/>
      <c r="C97" s="213"/>
      <c r="D97" s="214"/>
      <c r="E97" s="214"/>
      <c r="F97" s="214"/>
      <c r="G97" s="214"/>
      <c r="H97" s="214"/>
      <c r="I97" s="214"/>
      <c r="J97" s="214"/>
      <c r="K97" s="214"/>
      <c r="L97" s="214"/>
      <c r="M97" s="215"/>
    </row>
    <row r="98" spans="2:13">
      <c r="B98" s="214"/>
      <c r="C98" s="213"/>
      <c r="D98" s="214"/>
      <c r="E98" s="214"/>
      <c r="F98" s="214"/>
      <c r="G98" s="214"/>
      <c r="H98" s="214"/>
      <c r="I98" s="214"/>
      <c r="J98" s="214"/>
      <c r="K98" s="214"/>
      <c r="L98" s="214"/>
      <c r="M98" s="215"/>
    </row>
    <row r="99" spans="2:13">
      <c r="B99" s="214"/>
      <c r="C99" s="213"/>
      <c r="D99" s="214"/>
      <c r="E99" s="214"/>
      <c r="F99" s="214"/>
      <c r="G99" s="214"/>
      <c r="H99" s="214"/>
      <c r="I99" s="214"/>
      <c r="J99" s="214"/>
      <c r="K99" s="214"/>
      <c r="L99" s="214"/>
      <c r="M99" s="215"/>
    </row>
    <row r="100" spans="2:13"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6"/>
    </row>
    <row r="101" spans="2:13"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6"/>
    </row>
    <row r="102" spans="2:13"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6"/>
    </row>
    <row r="103" spans="2:13"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6"/>
    </row>
    <row r="104" spans="2:13"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6"/>
    </row>
    <row r="105" spans="2:13"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6"/>
    </row>
    <row r="106" spans="2:13"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6"/>
    </row>
    <row r="107" spans="2:13"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6"/>
    </row>
    <row r="108" spans="2:13"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6"/>
    </row>
    <row r="109" spans="2:13"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6"/>
    </row>
    <row r="110" spans="2:13"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6"/>
    </row>
    <row r="111" spans="2:13"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6"/>
    </row>
    <row r="112" spans="2:13"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6"/>
    </row>
  </sheetData>
  <autoFilter ref="A1:M113"/>
  <mergeCells count="10">
    <mergeCell ref="B4:B5"/>
    <mergeCell ref="C4:C5"/>
    <mergeCell ref="D4:D5"/>
    <mergeCell ref="M4:M5"/>
    <mergeCell ref="A2:M2"/>
    <mergeCell ref="E4:F4"/>
    <mergeCell ref="G4:H4"/>
    <mergeCell ref="I4:J4"/>
    <mergeCell ref="K4:L4"/>
    <mergeCell ref="A4:A5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90"/>
  <sheetViews>
    <sheetView view="pageBreakPreview" topLeftCell="A25" zoomScale="60" zoomScaleNormal="55" workbookViewId="0">
      <selection activeCell="F13" sqref="F13"/>
    </sheetView>
  </sheetViews>
  <sheetFormatPr defaultRowHeight="15"/>
  <cols>
    <col min="1" max="1" width="15.7109375" style="26" customWidth="1"/>
    <col min="2" max="2" width="95.42578125" style="26" customWidth="1"/>
    <col min="3" max="3" width="9.7109375" style="26" customWidth="1"/>
    <col min="4" max="4" width="34.7109375" style="26" customWidth="1"/>
    <col min="5" max="7" width="20.7109375" customWidth="1"/>
  </cols>
  <sheetData>
    <row r="1" spans="1:4">
      <c r="A1" s="8"/>
      <c r="B1" s="8"/>
      <c r="C1" s="1"/>
      <c r="D1" s="1"/>
    </row>
    <row r="2" spans="1:4">
      <c r="A2" s="8"/>
      <c r="B2" s="8"/>
      <c r="C2" s="1"/>
      <c r="D2" s="1"/>
    </row>
    <row r="3" spans="1:4" ht="15" customHeight="1">
      <c r="A3" s="9">
        <f>სატენდერო!A3</f>
        <v>0</v>
      </c>
      <c r="B3" s="9"/>
      <c r="C3" s="1"/>
      <c r="D3" s="304"/>
    </row>
    <row r="4" spans="1:4" ht="15" customHeight="1">
      <c r="A4" s="9"/>
      <c r="B4" s="9"/>
      <c r="C4" s="1"/>
      <c r="D4" s="304"/>
    </row>
    <row r="5" spans="1:4" ht="15" customHeight="1">
      <c r="A5" s="9" t="s">
        <v>28</v>
      </c>
      <c r="B5" s="9"/>
      <c r="C5" s="1"/>
      <c r="D5" s="304"/>
    </row>
    <row r="6" spans="1:4" ht="15" customHeight="1">
      <c r="A6" s="9"/>
      <c r="B6" s="9"/>
      <c r="C6" s="1"/>
      <c r="D6" s="304"/>
    </row>
    <row r="7" spans="1:4" ht="15" customHeight="1">
      <c r="A7" s="9">
        <f>სატენდერო!A7</f>
        <v>0</v>
      </c>
      <c r="B7" s="9"/>
      <c r="C7" s="1"/>
      <c r="D7" s="304"/>
    </row>
    <row r="8" spans="1:4" ht="15" customHeight="1">
      <c r="A8" s="9"/>
      <c r="B8" s="9"/>
      <c r="C8" s="1"/>
      <c r="D8" s="304"/>
    </row>
    <row r="9" spans="1:4" ht="15" customHeight="1">
      <c r="A9" s="9" t="s">
        <v>29</v>
      </c>
      <c r="B9" s="9"/>
      <c r="C9" s="1"/>
      <c r="D9" s="304"/>
    </row>
    <row r="10" spans="1:4" ht="15" customHeight="1">
      <c r="A10" s="9"/>
      <c r="B10" s="9"/>
      <c r="C10" s="2"/>
      <c r="D10" s="304"/>
    </row>
    <row r="11" spans="1:4" ht="15" customHeight="1">
      <c r="A11" s="304"/>
      <c r="B11" s="304"/>
      <c r="C11" s="1"/>
      <c r="D11" s="304"/>
    </row>
    <row r="12" spans="1:4" ht="15" customHeight="1">
      <c r="A12" s="304"/>
      <c r="B12" s="304"/>
      <c r="C12" s="1"/>
      <c r="D12" s="304"/>
    </row>
    <row r="13" spans="1:4" s="7" customFormat="1" ht="80.099999999999994" customHeight="1">
      <c r="A13" s="300" t="s">
        <v>47</v>
      </c>
      <c r="B13" s="301"/>
      <c r="C13" s="301"/>
      <c r="D13" s="301"/>
    </row>
    <row r="14" spans="1:4" s="7" customFormat="1" ht="39.950000000000003" customHeight="1">
      <c r="A14" s="302" t="s">
        <v>2</v>
      </c>
      <c r="B14" s="302" t="s">
        <v>3</v>
      </c>
      <c r="C14" s="302" t="s">
        <v>12</v>
      </c>
      <c r="D14" s="303" t="s">
        <v>50</v>
      </c>
    </row>
    <row r="15" spans="1:4" s="7" customFormat="1" ht="39.950000000000003" customHeight="1">
      <c r="A15" s="302"/>
      <c r="B15" s="302"/>
      <c r="C15" s="302"/>
      <c r="D15" s="303"/>
    </row>
    <row r="16" spans="1:4" s="7" customFormat="1" ht="39.950000000000003" customHeight="1">
      <c r="A16" s="302"/>
      <c r="B16" s="302"/>
      <c r="C16" s="302"/>
      <c r="D16" s="303"/>
    </row>
    <row r="17" spans="1:4" s="7" customFormat="1" ht="39.950000000000003" customHeight="1">
      <c r="A17" s="10">
        <v>1</v>
      </c>
      <c r="B17" s="10">
        <v>2</v>
      </c>
      <c r="C17" s="10">
        <v>3</v>
      </c>
      <c r="D17" s="10">
        <v>4</v>
      </c>
    </row>
    <row r="18" spans="1:4" s="6" customFormat="1" ht="39.950000000000003" customHeight="1">
      <c r="A18" s="298" t="s">
        <v>51</v>
      </c>
      <c r="B18" s="299"/>
      <c r="C18" s="299"/>
      <c r="D18" s="299"/>
    </row>
    <row r="19" spans="1:4" s="6" customFormat="1" ht="39.950000000000003" customHeight="1">
      <c r="A19" s="11" t="s">
        <v>142</v>
      </c>
      <c r="B19" s="12" t="str">
        <f>სატენდერო!B20</f>
        <v>მოსამზადებელი სამუშაოები</v>
      </c>
      <c r="C19" s="12"/>
      <c r="D19" s="13">
        <f>სატენდერო!H28</f>
        <v>0</v>
      </c>
    </row>
    <row r="20" spans="1:4" s="6" customFormat="1" ht="39.950000000000003" customHeight="1">
      <c r="A20" s="298" t="s">
        <v>52</v>
      </c>
      <c r="B20" s="299"/>
      <c r="C20" s="299"/>
      <c r="D20" s="299"/>
    </row>
    <row r="21" spans="1:4" s="6" customFormat="1" ht="39.950000000000003" customHeight="1">
      <c r="A21" s="11" t="s">
        <v>155</v>
      </c>
      <c r="B21" s="12" t="str">
        <f>სატენდერო!B29</f>
        <v>მიწის ვაკისი</v>
      </c>
      <c r="C21" s="12"/>
      <c r="D21" s="13">
        <f>სატენდერო!H38</f>
        <v>0</v>
      </c>
    </row>
    <row r="22" spans="1:4" s="6" customFormat="1" ht="39.950000000000003" customHeight="1">
      <c r="A22" s="298" t="s">
        <v>53</v>
      </c>
      <c r="B22" s="299"/>
      <c r="C22" s="299"/>
      <c r="D22" s="299"/>
    </row>
    <row r="23" spans="1:4" s="6" customFormat="1" ht="39.950000000000003" customHeight="1">
      <c r="A23" s="11" t="s">
        <v>182</v>
      </c>
      <c r="B23" s="12" t="str">
        <f>სატენდერო!B39</f>
        <v>რ/ბ კედლის მოწყობის სამუშაოები პკ 0+60 პკ 1+10 სკ2</v>
      </c>
      <c r="C23" s="12"/>
      <c r="D23" s="13">
        <f>სატენდერო!H64</f>
        <v>0</v>
      </c>
    </row>
    <row r="24" spans="1:4" s="6" customFormat="1" ht="39.950000000000003" customHeight="1">
      <c r="A24" s="11" t="s">
        <v>183</v>
      </c>
      <c r="B24" s="12" t="str">
        <f>სატენდერო!B65</f>
        <v>რ/ბ კედლის მოწყობის სამუშაოები პკ 1+26 პკ 1+44 სკ2</v>
      </c>
      <c r="C24" s="12"/>
      <c r="D24" s="13">
        <f>სატენდერო!H89</f>
        <v>0</v>
      </c>
    </row>
    <row r="25" spans="1:4" s="6" customFormat="1" ht="39.950000000000003" customHeight="1">
      <c r="A25" s="11" t="s">
        <v>184</v>
      </c>
      <c r="B25" s="12" t="str">
        <f>სატენდერო!B90</f>
        <v>რ/ბ კედლის მოწყობის სამუშაოები პკ 3+35 პკ 3+42 სკ4</v>
      </c>
      <c r="C25" s="12"/>
      <c r="D25" s="13">
        <f>სატენდერო!H115</f>
        <v>0</v>
      </c>
    </row>
    <row r="26" spans="1:4" s="6" customFormat="1" ht="39.950000000000003" customHeight="1">
      <c r="A26" s="11" t="s">
        <v>323</v>
      </c>
      <c r="B26" s="12" t="e">
        <f>სატენდერო!B116</f>
        <v>#REF!</v>
      </c>
      <c r="C26" s="12"/>
      <c r="D26" s="13" t="e">
        <f>სატენდერო!H141</f>
        <v>#REF!</v>
      </c>
    </row>
    <row r="27" spans="1:4" s="6" customFormat="1" ht="39.950000000000003" customHeight="1">
      <c r="A27" s="11" t="s">
        <v>324</v>
      </c>
      <c r="B27" s="12" t="e">
        <f>სატენდერო!B142</f>
        <v>#REF!</v>
      </c>
      <c r="C27" s="12"/>
      <c r="D27" s="13" t="e">
        <f>სატენდერო!H161</f>
        <v>#REF!</v>
      </c>
    </row>
    <row r="28" spans="1:4" s="6" customFormat="1" ht="39.950000000000003" customHeight="1">
      <c r="A28" s="11" t="s">
        <v>322</v>
      </c>
      <c r="B28" s="12" t="str">
        <f>სატენდერო!B162</f>
        <v>სანიაღვრე ქსელის მოწყობა</v>
      </c>
      <c r="C28" s="12"/>
      <c r="D28" s="13" t="e">
        <f>სატენდერო!H176</f>
        <v>#REF!</v>
      </c>
    </row>
    <row r="29" spans="1:4" s="6" customFormat="1" ht="39.950000000000003" customHeight="1">
      <c r="A29" s="11" t="s">
        <v>321</v>
      </c>
      <c r="B29" s="12" t="str">
        <f>სატენდერო!B177</f>
        <v>კონტრფორსების მოწყობა</v>
      </c>
      <c r="C29" s="12"/>
      <c r="D29" s="13">
        <f>სატენდერო!H183</f>
        <v>0</v>
      </c>
    </row>
    <row r="30" spans="1:4" s="6" customFormat="1" ht="39.950000000000003" customHeight="1">
      <c r="A30" s="11" t="s">
        <v>330</v>
      </c>
      <c r="B30" s="12" t="str">
        <f>სატენდერო!B184</f>
        <v>ხის ღობის მოწყობა</v>
      </c>
      <c r="C30" s="12"/>
      <c r="D30" s="13">
        <f>სატენდერო!H191</f>
        <v>0</v>
      </c>
    </row>
    <row r="31" spans="1:4" s="6" customFormat="1" ht="39.950000000000003" customHeight="1">
      <c r="A31" s="298" t="s">
        <v>54</v>
      </c>
      <c r="B31" s="299"/>
      <c r="C31" s="299"/>
      <c r="D31" s="299"/>
    </row>
    <row r="32" spans="1:4" s="6" customFormat="1" ht="39.950000000000003" customHeight="1">
      <c r="A32" s="11" t="s">
        <v>169</v>
      </c>
      <c r="B32" s="12" t="str">
        <f>სატენდერო!B192</f>
        <v xml:space="preserve">საგზაო სამოსი </v>
      </c>
      <c r="C32" s="12"/>
      <c r="D32" s="13" t="e">
        <f>სატენდერო!H203</f>
        <v>#REF!</v>
      </c>
    </row>
    <row r="33" spans="1:4" s="7" customFormat="1" ht="39.950000000000003" customHeight="1">
      <c r="A33" s="10"/>
      <c r="B33" s="12" t="s">
        <v>4</v>
      </c>
      <c r="C33" s="14"/>
      <c r="D33" s="15" t="e">
        <f>ROUND(D19+D23+D21+D24+D25+D26+D29+D32+D27+D30+D28,2)</f>
        <v>#REF!</v>
      </c>
    </row>
    <row r="34" spans="1:4" s="7" customFormat="1" ht="39.950000000000003" customHeight="1">
      <c r="A34" s="16"/>
      <c r="B34" s="10" t="s">
        <v>26</v>
      </c>
      <c r="C34" s="17">
        <v>0.05</v>
      </c>
      <c r="D34" s="14" t="e">
        <f>ROUND(D33*C34,2)</f>
        <v>#REF!</v>
      </c>
    </row>
    <row r="35" spans="1:4" s="7" customFormat="1" ht="39.950000000000003" customHeight="1">
      <c r="A35" s="16"/>
      <c r="B35" s="10" t="s">
        <v>4</v>
      </c>
      <c r="C35" s="10"/>
      <c r="D35" s="15" t="e">
        <f>ROUND(SUM(D33:D34),2)</f>
        <v>#REF!</v>
      </c>
    </row>
    <row r="36" spans="1:4" s="7" customFormat="1" ht="39.950000000000003" customHeight="1">
      <c r="A36" s="16"/>
      <c r="B36" s="10" t="s">
        <v>27</v>
      </c>
      <c r="C36" s="17">
        <v>0.18</v>
      </c>
      <c r="D36" s="15" t="e">
        <f>ROUND(D35*C36,2)</f>
        <v>#REF!</v>
      </c>
    </row>
    <row r="37" spans="1:4" s="7" customFormat="1" ht="39.950000000000003" customHeight="1">
      <c r="A37" s="16"/>
      <c r="B37" s="10" t="s">
        <v>4</v>
      </c>
      <c r="C37" s="10"/>
      <c r="D37" s="18" t="e">
        <f>ROUND(SUM(D35:D36),2)</f>
        <v>#REF!</v>
      </c>
    </row>
    <row r="38" spans="1:4" ht="39.950000000000003" customHeight="1">
      <c r="A38" s="22"/>
      <c r="B38" s="23"/>
      <c r="C38" s="24"/>
      <c r="D38" s="24"/>
    </row>
    <row r="39" spans="1:4" ht="39.950000000000003" customHeight="1">
      <c r="A39" s="22"/>
      <c r="B39" s="23"/>
      <c r="C39" s="24"/>
      <c r="D39" s="25"/>
    </row>
    <row r="40" spans="1:4" ht="39.950000000000003" customHeight="1">
      <c r="A40" s="22"/>
      <c r="B40" s="23"/>
      <c r="C40" s="24"/>
      <c r="D40" s="24"/>
    </row>
    <row r="41" spans="1:4" ht="39.950000000000003" customHeight="1">
      <c r="A41" s="22"/>
      <c r="B41" s="23"/>
      <c r="C41" s="24"/>
      <c r="D41" s="24"/>
    </row>
    <row r="42" spans="1:4" ht="39.950000000000003" customHeight="1">
      <c r="A42" s="22"/>
      <c r="B42" s="23"/>
      <c r="C42" s="24"/>
      <c r="D42" s="24"/>
    </row>
    <row r="43" spans="1:4" ht="39.950000000000003" customHeight="1">
      <c r="A43" s="22"/>
      <c r="B43" s="23"/>
      <c r="C43" s="24"/>
      <c r="D43" s="24"/>
    </row>
    <row r="44" spans="1:4" ht="39.950000000000003" customHeight="1">
      <c r="A44" s="22"/>
      <c r="B44" s="23"/>
      <c r="C44" s="24"/>
      <c r="D44" s="24"/>
    </row>
    <row r="45" spans="1:4" ht="39.950000000000003" customHeight="1">
      <c r="A45" s="22"/>
      <c r="B45" s="23"/>
      <c r="C45" s="24"/>
      <c r="D45" s="24"/>
    </row>
    <row r="46" spans="1:4" ht="39.950000000000003" customHeight="1">
      <c r="A46" s="22"/>
      <c r="B46" s="23"/>
      <c r="C46" s="24"/>
      <c r="D46" s="24"/>
    </row>
    <row r="47" spans="1:4" ht="39.950000000000003" customHeight="1">
      <c r="A47" s="22"/>
      <c r="B47" s="23"/>
      <c r="C47" s="24"/>
      <c r="D47" s="24"/>
    </row>
    <row r="48" spans="1:4" ht="39.950000000000003" customHeight="1">
      <c r="A48" s="22"/>
      <c r="B48" s="23"/>
      <c r="C48" s="24"/>
      <c r="D48" s="24"/>
    </row>
    <row r="49" spans="1:4" ht="39.950000000000003" customHeight="1">
      <c r="A49" s="22"/>
      <c r="B49" s="23"/>
      <c r="C49" s="24"/>
      <c r="D49" s="24"/>
    </row>
    <row r="50" spans="1:4" ht="39.950000000000003" customHeight="1">
      <c r="A50" s="22"/>
      <c r="B50" s="23"/>
      <c r="C50" s="24"/>
      <c r="D50" s="24"/>
    </row>
    <row r="51" spans="1:4" ht="39.950000000000003" customHeight="1">
      <c r="A51" s="22"/>
      <c r="B51" s="23"/>
      <c r="C51" s="24"/>
      <c r="D51" s="24"/>
    </row>
    <row r="52" spans="1:4" ht="39.950000000000003" customHeight="1">
      <c r="A52" s="22"/>
      <c r="B52" s="23"/>
      <c r="C52" s="24"/>
      <c r="D52" s="24"/>
    </row>
    <row r="53" spans="1:4" ht="39.950000000000003" customHeight="1">
      <c r="A53" s="22"/>
      <c r="B53" s="23"/>
      <c r="C53" s="24"/>
      <c r="D53" s="24"/>
    </row>
    <row r="54" spans="1:4" ht="39.950000000000003" customHeight="1">
      <c r="A54" s="22"/>
      <c r="B54" s="23"/>
      <c r="C54" s="24"/>
      <c r="D54" s="24"/>
    </row>
    <row r="55" spans="1:4" ht="39.950000000000003" customHeight="1">
      <c r="A55" s="22"/>
      <c r="B55" s="23"/>
      <c r="C55" s="24"/>
      <c r="D55" s="24"/>
    </row>
    <row r="56" spans="1:4" ht="39.950000000000003" customHeight="1">
      <c r="A56" s="22"/>
      <c r="B56" s="23"/>
      <c r="C56" s="24"/>
      <c r="D56" s="24"/>
    </row>
    <row r="57" spans="1:4" ht="39.950000000000003" customHeight="1">
      <c r="A57" s="22"/>
      <c r="B57" s="23"/>
      <c r="C57" s="24"/>
      <c r="D57" s="24"/>
    </row>
    <row r="58" spans="1:4" ht="39.950000000000003" customHeight="1">
      <c r="A58" s="22"/>
      <c r="B58" s="23"/>
      <c r="C58" s="24"/>
      <c r="D58" s="24"/>
    </row>
    <row r="59" spans="1:4" ht="39.950000000000003" customHeight="1">
      <c r="A59" s="22"/>
      <c r="B59" s="23"/>
      <c r="C59" s="24"/>
      <c r="D59" s="24"/>
    </row>
    <row r="60" spans="1:4" ht="39.950000000000003" customHeight="1">
      <c r="A60" s="22"/>
      <c r="B60" s="23"/>
      <c r="C60" s="24"/>
      <c r="D60" s="24"/>
    </row>
    <row r="61" spans="1:4" ht="39.950000000000003" customHeight="1">
      <c r="A61" s="22"/>
      <c r="B61" s="23"/>
      <c r="C61" s="24"/>
      <c r="D61" s="24"/>
    </row>
    <row r="62" spans="1:4" ht="39.950000000000003" customHeight="1">
      <c r="A62" s="22"/>
      <c r="B62" s="23"/>
      <c r="C62" s="24"/>
      <c r="D62" s="24"/>
    </row>
    <row r="63" spans="1:4" ht="39.950000000000003" customHeight="1">
      <c r="A63" s="22"/>
      <c r="B63" s="23"/>
      <c r="C63" s="24"/>
      <c r="D63" s="24"/>
    </row>
    <row r="64" spans="1:4" ht="39.950000000000003" customHeight="1">
      <c r="A64" s="22"/>
      <c r="B64" s="23"/>
      <c r="C64" s="24"/>
      <c r="D64" s="24"/>
    </row>
    <row r="65" spans="1:4" ht="39.950000000000003" customHeight="1">
      <c r="A65" s="22"/>
      <c r="B65" s="23"/>
      <c r="C65" s="24"/>
      <c r="D65" s="24"/>
    </row>
    <row r="66" spans="1:4" ht="39.950000000000003" customHeight="1">
      <c r="A66" s="22"/>
      <c r="B66" s="23"/>
      <c r="C66" s="24"/>
      <c r="D66" s="24"/>
    </row>
    <row r="67" spans="1:4" ht="39.950000000000003" customHeight="1">
      <c r="A67" s="22"/>
      <c r="B67" s="23"/>
      <c r="C67" s="24"/>
      <c r="D67" s="24"/>
    </row>
    <row r="68" spans="1:4" ht="39.950000000000003" customHeight="1">
      <c r="A68" s="22"/>
      <c r="B68" s="23"/>
      <c r="C68" s="24"/>
      <c r="D68" s="24"/>
    </row>
    <row r="69" spans="1:4" ht="39.950000000000003" customHeight="1">
      <c r="A69" s="22"/>
      <c r="B69" s="23"/>
      <c r="C69" s="24"/>
      <c r="D69" s="24"/>
    </row>
    <row r="70" spans="1:4" ht="39.950000000000003" customHeight="1">
      <c r="A70" s="22"/>
      <c r="B70" s="23"/>
      <c r="C70" s="24"/>
      <c r="D70" s="24"/>
    </row>
    <row r="71" spans="1:4" ht="39.950000000000003" customHeight="1">
      <c r="A71" s="22"/>
      <c r="B71" s="23"/>
      <c r="C71" s="24"/>
      <c r="D71" s="24"/>
    </row>
    <row r="72" spans="1:4" ht="39.950000000000003" customHeight="1">
      <c r="A72" s="22"/>
      <c r="B72" s="23"/>
      <c r="C72" s="24"/>
      <c r="D72" s="24"/>
    </row>
    <row r="73" spans="1:4" ht="39.950000000000003" customHeight="1">
      <c r="A73" s="22"/>
      <c r="B73" s="23"/>
      <c r="C73" s="24"/>
      <c r="D73" s="24"/>
    </row>
    <row r="74" spans="1:4">
      <c r="B74" s="27"/>
      <c r="C74" s="28"/>
      <c r="D74" s="28"/>
    </row>
    <row r="75" spans="1:4">
      <c r="B75" s="27"/>
      <c r="C75" s="28"/>
      <c r="D75" s="28"/>
    </row>
    <row r="76" spans="1:4">
      <c r="B76" s="27"/>
      <c r="C76" s="28"/>
      <c r="D76" s="28"/>
    </row>
    <row r="77" spans="1:4">
      <c r="B77" s="27"/>
      <c r="C77" s="28"/>
      <c r="D77" s="28"/>
    </row>
    <row r="78" spans="1:4">
      <c r="B78" s="27"/>
      <c r="C78" s="27"/>
      <c r="D78" s="27"/>
    </row>
    <row r="79" spans="1:4">
      <c r="B79" s="27"/>
      <c r="C79" s="27"/>
      <c r="D79" s="27"/>
    </row>
    <row r="80" spans="1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  <row r="84" spans="2:4">
      <c r="B84" s="27"/>
      <c r="C84" s="27"/>
      <c r="D84" s="27"/>
    </row>
    <row r="85" spans="2:4">
      <c r="B85" s="27"/>
      <c r="C85" s="27"/>
      <c r="D85" s="27"/>
    </row>
    <row r="86" spans="2:4">
      <c r="B86" s="27"/>
      <c r="C86" s="27"/>
      <c r="D86" s="27"/>
    </row>
    <row r="87" spans="2:4">
      <c r="B87" s="27"/>
      <c r="C87" s="27"/>
      <c r="D87" s="27"/>
    </row>
    <row r="88" spans="2:4">
      <c r="B88" s="27"/>
      <c r="C88" s="27"/>
      <c r="D88" s="27"/>
    </row>
    <row r="89" spans="2:4">
      <c r="B89" s="27"/>
      <c r="C89" s="27"/>
      <c r="D89" s="27"/>
    </row>
    <row r="90" spans="2:4">
      <c r="B90" s="27"/>
      <c r="C90" s="27"/>
      <c r="D90" s="27"/>
    </row>
  </sheetData>
  <mergeCells count="15">
    <mergeCell ref="D3:D4"/>
    <mergeCell ref="D5:D6"/>
    <mergeCell ref="D7:D8"/>
    <mergeCell ref="D9:D10"/>
    <mergeCell ref="A11:B12"/>
    <mergeCell ref="D11:D12"/>
    <mergeCell ref="A20:D20"/>
    <mergeCell ref="A22:D22"/>
    <mergeCell ref="A31:D31"/>
    <mergeCell ref="A13:D13"/>
    <mergeCell ref="A14:A16"/>
    <mergeCell ref="B14:B16"/>
    <mergeCell ref="C14:C16"/>
    <mergeCell ref="D14:D16"/>
    <mergeCell ref="A18:D18"/>
  </mergeCells>
  <pageMargins left="0.7" right="0.7" top="0.75" bottom="0.75" header="0.3" footer="0.3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3"/>
  <sheetViews>
    <sheetView view="pageBreakPreview" topLeftCell="A67" zoomScale="60" zoomScaleNormal="55" workbookViewId="0">
      <selection activeCell="A7" sqref="A7:B8"/>
    </sheetView>
  </sheetViews>
  <sheetFormatPr defaultRowHeight="15"/>
  <cols>
    <col min="1" max="1" width="15.7109375" style="26" customWidth="1"/>
    <col min="2" max="2" width="107.140625" style="26" customWidth="1"/>
    <col min="3" max="4" width="15.7109375" style="26" customWidth="1"/>
    <col min="5" max="5" width="17.7109375" style="26" customWidth="1"/>
    <col min="6" max="6" width="15.7109375" style="26" customWidth="1"/>
    <col min="7" max="7" width="17.7109375" style="26" customWidth="1"/>
    <col min="8" max="8" width="21.28515625" style="29" bestFit="1" customWidth="1"/>
    <col min="9" max="9" width="20.7109375" style="26" customWidth="1"/>
    <col min="10" max="11" width="20.7109375" customWidth="1"/>
  </cols>
  <sheetData>
    <row r="1" spans="1:9">
      <c r="A1" s="316"/>
      <c r="B1" s="316"/>
      <c r="C1" s="1"/>
      <c r="D1" s="1"/>
      <c r="E1" s="1"/>
      <c r="F1" s="1"/>
      <c r="G1" s="1"/>
      <c r="H1" s="4"/>
      <c r="I1" s="1"/>
    </row>
    <row r="2" spans="1:9">
      <c r="A2" s="316"/>
      <c r="B2" s="316"/>
      <c r="C2" s="1"/>
      <c r="D2" s="1"/>
      <c r="E2" s="1"/>
      <c r="F2" s="1"/>
      <c r="G2" s="1"/>
      <c r="H2" s="4"/>
      <c r="I2" s="1"/>
    </row>
    <row r="3" spans="1:9">
      <c r="A3" s="304">
        <f>'1-1'!A1:C1</f>
        <v>0</v>
      </c>
      <c r="B3" s="304"/>
      <c r="C3" s="1"/>
      <c r="D3" s="1"/>
      <c r="E3" s="308" t="s">
        <v>17</v>
      </c>
      <c r="F3" s="308"/>
      <c r="G3" s="308"/>
      <c r="H3" s="304"/>
      <c r="I3" s="304"/>
    </row>
    <row r="4" spans="1:9">
      <c r="A4" s="304"/>
      <c r="B4" s="304"/>
      <c r="C4" s="1"/>
      <c r="D4" s="1"/>
      <c r="E4" s="308"/>
      <c r="F4" s="308"/>
      <c r="G4" s="308"/>
      <c r="H4" s="304"/>
      <c r="I4" s="304"/>
    </row>
    <row r="5" spans="1:9">
      <c r="A5" s="304" t="s">
        <v>28</v>
      </c>
      <c r="B5" s="304"/>
      <c r="C5" s="1"/>
      <c r="D5" s="1"/>
      <c r="E5" s="308" t="s">
        <v>18</v>
      </c>
      <c r="F5" s="308"/>
      <c r="G5" s="308"/>
      <c r="H5" s="304"/>
      <c r="I5" s="304"/>
    </row>
    <row r="6" spans="1:9">
      <c r="A6" s="304"/>
      <c r="B6" s="304"/>
      <c r="C6" s="1"/>
      <c r="D6" s="1"/>
      <c r="E6" s="308"/>
      <c r="F6" s="308"/>
      <c r="G6" s="308"/>
      <c r="H6" s="304"/>
      <c r="I6" s="304"/>
    </row>
    <row r="7" spans="1:9">
      <c r="A7" s="304">
        <f>'1-1'!A3:C3</f>
        <v>0</v>
      </c>
      <c r="B7" s="304"/>
      <c r="C7" s="1"/>
      <c r="D7" s="1"/>
      <c r="E7" s="308" t="s">
        <v>56</v>
      </c>
      <c r="F7" s="308"/>
      <c r="G7" s="308"/>
      <c r="H7" s="304" t="s">
        <v>20</v>
      </c>
      <c r="I7" s="304"/>
    </row>
    <row r="8" spans="1:9">
      <c r="A8" s="304"/>
      <c r="B8" s="304"/>
      <c r="C8" s="1"/>
      <c r="D8" s="1"/>
      <c r="E8" s="308"/>
      <c r="F8" s="308"/>
      <c r="G8" s="308"/>
      <c r="H8" s="304"/>
      <c r="I8" s="304"/>
    </row>
    <row r="9" spans="1:9">
      <c r="A9" s="304" t="s">
        <v>29</v>
      </c>
      <c r="B9" s="304"/>
      <c r="C9" s="1"/>
      <c r="D9" s="1"/>
      <c r="E9" s="308" t="s">
        <v>19</v>
      </c>
      <c r="F9" s="308"/>
      <c r="G9" s="308"/>
      <c r="H9" s="304"/>
      <c r="I9" s="304"/>
    </row>
    <row r="10" spans="1:9">
      <c r="A10" s="304"/>
      <c r="B10" s="304"/>
      <c r="C10" s="1"/>
      <c r="D10" s="1"/>
      <c r="E10" s="308"/>
      <c r="F10" s="308"/>
      <c r="G10" s="308"/>
      <c r="H10" s="304"/>
      <c r="I10" s="304"/>
    </row>
    <row r="11" spans="1:9">
      <c r="A11" s="304"/>
      <c r="B11" s="304"/>
      <c r="C11" s="1"/>
      <c r="D11" s="308"/>
      <c r="E11" s="308"/>
      <c r="F11" s="308"/>
      <c r="G11" s="308"/>
      <c r="H11" s="304"/>
      <c r="I11" s="304"/>
    </row>
    <row r="12" spans="1:9">
      <c r="A12" s="304"/>
      <c r="B12" s="304"/>
      <c r="C12" s="1"/>
      <c r="D12" s="308"/>
      <c r="E12" s="308"/>
      <c r="F12" s="308"/>
      <c r="G12" s="308"/>
      <c r="H12" s="304"/>
      <c r="I12" s="304"/>
    </row>
    <row r="13" spans="1:9">
      <c r="A13" s="309" t="str">
        <f>'1-1'!A5:M5</f>
        <v>დაბა მესტიაში ვ.სელას ქუჩის სარეაბილიტაციო სამუშაოების ლოკალურ-რესურსული ხარჯთაღრიცხვა</v>
      </c>
      <c r="B13" s="309"/>
      <c r="C13" s="309"/>
      <c r="D13" s="309"/>
      <c r="E13" s="309"/>
      <c r="F13" s="309"/>
      <c r="G13" s="309"/>
      <c r="H13" s="309"/>
      <c r="I13" s="309"/>
    </row>
    <row r="14" spans="1:9">
      <c r="A14" s="309"/>
      <c r="B14" s="309"/>
      <c r="C14" s="309"/>
      <c r="D14" s="309"/>
      <c r="E14" s="309"/>
      <c r="F14" s="309"/>
      <c r="G14" s="309"/>
      <c r="H14" s="309"/>
      <c r="I14" s="309"/>
    </row>
    <row r="15" spans="1:9">
      <c r="A15" s="309"/>
      <c r="B15" s="309"/>
      <c r="C15" s="309"/>
      <c r="D15" s="309"/>
      <c r="E15" s="309"/>
      <c r="F15" s="309"/>
      <c r="G15" s="309"/>
      <c r="H15" s="309"/>
      <c r="I15" s="309"/>
    </row>
    <row r="16" spans="1:9" s="5" customFormat="1">
      <c r="A16" s="302" t="s">
        <v>2</v>
      </c>
      <c r="B16" s="310" t="s">
        <v>3</v>
      </c>
      <c r="C16" s="313" t="s">
        <v>7</v>
      </c>
      <c r="D16" s="313" t="s">
        <v>8</v>
      </c>
      <c r="E16" s="313" t="s">
        <v>7</v>
      </c>
      <c r="F16" s="313" t="s">
        <v>8</v>
      </c>
      <c r="G16" s="305" t="s">
        <v>242</v>
      </c>
      <c r="H16" s="302" t="s">
        <v>243</v>
      </c>
      <c r="I16" s="302" t="s">
        <v>5</v>
      </c>
    </row>
    <row r="17" spans="1:9" s="5" customFormat="1">
      <c r="A17" s="302"/>
      <c r="B17" s="311"/>
      <c r="C17" s="314"/>
      <c r="D17" s="314"/>
      <c r="E17" s="314"/>
      <c r="F17" s="314"/>
      <c r="G17" s="306"/>
      <c r="H17" s="302"/>
      <c r="I17" s="302"/>
    </row>
    <row r="18" spans="1:9" s="5" customFormat="1">
      <c r="A18" s="302"/>
      <c r="B18" s="312"/>
      <c r="C18" s="315"/>
      <c r="D18" s="315"/>
      <c r="E18" s="315"/>
      <c r="F18" s="315"/>
      <c r="G18" s="307"/>
      <c r="H18" s="302"/>
      <c r="I18" s="302"/>
    </row>
    <row r="19" spans="1:9" s="5" customFormat="1" ht="19.5">
      <c r="A19" s="10">
        <v>1</v>
      </c>
      <c r="B19" s="10">
        <v>2</v>
      </c>
      <c r="C19" s="10">
        <v>3</v>
      </c>
      <c r="D19" s="10">
        <v>4</v>
      </c>
      <c r="E19" s="10">
        <v>3</v>
      </c>
      <c r="F19" s="10">
        <v>4</v>
      </c>
      <c r="G19" s="10">
        <v>5</v>
      </c>
      <c r="H19" s="10">
        <v>6</v>
      </c>
      <c r="I19" s="10">
        <v>7</v>
      </c>
    </row>
    <row r="20" spans="1:9" s="5" customFormat="1" ht="19.5">
      <c r="A20" s="10"/>
      <c r="B20" s="12" t="str">
        <f>'1-1'!C11</f>
        <v>მოსამზადებელი სამუშაოები</v>
      </c>
      <c r="C20" s="14"/>
      <c r="D20" s="14"/>
      <c r="E20" s="14"/>
      <c r="F20" s="14"/>
      <c r="G20" s="14"/>
      <c r="H20" s="15"/>
      <c r="I20" s="14"/>
    </row>
    <row r="21" spans="1:9" ht="78">
      <c r="A21" s="20">
        <f>'1-1'!A13</f>
        <v>1.1000000000000001</v>
      </c>
      <c r="B21" s="20" t="str">
        <f>'1-1'!C13</f>
        <v>ტრასის აღდგენა და გამაგრება</v>
      </c>
      <c r="C21" s="20" t="str">
        <f>'1-1'!D13</f>
        <v>კმ</v>
      </c>
      <c r="D21" s="20">
        <f>'1-1'!F13</f>
        <v>0.2</v>
      </c>
      <c r="E21" s="19" t="str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კმ</v>
      </c>
      <c r="F21" s="15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0.2</v>
      </c>
      <c r="G21" s="19">
        <f t="shared" ref="G21" si="2">ROUND(H21/F21,2)</f>
        <v>0</v>
      </c>
      <c r="H21" s="20">
        <f>'1-1'!M13</f>
        <v>0</v>
      </c>
      <c r="I21" s="20" t="str">
        <f>'1-1'!B12</f>
        <v>СЦИР-82, გვ. 557, ცხრ. 17; პ. 7 ა კ=1.1;  პ. 15 კ=1.13</v>
      </c>
    </row>
    <row r="22" spans="1:9" ht="19.5">
      <c r="A22" s="20">
        <f>'1-1'!A18</f>
        <v>0</v>
      </c>
      <c r="B22" s="20">
        <f>'1-1'!C18</f>
        <v>0</v>
      </c>
      <c r="C22" s="20" t="str">
        <f>'1-1'!D18</f>
        <v>1000 მ3</v>
      </c>
      <c r="D22" s="20">
        <f>'1-1'!F18</f>
        <v>0.14499999999999999</v>
      </c>
      <c r="E22" s="19" t="b">
        <f t="shared" ref="E22:E23" si="3">IF(C22="კმ","კმ",IF(C22="1 ჰა","1 ჰა",IF(C22="100 ც","ც",IF(C22="1 ც","ც",IF(C22="ც","ც",IF(C22="ტ","ტ",IF(C22="1 ტ","ტ",IF(C22="მ³","მ³",IF(C22="1 მ³","მ³",IF(C22="10 მ³","მ³",IF(C22="100 მ³","მ³",IF(C22="1000 მ³","მ³",IF(C22="1000 მ","მ",IF(C22="100 მ","მ",IF(C22="10 მ","მ",IF(C22="10 მ ","მ",IF(C22="მ","მ",IF(C22="1000 მ²","მ²",IF(C22="1000 მ² ","მ²",IF(C22="100 მ²","მ²",IF(C22="100 მ² ","მ²",IF(C22="10 მ²","მ²",IF(C22="მ² ","მ²",IF(C22="ლარი","ლარი",IF(C22="ხიდი","ლარი",IF(C22="100 მ","მ",IF(C22="გ.მ.","მ")))))))))))))))))))))))))))</f>
        <v>0</v>
      </c>
      <c r="F22" s="15" t="b">
        <f t="shared" ref="F22:F23" si="4">IF(C22="კმ",D22,IF(C22="1 ჰა",D22,IF(C22="100 ც",D22*100,IF(C22="1 ც",D22,IF(C22="ც",D22,IF(C22="ტ",D22,IF(C22="1 ტ",D22,IF(C22="მ³",D22,IF(C22="1 მ³",D22,IF(C22="10 მ³",D22*10,IF(C22="100 მ³",D22*100,IF(C22="1000 მ³",D22*1000,IF(C22="1000 მ",D22*1000,IF(C22="100 მ",D22*100,IF(C22="10 მ",D22*10,IF(C22="10 მ ",D22*10,IF(C22="მ",D22,IF(C22="1000 მ²",D22*1000,IF(C22="1000 მ² ",D22*1000,IF(C22="100 მ²",D22*100,IF(C22="100 მ² ",D22*100,IF(C22="10 მ²",D22*10,IF(C22="მ² ",D22,IF(C22="ლარი",D22,IF(C22="ხიდი",D22,IF(C22="100 მ",D22*100,IF(C22="გ.მ.",D22)))))))))))))))))))))))))))</f>
        <v>0</v>
      </c>
      <c r="G22" s="19" t="e">
        <f t="shared" ref="G22:G23" si="5">ROUND(H22/F22,2)</f>
        <v>#DIV/0!</v>
      </c>
      <c r="H22" s="20">
        <f>'1-1'!M18</f>
        <v>0</v>
      </c>
      <c r="I22" s="20">
        <f>'1-1'!B18</f>
        <v>0</v>
      </c>
    </row>
    <row r="23" spans="1:9" ht="19.5">
      <c r="A23" s="20">
        <f>'1-1'!A23</f>
        <v>1.3</v>
      </c>
      <c r="B23" s="20" t="str">
        <f>'1-1'!C23</f>
        <v>ტვირთის ტრანსპორტირება ნაყარში 3 კმ მანძილზე</v>
      </c>
      <c r="C23" s="20" t="str">
        <f>'1-1'!D23</f>
        <v>ტ</v>
      </c>
      <c r="D23" s="20">
        <f>'1-1'!F23</f>
        <v>304.5</v>
      </c>
      <c r="E23" s="19" t="str">
        <f t="shared" si="3"/>
        <v>ტ</v>
      </c>
      <c r="F23" s="15">
        <f t="shared" si="4"/>
        <v>304.5</v>
      </c>
      <c r="G23" s="19">
        <f t="shared" si="5"/>
        <v>0</v>
      </c>
      <c r="H23" s="20">
        <f>'1-1'!M23</f>
        <v>0</v>
      </c>
      <c r="I23" s="20" t="str">
        <f>'1-1'!B23</f>
        <v>15-ტრ-3</v>
      </c>
    </row>
    <row r="24" spans="1:9" s="5" customFormat="1" ht="19.5">
      <c r="A24" s="16"/>
      <c r="B24" s="10" t="s">
        <v>4</v>
      </c>
      <c r="C24" s="14"/>
      <c r="D24" s="15"/>
      <c r="E24" s="15"/>
      <c r="F24" s="19"/>
      <c r="G24" s="15"/>
      <c r="H24" s="15">
        <f>ROUND(SUM(H21:H23),2)</f>
        <v>0</v>
      </c>
      <c r="I24" s="21"/>
    </row>
    <row r="25" spans="1:9" s="5" customFormat="1" ht="19.5">
      <c r="A25" s="16"/>
      <c r="B25" s="10" t="s">
        <v>10</v>
      </c>
      <c r="C25" s="14"/>
      <c r="D25" s="14"/>
      <c r="E25" s="30" t="s">
        <v>12</v>
      </c>
      <c r="F25" s="14">
        <v>10</v>
      </c>
      <c r="G25" s="14"/>
      <c r="H25" s="15">
        <f>ROUND(H24*F25%,2)</f>
        <v>0</v>
      </c>
      <c r="I25" s="21"/>
    </row>
    <row r="26" spans="1:9" s="5" customFormat="1" ht="19.5">
      <c r="A26" s="16"/>
      <c r="B26" s="10" t="s">
        <v>4</v>
      </c>
      <c r="C26" s="14"/>
      <c r="D26" s="14"/>
      <c r="E26" s="19"/>
      <c r="F26" s="14"/>
      <c r="G26" s="19"/>
      <c r="H26" s="19">
        <f>ROUND(SUM(H24:H25),2)</f>
        <v>0</v>
      </c>
      <c r="I26" s="21"/>
    </row>
    <row r="27" spans="1:9" s="5" customFormat="1" ht="19.5">
      <c r="A27" s="16"/>
      <c r="B27" s="10" t="s">
        <v>11</v>
      </c>
      <c r="C27" s="14"/>
      <c r="D27" s="14"/>
      <c r="E27" s="30" t="s">
        <v>12</v>
      </c>
      <c r="F27" s="14">
        <v>8</v>
      </c>
      <c r="G27" s="14"/>
      <c r="H27" s="15">
        <f>ROUND(H26*F27%,2)</f>
        <v>0</v>
      </c>
      <c r="I27" s="21"/>
    </row>
    <row r="28" spans="1:9" s="5" customFormat="1" ht="19.5">
      <c r="A28" s="16"/>
      <c r="B28" s="10" t="s">
        <v>4</v>
      </c>
      <c r="C28" s="14"/>
      <c r="D28" s="14"/>
      <c r="E28" s="14"/>
      <c r="F28" s="14"/>
      <c r="G28" s="14"/>
      <c r="H28" s="15">
        <f>ROUND(SUM(H26:H27),2)</f>
        <v>0</v>
      </c>
      <c r="I28" s="21"/>
    </row>
    <row r="29" spans="1:9" s="5" customFormat="1" ht="19.5">
      <c r="A29" s="10"/>
      <c r="B29" s="12" t="str">
        <f>'2-1'!C7</f>
        <v>მიწის ვაკისი</v>
      </c>
      <c r="C29" s="14"/>
      <c r="D29" s="14"/>
      <c r="E29" s="14"/>
      <c r="F29" s="14"/>
      <c r="G29" s="14"/>
      <c r="H29" s="15"/>
      <c r="I29" s="14"/>
    </row>
    <row r="30" spans="1:9" ht="19.5">
      <c r="A30" s="20">
        <f>'2-1'!A10</f>
        <v>0</v>
      </c>
      <c r="B30" s="20">
        <f>'2-1'!C10</f>
        <v>0</v>
      </c>
      <c r="C30" s="20" t="str">
        <f>'2-1'!D10</f>
        <v>1000 მ3</v>
      </c>
      <c r="D30" s="20">
        <f>'2-1'!F10</f>
        <v>0.28199999999999997</v>
      </c>
      <c r="E30" s="19" t="b">
        <f t="shared" ref="E30" si="6">IF(C30="კმ","კმ",IF(C30="1 ჰა","1 ჰა",IF(C30="100 ც","ც",IF(C30="1 ც","ც",IF(C30="ც","ც",IF(C30="ტ","ტ",IF(C30="1 ტ","ტ",IF(C30="მ³","მ³",IF(C30="1 მ³","მ³",IF(C30="10 მ³","მ³",IF(C30="100 მ³","მ³",IF(C30="1000 მ³","მ³",IF(C30="1000 მ","მ",IF(C30="100 მ","მ",IF(C30="10 მ","მ",IF(C30="10 მ ","მ",IF(C30="მ","მ",IF(C30="1000 მ²","მ²",IF(C30="1000 მ² ","მ²",IF(C30="100 მ²","მ²",IF(C30="100 მ² ","მ²",IF(C30="10 მ²","მ²",IF(C30="მ² ","მ²",IF(C30="ლარი","ლარი",IF(C30="ხიდი","ლარი",IF(C30="100 მ","მ",IF(C30="გ.მ.","მ")))))))))))))))))))))))))))</f>
        <v>0</v>
      </c>
      <c r="F30" s="19" t="b">
        <f t="shared" ref="F30" si="7">IF(C30="კმ",D30,IF(C30="1 ჰა",D30,IF(C30="100 ც",D30*100,IF(C30="1 ც",D30,IF(C30="ც",D30,IF(C30="ტ",D30,IF(C30="1 ტ",D30,IF(C30="მ³",D30,IF(C30="1 მ³",D30,IF(C30="10 მ³",D30*10,IF(C30="100 მ³",D30*100,IF(C30="1000 მ³",D30*1000,IF(C30="1000 მ",D30*1000,IF(C30="100 მ",D30*100,IF(C30="10 მ",D30*10,IF(C30="10 მ ",D30*10,IF(C30="მ",D30,IF(C30="1000 მ²",D30*1000,IF(C30="1000 მ² ",D30*1000,IF(C30="100 მ²",D30*100,IF(C30="100 მ² ",D30*100,IF(C30="10 მ²",D30*10,IF(C30="მ² ",D30,IF(C30="ლარი",D30,IF(C30="ხიდი",D30,IF(C30="100 მ",D30*100,IF(C30="გ.მ.",D30)))))))))))))))))))))))))))</f>
        <v>0</v>
      </c>
      <c r="G30" s="19" t="e">
        <f t="shared" ref="G30" si="8">ROUND(H30/F30,2)</f>
        <v>#DIV/0!</v>
      </c>
      <c r="H30" s="20">
        <f>'2-1'!M10</f>
        <v>0</v>
      </c>
      <c r="I30" s="20">
        <f>'2-1'!B10</f>
        <v>0</v>
      </c>
    </row>
    <row r="31" spans="1:9" ht="19.5">
      <c r="A31" s="20">
        <f>'2-1'!A16</f>
        <v>1.2</v>
      </c>
      <c r="B31" s="20" t="str">
        <f>'2-1'!C16</f>
        <v>ტვირთის ტრანსპორტირება ნაყარში 3 კმ მანძილზე</v>
      </c>
      <c r="C31" s="20" t="str">
        <f>'2-1'!D16</f>
        <v>ტ</v>
      </c>
      <c r="D31" s="20">
        <f>'2-1'!F16</f>
        <v>549.9</v>
      </c>
      <c r="E31" s="19" t="str">
        <f t="shared" ref="E31:E33" si="9">IF(C31="კმ","კმ",IF(C31="1 ჰა","1 ჰა",IF(C31="100 ც","ც",IF(C31="1 ც","ც",IF(C31="ც","ც",IF(C31="ტ","ტ",IF(C31="1 ტ","ტ",IF(C31="მ³","მ³",IF(C31="1 მ³","მ³",IF(C31="10 მ³","მ³",IF(C31="100 მ³","მ³",IF(C31="1000 მ³","მ³",IF(C31="1000 მ","მ",IF(C31="100 მ","მ",IF(C31="10 მ","მ",IF(C31="10 მ ","მ",IF(C31="მ","მ",IF(C31="1000 მ²","მ²",IF(C31="1000 მ² ","მ²",IF(C31="100 მ²","მ²",IF(C31="100 მ² ","მ²",IF(C31="10 მ²","მ²",IF(C31="მ² ","მ²",IF(C31="ლარი","ლარი",IF(C31="ხიდი","ლარი",IF(C31="100 მ","მ",IF(C31="გ.მ.","მ")))))))))))))))))))))))))))</f>
        <v>ტ</v>
      </c>
      <c r="F31" s="19">
        <f t="shared" ref="F31:F33" si="10">IF(C31="კმ",D31,IF(C31="1 ჰა",D31,IF(C31="100 ც",D31*100,IF(C31="1 ც",D31,IF(C31="ც",D31,IF(C31="ტ",D31,IF(C31="1 ტ",D31,IF(C31="მ³",D31,IF(C31="1 მ³",D31,IF(C31="10 მ³",D31*10,IF(C31="100 მ³",D31*100,IF(C31="1000 მ³",D31*1000,IF(C31="1000 მ",D31*1000,IF(C31="100 მ",D31*100,IF(C31="10 მ",D31*10,IF(C31="10 მ ",D31*10,IF(C31="მ",D31,IF(C31="1000 მ²",D31*1000,IF(C31="1000 მ² ",D31*1000,IF(C31="100 მ²",D31*100,IF(C31="100 მ² ",D31*100,IF(C31="10 მ²",D31*10,IF(C31="მ² ",D31,IF(C31="ლარი",D31,IF(C31="ხიდი",D31,IF(C31="100 მ",D31*100,IF(C31="გ.მ.",D31)))))))))))))))))))))))))))</f>
        <v>549.9</v>
      </c>
      <c r="G31" s="19">
        <f t="shared" ref="G31:G33" si="11">ROUND(H31/F31,2)</f>
        <v>0</v>
      </c>
      <c r="H31" s="20">
        <f>'2-1'!M16</f>
        <v>0</v>
      </c>
      <c r="I31" s="20" t="str">
        <f>'2-1'!B16</f>
        <v>15-ტრ-3</v>
      </c>
    </row>
    <row r="32" spans="1:9" ht="19.5">
      <c r="A32" s="20">
        <f>'2-1'!A19</f>
        <v>0</v>
      </c>
      <c r="B32" s="20">
        <f>'2-1'!C19</f>
        <v>0</v>
      </c>
      <c r="C32" s="20" t="str">
        <f>'2-1'!D19</f>
        <v>1000 მ3</v>
      </c>
      <c r="D32" s="20">
        <f>'2-1'!F19</f>
        <v>0.28199999999999997</v>
      </c>
      <c r="E32" s="19" t="b">
        <f t="shared" si="9"/>
        <v>0</v>
      </c>
      <c r="F32" s="19" t="b">
        <f t="shared" si="10"/>
        <v>0</v>
      </c>
      <c r="G32" s="19" t="e">
        <f t="shared" si="11"/>
        <v>#DIV/0!</v>
      </c>
      <c r="H32" s="20">
        <f>'2-1'!M19</f>
        <v>0</v>
      </c>
      <c r="I32" s="20">
        <f>'2-1'!B19</f>
        <v>0</v>
      </c>
    </row>
    <row r="33" spans="1:10" ht="19.5">
      <c r="A33" s="31">
        <f>'2-1'!A26</f>
        <v>0</v>
      </c>
      <c r="B33" s="20">
        <f>'2-1'!C26</f>
        <v>0</v>
      </c>
      <c r="C33" s="20" t="str">
        <f>'2-1'!D26</f>
        <v>10000 მ2</v>
      </c>
      <c r="D33" s="20">
        <f>'2-1'!F26</f>
        <v>1.56</v>
      </c>
      <c r="E33" s="19" t="b">
        <f t="shared" si="9"/>
        <v>0</v>
      </c>
      <c r="F33" s="19" t="b">
        <f t="shared" si="10"/>
        <v>0</v>
      </c>
      <c r="G33" s="19" t="e">
        <f t="shared" si="11"/>
        <v>#DIV/0!</v>
      </c>
      <c r="H33" s="20">
        <f>'2-1'!M26</f>
        <v>0</v>
      </c>
      <c r="I33" s="20">
        <f>'2-1'!B26</f>
        <v>0</v>
      </c>
      <c r="J33" s="3"/>
    </row>
    <row r="34" spans="1:10" s="5" customFormat="1" ht="19.5">
      <c r="A34" s="16"/>
      <c r="B34" s="10" t="s">
        <v>4</v>
      </c>
      <c r="C34" s="14"/>
      <c r="D34" s="15"/>
      <c r="E34" s="15"/>
      <c r="F34" s="19"/>
      <c r="G34" s="15"/>
      <c r="H34" s="15">
        <f>ROUND(SUM(H30:H33),2)</f>
        <v>0</v>
      </c>
      <c r="I34" s="21"/>
    </row>
    <row r="35" spans="1:10" s="5" customFormat="1" ht="19.5">
      <c r="A35" s="16"/>
      <c r="B35" s="10" t="s">
        <v>10</v>
      </c>
      <c r="C35" s="14"/>
      <c r="D35" s="14"/>
      <c r="E35" s="30" t="s">
        <v>12</v>
      </c>
      <c r="F35" s="14">
        <v>10</v>
      </c>
      <c r="G35" s="14"/>
      <c r="H35" s="15">
        <f>ROUND(H34*F35%,2)</f>
        <v>0</v>
      </c>
      <c r="I35" s="21"/>
    </row>
    <row r="36" spans="1:10" s="5" customFormat="1" ht="19.5">
      <c r="A36" s="16"/>
      <c r="B36" s="10" t="s">
        <v>4</v>
      </c>
      <c r="C36" s="14"/>
      <c r="D36" s="14"/>
      <c r="E36" s="19"/>
      <c r="F36" s="14"/>
      <c r="G36" s="19"/>
      <c r="H36" s="19">
        <f>ROUND(SUM(H34:H35),2)</f>
        <v>0</v>
      </c>
      <c r="I36" s="21"/>
    </row>
    <row r="37" spans="1:10" s="5" customFormat="1" ht="19.5">
      <c r="A37" s="16"/>
      <c r="B37" s="10" t="s">
        <v>11</v>
      </c>
      <c r="C37" s="14"/>
      <c r="D37" s="14"/>
      <c r="E37" s="30" t="s">
        <v>12</v>
      </c>
      <c r="F37" s="14">
        <v>8</v>
      </c>
      <c r="G37" s="14"/>
      <c r="H37" s="15">
        <f>ROUND(H36*F37%,2)</f>
        <v>0</v>
      </c>
      <c r="I37" s="21"/>
    </row>
    <row r="38" spans="1:10" s="5" customFormat="1" ht="19.5">
      <c r="A38" s="16"/>
      <c r="B38" s="10" t="s">
        <v>4</v>
      </c>
      <c r="C38" s="14"/>
      <c r="D38" s="14"/>
      <c r="E38" s="14"/>
      <c r="F38" s="14"/>
      <c r="G38" s="14"/>
      <c r="H38" s="15">
        <f>ROUND(SUM(H36:H37),2)</f>
        <v>0</v>
      </c>
      <c r="I38" s="21"/>
    </row>
    <row r="39" spans="1:10" s="5" customFormat="1" ht="19.5">
      <c r="A39" s="10"/>
      <c r="B39" s="12" t="str">
        <f>'3-1'!C8</f>
        <v>რ/ბ კედლის მოწყობის სამუშაოები პკ 0+60 პკ 1+10 სკ2</v>
      </c>
      <c r="C39" s="14"/>
      <c r="D39" s="14"/>
      <c r="E39" s="14"/>
      <c r="F39" s="14"/>
      <c r="G39" s="14"/>
      <c r="H39" s="15"/>
      <c r="I39" s="14"/>
    </row>
    <row r="40" spans="1:10" ht="19.5">
      <c r="A40" s="20">
        <f>'3-1'!A11</f>
        <v>0</v>
      </c>
      <c r="B40" s="20">
        <f>'3-1'!C11</f>
        <v>0</v>
      </c>
      <c r="C40" s="20" t="str">
        <f>'3-1'!D11</f>
        <v>1000 მ3</v>
      </c>
      <c r="D40" s="20">
        <f>'3-1'!F11</f>
        <v>1.55</v>
      </c>
      <c r="E40" s="19" t="b">
        <f t="shared" ref="E40" si="12">IF(C40="კმ","კმ",IF(C40="1 ჰა","1 ჰა",IF(C40="100 ც","ც",IF(C40="1 ც","ც",IF(C40="ც","ც",IF(C40="ტ","ტ",IF(C40="1 ტ","ტ",IF(C40="მ³","მ³",IF(C40="1 მ³","მ³",IF(C40="10 მ³","მ³",IF(C40="100 მ³","მ³",IF(C40="1000 მ³","მ³",IF(C40="1000 მ","მ",IF(C40="100 მ","მ",IF(C40="10 მ","მ",IF(C40="10 მ ","მ",IF(C40="მ","მ",IF(C40="1000 მ²","მ²",IF(C40="1000 მ² ","მ²",IF(C40="100 მ²","მ²",IF(C40="100 მ² ","მ²",IF(C40="10 მ²","მ²",IF(C40="მ² ","მ²",IF(C40="ლარი","ლარი",IF(C40="ხიდი","ლარი",IF(C40="100 მ","მ",IF(C40="გ.მ.","მ")))))))))))))))))))))))))))</f>
        <v>0</v>
      </c>
      <c r="F40" s="19" t="b">
        <f t="shared" ref="F40" si="13">IF(C40="კმ",D40,IF(C40="1 ჰა",D40,IF(C40="100 ც",D40*100,IF(C40="1 ც",D40,IF(C40="ც",D40,IF(C40="ტ",D40,IF(C40="1 ტ",D40,IF(C40="მ³",D40,IF(C40="1 მ³",D40,IF(C40="10 მ³",D40*10,IF(C40="100 მ³",D40*100,IF(C40="1000 მ³",D40*1000,IF(C40="1000 მ",D40*1000,IF(C40="100 მ",D40*100,IF(C40="10 მ",D40*10,IF(C40="10 მ ",D40*10,IF(C40="მ",D40,IF(C40="1000 მ²",D40*1000,IF(C40="1000 მ² ",D40*1000,IF(C40="100 მ²",D40*100,IF(C40="100 მ² ",D40*100,IF(C40="10 მ²",D40*10,IF(C40="მ² ",D40,IF(C40="ლარი",D40,IF(C40="ხიდი",D40,IF(C40="100 მ",D40*100,IF(C40="გ.მ.",D40)))))))))))))))))))))))))))</f>
        <v>0</v>
      </c>
      <c r="G40" s="19" t="e">
        <f t="shared" ref="G40" si="14">ROUND(H40/F40,2)</f>
        <v>#DIV/0!</v>
      </c>
      <c r="H40" s="20">
        <f>'3-1'!M11</f>
        <v>0</v>
      </c>
      <c r="I40" s="20">
        <f>'3-1'!B11</f>
        <v>0</v>
      </c>
    </row>
    <row r="41" spans="1:10" ht="19.5">
      <c r="A41" s="20">
        <f>'3-1'!A18</f>
        <v>0</v>
      </c>
      <c r="B41" s="20">
        <f>'3-1'!C18</f>
        <v>0</v>
      </c>
      <c r="C41" s="20" t="str">
        <f>'3-1'!D18</f>
        <v>100 მ3</v>
      </c>
      <c r="D41" s="20">
        <f>'3-1'!F18</f>
        <v>0.16</v>
      </c>
      <c r="E41" s="19" t="b">
        <f t="shared" ref="E41:E56" si="15">IF(C41="კმ","კმ",IF(C41="1 ჰა","1 ჰა",IF(C41="100 ც","ც",IF(C41="1 ც","ც",IF(C41="ც","ც",IF(C41="ტ","ტ",IF(C41="1 ტ","ტ",IF(C41="მ³","მ³",IF(C41="1 მ³","მ³",IF(C41="10 მ³","მ³",IF(C41="100 მ³","მ³",IF(C41="1000 მ³","მ³",IF(C41="1000 მ","მ",IF(C41="100 მ","მ",IF(C41="10 მ","მ",IF(C41="10 მ ","მ",IF(C41="მ","მ",IF(C41="1000 მ²","მ²",IF(C41="1000 მ² ","მ²",IF(C41="100 მ²","მ²",IF(C41="100 მ² ","მ²",IF(C41="10 მ²","მ²",IF(C41="მ² ","მ²",IF(C41="ლარი","ლარი",IF(C41="ხიდი","ლარი",IF(C41="100 მ","მ",IF(C41="გ.მ.","მ")))))))))))))))))))))))))))</f>
        <v>0</v>
      </c>
      <c r="F41" s="19" t="b">
        <f t="shared" ref="F41:F56" si="16">IF(C41="კმ",D41,IF(C41="1 ჰა",D41,IF(C41="100 ც",D41*100,IF(C41="1 ც",D41,IF(C41="ც",D41,IF(C41="ტ",D41,IF(C41="1 ტ",D41,IF(C41="მ³",D41,IF(C41="1 მ³",D41,IF(C41="10 მ³",D41*10,IF(C41="100 მ³",D41*100,IF(C41="1000 მ³",D41*1000,IF(C41="1000 მ",D41*1000,IF(C41="100 მ",D41*100,IF(C41="10 მ",D41*10,IF(C41="10 მ ",D41*10,IF(C41="მ",D41,IF(C41="1000 მ²",D41*1000,IF(C41="1000 მ² ",D41*1000,IF(C41="100 მ²",D41*100,IF(C41="100 მ² ",D41*100,IF(C41="10 მ²",D41*10,IF(C41="მ² ",D41,IF(C41="ლარი",D41,IF(C41="ხიდი",D41,IF(C41="100 მ",D41*100,IF(C41="გ.მ.",D41)))))))))))))))))))))))))))</f>
        <v>0</v>
      </c>
      <c r="G41" s="19" t="e">
        <f t="shared" ref="G41:G56" si="17">ROUND(H41/F41,2)</f>
        <v>#DIV/0!</v>
      </c>
      <c r="H41" s="20">
        <f>'3-1'!M18</f>
        <v>0</v>
      </c>
      <c r="I41" s="20" t="str">
        <f>'3-1'!B18</f>
        <v>პ.3-107, კ=1.2</v>
      </c>
    </row>
    <row r="42" spans="1:10" ht="19.5">
      <c r="A42" s="20">
        <f>'3-1'!A21</f>
        <v>1.3</v>
      </c>
      <c r="B42" s="20" t="str">
        <f>'3-1'!C21</f>
        <v xml:space="preserve">გრუნტის დატვირთვა ავტოთვითმცლელზე ხელით </v>
      </c>
      <c r="C42" s="20" t="str">
        <f>'3-1'!D21</f>
        <v>ტ</v>
      </c>
      <c r="D42" s="20">
        <f>'3-1'!F21</f>
        <v>31.2</v>
      </c>
      <c r="E42" s="19" t="str">
        <f t="shared" si="15"/>
        <v>ტ</v>
      </c>
      <c r="F42" s="19">
        <f t="shared" si="16"/>
        <v>31.2</v>
      </c>
      <c r="G42" s="19">
        <f t="shared" si="17"/>
        <v>0</v>
      </c>
      <c r="H42" s="20">
        <f>'3-1'!M21</f>
        <v>0</v>
      </c>
      <c r="I42" s="20" t="str">
        <f>'3-1'!B21</f>
        <v>Е1-22/1-а</v>
      </c>
    </row>
    <row r="43" spans="1:10" ht="19.5">
      <c r="A43" s="20">
        <f>'3-1'!A24</f>
        <v>1.4</v>
      </c>
      <c r="B43" s="20" t="str">
        <f>'3-1'!C24</f>
        <v>ტვირთის ტრანსპორტირება ნაყარში 3 კმ მანძილზე</v>
      </c>
      <c r="C43" s="20" t="str">
        <f>'3-1'!D24</f>
        <v>ტ</v>
      </c>
      <c r="D43" s="20">
        <f>'3-1'!F24</f>
        <v>3053.7</v>
      </c>
      <c r="E43" s="19" t="str">
        <f t="shared" si="15"/>
        <v>ტ</v>
      </c>
      <c r="F43" s="19">
        <f t="shared" si="16"/>
        <v>3053.7</v>
      </c>
      <c r="G43" s="19">
        <f t="shared" si="17"/>
        <v>0</v>
      </c>
      <c r="H43" s="20">
        <f>'3-1'!M24</f>
        <v>0</v>
      </c>
      <c r="I43" s="20" t="str">
        <f>'3-1'!B24</f>
        <v>15-ტრ-3</v>
      </c>
    </row>
    <row r="44" spans="1:10" ht="19.5">
      <c r="A44" s="20">
        <f>'3-1'!A26</f>
        <v>1.5</v>
      </c>
      <c r="B44" s="20" t="str">
        <f>'3-1'!C26</f>
        <v>მე-4  III კატეგორიის გრუნტის დამუშავება ნაყარში</v>
      </c>
      <c r="C44" s="20" t="str">
        <f>'3-1'!D26</f>
        <v>მ3</v>
      </c>
      <c r="D44" s="20">
        <f>'3-1'!F26</f>
        <v>1566</v>
      </c>
      <c r="E44" s="19" t="b">
        <f t="shared" si="15"/>
        <v>0</v>
      </c>
      <c r="F44" s="19" t="b">
        <f t="shared" si="16"/>
        <v>0</v>
      </c>
      <c r="G44" s="19" t="e">
        <f t="shared" si="17"/>
        <v>#DIV/0!</v>
      </c>
      <c r="H44" s="20">
        <f>'3-1'!M26</f>
        <v>0</v>
      </c>
      <c r="I44" s="20" t="str">
        <f>'3-1'!B26</f>
        <v>1-25-2</v>
      </c>
    </row>
    <row r="45" spans="1:10" ht="19.5">
      <c r="A45" s="20">
        <f>'3-1'!A34</f>
        <v>0</v>
      </c>
      <c r="B45" s="20">
        <f>'3-1'!C34</f>
        <v>0</v>
      </c>
      <c r="C45" s="20" t="str">
        <f>'3-1'!D34</f>
        <v>1000 მ2</v>
      </c>
      <c r="D45" s="20">
        <f>'3-1'!F34</f>
        <v>0.22</v>
      </c>
      <c r="E45" s="19" t="b">
        <f t="shared" si="15"/>
        <v>0</v>
      </c>
      <c r="F45" s="19" t="b">
        <f t="shared" si="16"/>
        <v>0</v>
      </c>
      <c r="G45" s="19" t="e">
        <f t="shared" si="17"/>
        <v>#DIV/0!</v>
      </c>
      <c r="H45" s="20">
        <f>'3-1'!M34</f>
        <v>0</v>
      </c>
      <c r="I45" s="20">
        <f>'3-1'!B34</f>
        <v>0</v>
      </c>
    </row>
    <row r="46" spans="1:10" ht="19.5">
      <c r="A46" s="20">
        <f>'3-1'!A38</f>
        <v>0</v>
      </c>
      <c r="B46" s="20">
        <f>'3-1'!C38</f>
        <v>0</v>
      </c>
      <c r="C46" s="20" t="str">
        <f>'3-1'!D38</f>
        <v>1 მ3</v>
      </c>
      <c r="D46" s="20">
        <f>'3-1'!F38</f>
        <v>100</v>
      </c>
      <c r="E46" s="19" t="b">
        <f t="shared" si="15"/>
        <v>0</v>
      </c>
      <c r="F46" s="19" t="b">
        <f t="shared" si="16"/>
        <v>0</v>
      </c>
      <c r="G46" s="19" t="e">
        <f t="shared" si="17"/>
        <v>#DIV/0!</v>
      </c>
      <c r="H46" s="20">
        <f>'3-1'!M38</f>
        <v>0</v>
      </c>
      <c r="I46" s="20">
        <f>'3-1'!B38</f>
        <v>0</v>
      </c>
    </row>
    <row r="47" spans="1:10" ht="19.5">
      <c r="A47" s="20">
        <f>'3-1'!A45</f>
        <v>0</v>
      </c>
      <c r="B47" s="20">
        <f>'3-1'!C45</f>
        <v>0</v>
      </c>
      <c r="C47" s="20" t="str">
        <f>'3-1'!D45</f>
        <v>100 მ3</v>
      </c>
      <c r="D47" s="20">
        <f>'3-1'!F45</f>
        <v>0.2</v>
      </c>
      <c r="E47" s="19" t="b">
        <f t="shared" si="15"/>
        <v>0</v>
      </c>
      <c r="F47" s="19" t="b">
        <f t="shared" si="16"/>
        <v>0</v>
      </c>
      <c r="G47" s="19" t="e">
        <f t="shared" si="17"/>
        <v>#DIV/0!</v>
      </c>
      <c r="H47" s="20">
        <f>'3-1'!M45</f>
        <v>0</v>
      </c>
      <c r="I47" s="20">
        <f>'3-1'!B45</f>
        <v>0</v>
      </c>
    </row>
    <row r="48" spans="1:10" ht="19.5">
      <c r="A48" s="20">
        <f>'3-1'!A52</f>
        <v>0</v>
      </c>
      <c r="B48" s="20">
        <f>'3-1'!C52</f>
        <v>0</v>
      </c>
      <c r="C48" s="20" t="str">
        <f>'3-1'!D52</f>
        <v>100 მ3</v>
      </c>
      <c r="D48" s="20">
        <f>'3-1'!F52</f>
        <v>0.745</v>
      </c>
      <c r="E48" s="19" t="b">
        <f t="shared" ref="E48" si="18">IF(C48="კმ","კმ",IF(C48="1 ჰა","1 ჰა",IF(C48="100 ც","ც",IF(C48="1 ც","ც",IF(C48="ც","ც",IF(C48="ტ","ტ",IF(C48="1 ტ","ტ",IF(C48="მ³","მ³",IF(C48="1 მ³","მ³",IF(C48="10 მ³","მ³",IF(C48="100 მ³","მ³",IF(C48="1000 მ³","მ³",IF(C48="1000 მ","მ",IF(C48="100 მ","მ",IF(C48="10 მ","მ",IF(C48="10 მ ","მ",IF(C48="მ","მ",IF(C48="1000 მ²","მ²",IF(C48="1000 მ² ","მ²",IF(C48="100 მ²","მ²",IF(C48="100 მ² ","მ²",IF(C48="10 მ²","მ²",IF(C48="მ² ","მ²",IF(C48="ლარი","ლარი",IF(C48="ხიდი","ლარი",IF(C48="100 მ","მ",IF(C48="გ.მ.","მ")))))))))))))))))))))))))))</f>
        <v>0</v>
      </c>
      <c r="F48" s="19" t="b">
        <f t="shared" ref="F48" si="19">IF(C48="კმ",D48,IF(C48="1 ჰა",D48,IF(C48="100 ც",D48*100,IF(C48="1 ც",D48,IF(C48="ც",D48,IF(C48="ტ",D48,IF(C48="1 ტ",D48,IF(C48="მ³",D48,IF(C48="1 მ³",D48,IF(C48="10 მ³",D48*10,IF(C48="100 მ³",D48*100,IF(C48="1000 მ³",D48*1000,IF(C48="1000 მ",D48*1000,IF(C48="100 მ",D48*100,IF(C48="10 მ",D48*10,IF(C48="10 მ ",D48*10,IF(C48="მ",D48,IF(C48="1000 მ²",D48*1000,IF(C48="1000 მ² ",D48*1000,IF(C48="100 მ²",D48*100,IF(C48="100 მ² ",D48*100,IF(C48="10 მ²",D48*10,IF(C48="მ² ",D48,IF(C48="ლარი",D48,IF(C48="ხიდი",D48,IF(C48="100 მ",D48*100,IF(C48="გ.მ.",D48)))))))))))))))))))))))))))</f>
        <v>0</v>
      </c>
      <c r="G48" s="19" t="e">
        <f t="shared" ref="G48" si="20">ROUND(H48/F48,2)</f>
        <v>#DIV/0!</v>
      </c>
      <c r="H48" s="20">
        <f>'3-1'!M52</f>
        <v>0</v>
      </c>
      <c r="I48" s="20">
        <f>'3-1'!B52</f>
        <v>0</v>
      </c>
    </row>
    <row r="49" spans="1:9" ht="19.5">
      <c r="A49" s="32">
        <f>'3-1'!A62</f>
        <v>0</v>
      </c>
      <c r="B49" s="20">
        <f>'3-1'!C62</f>
        <v>0</v>
      </c>
      <c r="C49" s="20" t="str">
        <f>'3-1'!D62</f>
        <v>100 მ3</v>
      </c>
      <c r="D49" s="20">
        <f>'3-1'!F62</f>
        <v>0.875</v>
      </c>
      <c r="E49" s="19" t="b">
        <f t="shared" si="15"/>
        <v>0</v>
      </c>
      <c r="F49" s="19" t="b">
        <f t="shared" si="16"/>
        <v>0</v>
      </c>
      <c r="G49" s="19" t="e">
        <f t="shared" si="17"/>
        <v>#DIV/0!</v>
      </c>
      <c r="H49" s="20">
        <f>'3-1'!M62</f>
        <v>0</v>
      </c>
      <c r="I49" s="20">
        <f>'3-1'!B62</f>
        <v>0</v>
      </c>
    </row>
    <row r="50" spans="1:9" ht="19.5">
      <c r="A50" s="32">
        <f>'3-1'!A74</f>
        <v>0</v>
      </c>
      <c r="B50" s="20">
        <f>'3-1'!C74</f>
        <v>0</v>
      </c>
      <c r="C50" s="20" t="str">
        <f>'3-1'!D74</f>
        <v>100 მ2</v>
      </c>
      <c r="D50" s="20">
        <f>'3-1'!F74</f>
        <v>3.5</v>
      </c>
      <c r="E50" s="19" t="b">
        <f t="shared" si="15"/>
        <v>0</v>
      </c>
      <c r="F50" s="19" t="b">
        <f t="shared" si="16"/>
        <v>0</v>
      </c>
      <c r="G50" s="19" t="e">
        <f t="shared" si="17"/>
        <v>#DIV/0!</v>
      </c>
      <c r="H50" s="20">
        <f>'3-1'!M74</f>
        <v>0</v>
      </c>
      <c r="I50" s="20">
        <f>'3-1'!B74</f>
        <v>0</v>
      </c>
    </row>
    <row r="51" spans="1:9" ht="19.5">
      <c r="A51" s="20">
        <f>'3-1'!A81</f>
        <v>0</v>
      </c>
      <c r="B51" s="20">
        <f>'3-1'!C81</f>
        <v>0</v>
      </c>
      <c r="C51" s="20" t="str">
        <f>'3-1'!D81</f>
        <v>100 მ2</v>
      </c>
      <c r="D51" s="20">
        <f>'3-1'!F81</f>
        <v>7</v>
      </c>
      <c r="E51" s="19" t="b">
        <f t="shared" si="15"/>
        <v>0</v>
      </c>
      <c r="F51" s="19" t="b">
        <f t="shared" si="16"/>
        <v>0</v>
      </c>
      <c r="G51" s="19" t="e">
        <f t="shared" si="17"/>
        <v>#DIV/0!</v>
      </c>
      <c r="H51" s="20">
        <f>'3-1'!M81</f>
        <v>0</v>
      </c>
      <c r="I51" s="20" t="str">
        <f>'3-1'!B81</f>
        <v>ГЭСН</v>
      </c>
    </row>
    <row r="52" spans="1:9" ht="19.5">
      <c r="A52" s="20">
        <f>'3-1'!A86</f>
        <v>0</v>
      </c>
      <c r="B52" s="20">
        <f>'3-1'!C86</f>
        <v>0</v>
      </c>
      <c r="C52" s="20" t="str">
        <f>'3-1'!D86</f>
        <v>100 მ2</v>
      </c>
      <c r="D52" s="20">
        <f>'3-1'!F86</f>
        <v>2.5</v>
      </c>
      <c r="E52" s="19" t="b">
        <f t="shared" si="15"/>
        <v>0</v>
      </c>
      <c r="F52" s="19" t="b">
        <f t="shared" si="16"/>
        <v>0</v>
      </c>
      <c r="G52" s="19" t="e">
        <f t="shared" si="17"/>
        <v>#DIV/0!</v>
      </c>
      <c r="H52" s="20">
        <f>'3-1'!M86</f>
        <v>0</v>
      </c>
      <c r="I52" s="20">
        <f>'3-1'!B86</f>
        <v>0</v>
      </c>
    </row>
    <row r="53" spans="1:9" ht="19.5">
      <c r="A53" s="20">
        <f>'3-1'!A92</f>
        <v>0</v>
      </c>
      <c r="B53" s="20">
        <f>'3-1'!C92</f>
        <v>0</v>
      </c>
      <c r="C53" s="20" t="str">
        <f>'3-1'!D92</f>
        <v>10 მ3</v>
      </c>
      <c r="D53" s="20">
        <f>'3-1'!F92</f>
        <v>15</v>
      </c>
      <c r="E53" s="19" t="b">
        <f t="shared" si="15"/>
        <v>0</v>
      </c>
      <c r="F53" s="19" t="b">
        <f t="shared" si="16"/>
        <v>0</v>
      </c>
      <c r="G53" s="19" t="e">
        <f t="shared" si="17"/>
        <v>#DIV/0!</v>
      </c>
      <c r="H53" s="20">
        <f>'3-1'!M92</f>
        <v>0</v>
      </c>
      <c r="I53" s="20">
        <f>'3-1'!B92</f>
        <v>0</v>
      </c>
    </row>
    <row r="54" spans="1:9" ht="19.5">
      <c r="A54" s="20">
        <f>'3-1'!A97</f>
        <v>0</v>
      </c>
      <c r="B54" s="20">
        <f>'3-1'!C97</f>
        <v>0</v>
      </c>
      <c r="C54" s="20" t="str">
        <f>'3-1'!D97</f>
        <v>100 მ</v>
      </c>
      <c r="D54" s="20">
        <f>'3-1'!F97</f>
        <v>0.13</v>
      </c>
      <c r="E54" s="19" t="str">
        <f t="shared" si="15"/>
        <v>მ</v>
      </c>
      <c r="F54" s="19">
        <f t="shared" si="16"/>
        <v>13</v>
      </c>
      <c r="G54" s="19">
        <f t="shared" si="17"/>
        <v>0</v>
      </c>
      <c r="H54" s="20">
        <f>'3-1'!M97</f>
        <v>0</v>
      </c>
      <c r="I54" s="20">
        <f>'3-1'!B97</f>
        <v>0</v>
      </c>
    </row>
    <row r="55" spans="1:9" ht="19.5">
      <c r="A55" s="20">
        <f>'3-1'!A104</f>
        <v>0</v>
      </c>
      <c r="B55" s="20">
        <f>'3-1'!C104</f>
        <v>0</v>
      </c>
      <c r="C55" s="20" t="str">
        <f>'3-1'!D104</f>
        <v>1000 მ3</v>
      </c>
      <c r="D55" s="20">
        <f>'3-1'!F104</f>
        <v>0.95</v>
      </c>
      <c r="E55" s="19" t="b">
        <f t="shared" si="15"/>
        <v>0</v>
      </c>
      <c r="F55" s="19" t="b">
        <f t="shared" si="16"/>
        <v>0</v>
      </c>
      <c r="G55" s="19" t="e">
        <f t="shared" si="17"/>
        <v>#DIV/0!</v>
      </c>
      <c r="H55" s="20">
        <f>'3-1'!M104</f>
        <v>0</v>
      </c>
      <c r="I55" s="20">
        <f>'3-1'!B104</f>
        <v>0</v>
      </c>
    </row>
    <row r="56" spans="1:9" ht="19.5">
      <c r="A56" s="20">
        <f>'3-1'!A111</f>
        <v>0</v>
      </c>
      <c r="B56" s="20">
        <f>'3-1'!C111</f>
        <v>0</v>
      </c>
      <c r="C56" s="20" t="str">
        <f>'3-1'!D111</f>
        <v>100 მ3</v>
      </c>
      <c r="D56" s="20">
        <f>'3-1'!F111</f>
        <v>9.5</v>
      </c>
      <c r="E56" s="19" t="b">
        <f t="shared" si="15"/>
        <v>0</v>
      </c>
      <c r="F56" s="19" t="b">
        <f t="shared" si="16"/>
        <v>0</v>
      </c>
      <c r="G56" s="19" t="e">
        <f t="shared" si="17"/>
        <v>#DIV/0!</v>
      </c>
      <c r="H56" s="20">
        <f>'3-1'!M111</f>
        <v>0</v>
      </c>
      <c r="I56" s="20">
        <f>'3-1'!B111</f>
        <v>0</v>
      </c>
    </row>
    <row r="57" spans="1:9" ht="19.5">
      <c r="A57" s="20">
        <f>'3-1'!A116</f>
        <v>1.18</v>
      </c>
      <c r="B57" s="20" t="str">
        <f>'3-1'!C116</f>
        <v>სადეფორმაციო ნაკერების მოწყობა პენოპლასტით</v>
      </c>
      <c r="C57" s="20" t="str">
        <f>'3-1'!D116</f>
        <v>მ2</v>
      </c>
      <c r="D57" s="20">
        <f>'3-1'!F116</f>
        <v>29.3</v>
      </c>
      <c r="E57" s="19" t="b">
        <f t="shared" ref="E57:E59" si="21">IF(C57="კმ","კმ",IF(C57="1 ჰა","1 ჰა",IF(C57="100 ც","ც",IF(C57="1 ც","ც",IF(C57="ც","ც",IF(C57="ტ","ტ",IF(C57="1 ტ","ტ",IF(C57="მ³","მ³",IF(C57="1 მ³","მ³",IF(C57="10 მ³","მ³",IF(C57="100 მ³","მ³",IF(C57="1000 მ³","მ³",IF(C57="1000 მ","მ",IF(C57="100 მ","მ",IF(C57="10 მ","მ",IF(C57="10 მ ","მ",IF(C57="მ","მ",IF(C57="1000 მ²","მ²",IF(C57="1000 მ² ","მ²",IF(C57="100 მ²","მ²",IF(C57="100 მ² ","მ²",IF(C57="10 მ²","მ²",IF(C57="მ² ","მ²",IF(C57="ლარი","ლარი",IF(C57="ხიდი","ლარი",IF(C57="100 მ","მ",IF(C57="გ.მ.","მ")))))))))))))))))))))))))))</f>
        <v>0</v>
      </c>
      <c r="F57" s="19" t="b">
        <f t="shared" ref="F57:F59" si="22">IF(C57="კმ",D57,IF(C57="1 ჰა",D57,IF(C57="100 ც",D57*100,IF(C57="1 ც",D57,IF(C57="ც",D57,IF(C57="ტ",D57,IF(C57="1 ტ",D57,IF(C57="მ³",D57,IF(C57="1 მ³",D57,IF(C57="10 მ³",D57*10,IF(C57="100 მ³",D57*100,IF(C57="1000 მ³",D57*1000,IF(C57="1000 მ",D57*1000,IF(C57="100 მ",D57*100,IF(C57="10 მ",D57*10,IF(C57="10 მ ",D57*10,IF(C57="მ",D57,IF(C57="1000 მ²",D57*1000,IF(C57="1000 მ² ",D57*1000,IF(C57="100 მ²",D57*100,IF(C57="100 მ² ",D57*100,IF(C57="10 მ²",D57*10,IF(C57="მ² ",D57,IF(C57="ლარი",D57,IF(C57="ხიდი",D57,IF(C57="100 მ",D57*100,IF(C57="გ.მ.",D57)))))))))))))))))))))))))))</f>
        <v>0</v>
      </c>
      <c r="G57" s="19" t="e">
        <f t="shared" ref="G57:G59" si="23">ROUND(H57/F57,2)</f>
        <v>#DIV/0!</v>
      </c>
      <c r="H57" s="20">
        <f>'3-1'!M116</f>
        <v>0</v>
      </c>
      <c r="I57" s="20" t="str">
        <f>'3-1'!B116</f>
        <v>საბაზრო</v>
      </c>
    </row>
    <row r="58" spans="1:9" ht="19.5">
      <c r="A58" s="20">
        <f>'3-1'!A121</f>
        <v>0</v>
      </c>
      <c r="B58" s="20">
        <f>'3-1'!C121</f>
        <v>0</v>
      </c>
      <c r="C58" s="20" t="str">
        <f>'3-1'!D121</f>
        <v>100 მ2</v>
      </c>
      <c r="D58" s="20">
        <f>'3-1'!F121</f>
        <v>0.83</v>
      </c>
      <c r="E58" s="19" t="b">
        <f t="shared" si="21"/>
        <v>0</v>
      </c>
      <c r="F58" s="19" t="b">
        <f t="shared" si="22"/>
        <v>0</v>
      </c>
      <c r="G58" s="19" t="e">
        <f t="shared" si="23"/>
        <v>#DIV/0!</v>
      </c>
      <c r="H58" s="20">
        <f>'3-1'!M121</f>
        <v>0</v>
      </c>
      <c r="I58" s="20">
        <f>'3-1'!B121</f>
        <v>0</v>
      </c>
    </row>
    <row r="59" spans="1:9" ht="19.5">
      <c r="A59" s="32">
        <f>'3-1'!A128</f>
        <v>1.2</v>
      </c>
      <c r="B59" s="20" t="str">
        <f>'3-1'!C128</f>
        <v>არსებული კედლის დემონტაჟი</v>
      </c>
      <c r="C59" s="20" t="str">
        <f>'3-1'!D128</f>
        <v>მ3</v>
      </c>
      <c r="D59" s="20">
        <f>'3-1'!F128</f>
        <v>30</v>
      </c>
      <c r="E59" s="19" t="b">
        <f t="shared" si="21"/>
        <v>0</v>
      </c>
      <c r="F59" s="19" t="b">
        <f t="shared" si="22"/>
        <v>0</v>
      </c>
      <c r="G59" s="19" t="e">
        <f t="shared" si="23"/>
        <v>#DIV/0!</v>
      </c>
      <c r="H59" s="20">
        <f>'3-1'!M128</f>
        <v>0</v>
      </c>
      <c r="I59" s="20" t="str">
        <f>'3-1'!B128</f>
        <v>46-04-001-01</v>
      </c>
    </row>
    <row r="60" spans="1:9" s="5" customFormat="1" ht="19.5">
      <c r="A60" s="16"/>
      <c r="B60" s="10" t="s">
        <v>4</v>
      </c>
      <c r="C60" s="14"/>
      <c r="D60" s="15"/>
      <c r="E60" s="15"/>
      <c r="F60" s="19"/>
      <c r="G60" s="15"/>
      <c r="H60" s="15">
        <f>ROUND(SUM(H40:H59),2)</f>
        <v>0</v>
      </c>
      <c r="I60" s="21"/>
    </row>
    <row r="61" spans="1:9" s="5" customFormat="1" ht="19.5">
      <c r="A61" s="16"/>
      <c r="B61" s="10" t="s">
        <v>10</v>
      </c>
      <c r="C61" s="14"/>
      <c r="D61" s="14"/>
      <c r="E61" s="30" t="s">
        <v>12</v>
      </c>
      <c r="F61" s="14">
        <v>10</v>
      </c>
      <c r="G61" s="14"/>
      <c r="H61" s="15">
        <f>ROUND(H60*F61%,2)</f>
        <v>0</v>
      </c>
      <c r="I61" s="21"/>
    </row>
    <row r="62" spans="1:9" s="5" customFormat="1" ht="19.5">
      <c r="A62" s="16"/>
      <c r="B62" s="10" t="s">
        <v>4</v>
      </c>
      <c r="C62" s="14"/>
      <c r="D62" s="14"/>
      <c r="E62" s="19"/>
      <c r="F62" s="14"/>
      <c r="G62" s="19"/>
      <c r="H62" s="19">
        <f>ROUND(SUM(H60:H61),2)</f>
        <v>0</v>
      </c>
      <c r="I62" s="21"/>
    </row>
    <row r="63" spans="1:9" s="5" customFormat="1" ht="19.5">
      <c r="A63" s="16"/>
      <c r="B63" s="10" t="s">
        <v>11</v>
      </c>
      <c r="C63" s="14"/>
      <c r="D63" s="14"/>
      <c r="E63" s="30" t="s">
        <v>12</v>
      </c>
      <c r="F63" s="14">
        <v>8</v>
      </c>
      <c r="G63" s="14"/>
      <c r="H63" s="15">
        <f>ROUND(H62*F63%,2)</f>
        <v>0</v>
      </c>
      <c r="I63" s="21"/>
    </row>
    <row r="64" spans="1:9" s="5" customFormat="1" ht="19.5">
      <c r="A64" s="16"/>
      <c r="B64" s="10" t="s">
        <v>4</v>
      </c>
      <c r="C64" s="14"/>
      <c r="D64" s="14"/>
      <c r="E64" s="14"/>
      <c r="F64" s="14"/>
      <c r="G64" s="14"/>
      <c r="H64" s="15">
        <f>ROUND(SUM(H62:H63),2)</f>
        <v>0</v>
      </c>
      <c r="I64" s="21"/>
    </row>
    <row r="65" spans="1:9" s="5" customFormat="1" ht="19.5">
      <c r="A65" s="10"/>
      <c r="B65" s="12" t="str">
        <f>'3-2'!C8</f>
        <v>რ/ბ კედლის მოწყობის სამუშაოები პკ 1+26 პკ 1+44 სკ2</v>
      </c>
      <c r="C65" s="14"/>
      <c r="D65" s="14"/>
      <c r="E65" s="14"/>
      <c r="F65" s="14"/>
      <c r="G65" s="14"/>
      <c r="H65" s="15"/>
      <c r="I65" s="14"/>
    </row>
    <row r="66" spans="1:9" ht="39">
      <c r="A66" s="20">
        <f>'3-2'!A10</f>
        <v>1.1000000000000001</v>
      </c>
      <c r="B66" s="20" t="str">
        <f>'3-2'!C10</f>
        <v xml:space="preserve">მე-4 კატეგორიის გრუნტის დამუშავება და დატვირთვა ექსკავატორით ავტოთვითმცლელზე </v>
      </c>
      <c r="C66" s="20" t="str">
        <f>'3-2'!D10</f>
        <v>მ3</v>
      </c>
      <c r="D66" s="20">
        <f>'3-2'!F10</f>
        <v>558</v>
      </c>
      <c r="E66" s="19" t="b">
        <f t="shared" ref="E66" si="24">IF(C66="კმ","კმ",IF(C66="1 ჰა","1 ჰა",IF(C66="100 ც","ც",IF(C66="1 ც","ც",IF(C66="ც","ც",IF(C66="ტ","ტ",IF(C66="1 ტ","ტ",IF(C66="მ³","მ³",IF(C66="1 მ³","მ³",IF(C66="10 მ³","მ³",IF(C66="100 მ³","მ³",IF(C66="1000 მ³","მ³",IF(C66="1000 მ","მ",IF(C66="100 მ","მ",IF(C66="10 მ","მ",IF(C66="10 მ ","მ",IF(C66="მ","მ",IF(C66="1000 მ²","მ²",IF(C66="1000 მ² ","მ²",IF(C66="100 მ²","მ²",IF(C66="100 მ² ","მ²",IF(C66="10 მ²","მ²",IF(C66="მ² ","მ²",IF(C66="ლარი","ლარი",IF(C66="ხიდი","ლარი",IF(C66="100 მ","მ",IF(C66="გ.მ.","მ")))))))))))))))))))))))))))</f>
        <v>0</v>
      </c>
      <c r="F66" s="19" t="b">
        <f t="shared" ref="F66" si="25">IF(C66="კმ",D66,IF(C66="1 ჰა",D66,IF(C66="100 ც",D66*100,IF(C66="1 ც",D66,IF(C66="ც",D66,IF(C66="ტ",D66,IF(C66="1 ტ",D66,IF(C66="მ³",D66,IF(C66="1 მ³",D66,IF(C66="10 მ³",D66*10,IF(C66="100 მ³",D66*100,IF(C66="1000 მ³",D66*1000,IF(C66="1000 მ",D66*1000,IF(C66="100 მ",D66*100,IF(C66="10 მ",D66*10,IF(C66="10 მ ",D66*10,IF(C66="მ",D66,IF(C66="1000 მ²",D66*1000,IF(C66="1000 მ² ",D66*1000,IF(C66="100 მ²",D66*100,IF(C66="100 მ² ",D66*100,IF(C66="10 მ²",D66*10,IF(C66="მ² ",D66,IF(C66="ლარი",D66,IF(C66="ხიდი",D66,IF(C66="100 მ",D66*100,IF(C66="გ.მ.",D66)))))))))))))))))))))))))))</f>
        <v>0</v>
      </c>
      <c r="G66" s="19" t="e">
        <f t="shared" ref="G66" si="26">ROUND(H66/F66,2)</f>
        <v>#DIV/0!</v>
      </c>
      <c r="H66" s="20">
        <f>'3-2'!M10</f>
        <v>0</v>
      </c>
      <c r="I66" s="20" t="str">
        <f>'3-2'!B10</f>
        <v>1-22-16</v>
      </c>
    </row>
    <row r="67" spans="1:9" ht="39">
      <c r="A67" s="20">
        <f>'3-2'!A17</f>
        <v>1.2</v>
      </c>
      <c r="B67" s="20" t="str">
        <f>'3-2'!C17</f>
        <v xml:space="preserve">მე-4 კატეგორიის გრუნტის ფენის დამუშავება ხელით სიღრმით 2 მ-მდე </v>
      </c>
      <c r="C67" s="20" t="str">
        <f>'3-2'!D17</f>
        <v>მ3</v>
      </c>
      <c r="D67" s="20">
        <f>'3-2'!F17</f>
        <v>6</v>
      </c>
      <c r="E67" s="19" t="b">
        <f t="shared" ref="E67:E84" si="27">IF(C67="კმ","კმ",IF(C67="1 ჰა","1 ჰა",IF(C67="100 ც","ც",IF(C67="1 ც","ც",IF(C67="ც","ც",IF(C67="ტ","ტ",IF(C67="1 ტ","ტ",IF(C67="მ³","მ³",IF(C67="1 მ³","მ³",IF(C67="10 მ³","მ³",IF(C67="100 მ³","მ³",IF(C67="1000 მ³","მ³",IF(C67="1000 მ","მ",IF(C67="100 მ","მ",IF(C67="10 მ","მ",IF(C67="10 მ ","მ",IF(C67="მ","მ",IF(C67="1000 მ²","მ²",IF(C67="1000 მ² ","მ²",IF(C67="100 მ²","მ²",IF(C67="100 მ² ","მ²",IF(C67="10 მ²","მ²",IF(C67="მ² ","მ²",IF(C67="ლარი","ლარი",IF(C67="ხიდი","ლარი",IF(C67="100 მ","მ",IF(C67="გ.მ.","მ")))))))))))))))))))))))))))</f>
        <v>0</v>
      </c>
      <c r="F67" s="19" t="b">
        <f t="shared" ref="F67:F84" si="28">IF(C67="კმ",D67,IF(C67="1 ჰა",D67,IF(C67="100 ც",D67*100,IF(C67="1 ც",D67,IF(C67="ც",D67,IF(C67="ტ",D67,IF(C67="1 ტ",D67,IF(C67="მ³",D67,IF(C67="1 მ³",D67,IF(C67="10 მ³",D67*10,IF(C67="100 მ³",D67*100,IF(C67="1000 მ³",D67*1000,IF(C67="1000 მ",D67*1000,IF(C67="100 მ",D67*100,IF(C67="10 მ",D67*10,IF(C67="10 მ ",D67*10,IF(C67="მ",D67,IF(C67="1000 მ²",D67*1000,IF(C67="1000 მ² ",D67*1000,IF(C67="100 მ²",D67*100,IF(C67="100 მ² ",D67*100,IF(C67="10 მ²",D67*10,IF(C67="მ² ",D67,IF(C67="ლარი",D67,IF(C67="ხიდი",D67,IF(C67="100 მ",D67*100,IF(C67="გ.მ.",D67)))))))))))))))))))))))))))</f>
        <v>0</v>
      </c>
      <c r="G67" s="19" t="e">
        <f t="shared" ref="G67:G84" si="29">ROUND(H67/F67,2)</f>
        <v>#DIV/0!</v>
      </c>
      <c r="H67" s="20">
        <f>'3-2'!M17</f>
        <v>0</v>
      </c>
      <c r="I67" s="20" t="str">
        <f>'3-2'!B17</f>
        <v>1-80-4                   კ=1.2</v>
      </c>
    </row>
    <row r="68" spans="1:9" ht="19.5">
      <c r="A68" s="20">
        <f>'3-2'!A21</f>
        <v>1.3</v>
      </c>
      <c r="B68" s="20" t="str">
        <f>'3-2'!C21</f>
        <v xml:space="preserve">გრუნტის დატვირთვა ავტოთვითმცლელზე ხელით </v>
      </c>
      <c r="C68" s="20" t="str">
        <f>'3-2'!D21</f>
        <v>ტ</v>
      </c>
      <c r="D68" s="20">
        <f>'3-2'!F21</f>
        <v>11.7</v>
      </c>
      <c r="E68" s="19" t="str">
        <f t="shared" si="27"/>
        <v>ტ</v>
      </c>
      <c r="F68" s="19">
        <f t="shared" si="28"/>
        <v>11.7</v>
      </c>
      <c r="G68" s="19">
        <f t="shared" si="29"/>
        <v>0</v>
      </c>
      <c r="H68" s="20">
        <f>'3-2'!M21</f>
        <v>0</v>
      </c>
      <c r="I68" s="20" t="str">
        <f>'3-2'!B21</f>
        <v>Е1-22/1-а</v>
      </c>
    </row>
    <row r="69" spans="1:9" ht="19.5">
      <c r="A69" s="20">
        <f>'3-2'!A24</f>
        <v>1.4</v>
      </c>
      <c r="B69" s="20" t="str">
        <f>'3-2'!C24</f>
        <v>ტვირთის ტრანსპორტირება ნაყარში 3 კმ მანძილზე</v>
      </c>
      <c r="C69" s="20" t="str">
        <f>'3-2'!D24</f>
        <v>ტ</v>
      </c>
      <c r="D69" s="20">
        <f>'3-2'!F24</f>
        <v>1099.8</v>
      </c>
      <c r="E69" s="19" t="str">
        <f t="shared" si="27"/>
        <v>ტ</v>
      </c>
      <c r="F69" s="19">
        <f t="shared" si="28"/>
        <v>1099.8</v>
      </c>
      <c r="G69" s="19">
        <f t="shared" si="29"/>
        <v>0</v>
      </c>
      <c r="H69" s="20">
        <f>'3-2'!M24</f>
        <v>0</v>
      </c>
      <c r="I69" s="20" t="str">
        <f>'3-2'!B24</f>
        <v>15-ტრ-3</v>
      </c>
    </row>
    <row r="70" spans="1:9" ht="19.5">
      <c r="A70" s="20">
        <f>'3-2'!A26</f>
        <v>1.5</v>
      </c>
      <c r="B70" s="20" t="str">
        <f>'3-2'!C26</f>
        <v>მე-4  III კატეგორიის გრუნტის დამუშავება ნაყარში</v>
      </c>
      <c r="C70" s="20" t="str">
        <f>'3-2'!D26</f>
        <v>მ3</v>
      </c>
      <c r="D70" s="20">
        <f>'3-2'!F26</f>
        <v>564</v>
      </c>
      <c r="E70" s="19" t="b">
        <f t="shared" si="27"/>
        <v>0</v>
      </c>
      <c r="F70" s="19" t="b">
        <f t="shared" si="28"/>
        <v>0</v>
      </c>
      <c r="G70" s="19" t="e">
        <f t="shared" si="29"/>
        <v>#DIV/0!</v>
      </c>
      <c r="H70" s="20">
        <f>'3-2'!M26</f>
        <v>0</v>
      </c>
      <c r="I70" s="20" t="str">
        <f>'3-2'!B26</f>
        <v>1-25-2</v>
      </c>
    </row>
    <row r="71" spans="1:9" ht="19.5">
      <c r="A71" s="20">
        <f>'3-2'!A34</f>
        <v>0</v>
      </c>
      <c r="B71" s="20">
        <f>'3-2'!C34</f>
        <v>0</v>
      </c>
      <c r="C71" s="20" t="str">
        <f>'3-2'!D34</f>
        <v>1000 მ2</v>
      </c>
      <c r="D71" s="20">
        <f>'3-2'!F34</f>
        <v>7.9200000000000007E-2</v>
      </c>
      <c r="E71" s="19" t="b">
        <f t="shared" si="27"/>
        <v>0</v>
      </c>
      <c r="F71" s="19" t="b">
        <f t="shared" si="28"/>
        <v>0</v>
      </c>
      <c r="G71" s="19" t="e">
        <f t="shared" si="29"/>
        <v>#DIV/0!</v>
      </c>
      <c r="H71" s="20">
        <f>'3-2'!M34</f>
        <v>0</v>
      </c>
      <c r="I71" s="20">
        <f>'3-2'!B34</f>
        <v>0</v>
      </c>
    </row>
    <row r="72" spans="1:9" ht="19.5">
      <c r="A72" s="20">
        <f>'3-2'!A37</f>
        <v>1.7</v>
      </c>
      <c r="B72" s="20" t="str">
        <f>'3-2'!C37</f>
        <v>ქვიშა-ხრეშოვანი ქვესაგები ფენის მოწყობა სისქით 20 სმ</v>
      </c>
      <c r="C72" s="20" t="str">
        <f>'3-2'!D37</f>
        <v>მ3</v>
      </c>
      <c r="D72" s="20">
        <f>'3-2'!F37</f>
        <v>36</v>
      </c>
      <c r="E72" s="19" t="b">
        <f t="shared" si="27"/>
        <v>0</v>
      </c>
      <c r="F72" s="19" t="b">
        <f t="shared" si="28"/>
        <v>0</v>
      </c>
      <c r="G72" s="19" t="e">
        <f t="shared" si="29"/>
        <v>#DIV/0!</v>
      </c>
      <c r="H72" s="20">
        <f>'3-2'!M37</f>
        <v>0</v>
      </c>
      <c r="I72" s="20" t="str">
        <f>'3-2'!B37</f>
        <v>8-3-2.</v>
      </c>
    </row>
    <row r="73" spans="1:9" ht="19.5">
      <c r="A73" s="20">
        <f>'3-2'!A45</f>
        <v>0</v>
      </c>
      <c r="B73" s="20">
        <f>'3-2'!C45</f>
        <v>0</v>
      </c>
      <c r="C73" s="20" t="str">
        <f>'3-2'!D45</f>
        <v>100 მ3</v>
      </c>
      <c r="D73" s="20">
        <f>'3-2'!F45</f>
        <v>7.2000000000000008E-2</v>
      </c>
      <c r="E73" s="19" t="b">
        <f t="shared" si="27"/>
        <v>0</v>
      </c>
      <c r="F73" s="19" t="b">
        <f t="shared" si="28"/>
        <v>0</v>
      </c>
      <c r="G73" s="19" t="e">
        <f t="shared" si="29"/>
        <v>#DIV/0!</v>
      </c>
      <c r="H73" s="20">
        <f>'3-2'!M45</f>
        <v>0</v>
      </c>
      <c r="I73" s="20">
        <f>'3-2'!B45</f>
        <v>0</v>
      </c>
    </row>
    <row r="74" spans="1:9" ht="19.5">
      <c r="A74" s="20">
        <f>'3-2'!A52</f>
        <v>0</v>
      </c>
      <c r="B74" s="20">
        <f>'3-2'!C52</f>
        <v>0</v>
      </c>
      <c r="C74" s="20" t="str">
        <f>'3-2'!D52</f>
        <v>100 მ3</v>
      </c>
      <c r="D74" s="20">
        <f>'3-2'!F52</f>
        <v>0.26819999999999999</v>
      </c>
      <c r="E74" s="19" t="b">
        <f t="shared" si="27"/>
        <v>0</v>
      </c>
      <c r="F74" s="19" t="b">
        <f t="shared" si="28"/>
        <v>0</v>
      </c>
      <c r="G74" s="19" t="e">
        <f t="shared" si="29"/>
        <v>#DIV/0!</v>
      </c>
      <c r="H74" s="20">
        <f>'3-2'!M52</f>
        <v>0</v>
      </c>
      <c r="I74" s="20">
        <f>'3-2'!B52</f>
        <v>0</v>
      </c>
    </row>
    <row r="75" spans="1:9" ht="19.5">
      <c r="A75" s="20">
        <f>'3-2'!A61</f>
        <v>1.1000000000000001</v>
      </c>
      <c r="B75" s="20" t="str">
        <f>'3-2'!C61</f>
        <v>რ/ბ საყრდენი კედლის მოწყობა</v>
      </c>
      <c r="C75" s="20" t="str">
        <f>'3-2'!D61</f>
        <v>მ3</v>
      </c>
      <c r="D75" s="20">
        <f>'3-2'!F61</f>
        <v>31.5</v>
      </c>
      <c r="E75" s="19" t="b">
        <f t="shared" si="27"/>
        <v>0</v>
      </c>
      <c r="F75" s="19" t="b">
        <f t="shared" si="28"/>
        <v>0</v>
      </c>
      <c r="G75" s="19" t="e">
        <f t="shared" si="29"/>
        <v>#DIV/0!</v>
      </c>
      <c r="H75" s="20">
        <f>'3-2'!M61</f>
        <v>0</v>
      </c>
      <c r="I75" s="20" t="str">
        <f>'3-2'!B61</f>
        <v>6-11-7.</v>
      </c>
    </row>
    <row r="76" spans="1:9" ht="19.5">
      <c r="A76" s="20">
        <f>'3-2'!A73</f>
        <v>1.1100000000000001</v>
      </c>
      <c r="B76" s="20" t="str">
        <f>'3-2'!C73</f>
        <v>კედლის უკანა ზედაპირზე ბიტუმის წასმა 2 ჯერ</v>
      </c>
      <c r="C76" s="20" t="str">
        <f>'3-2'!D73</f>
        <v>მ2</v>
      </c>
      <c r="D76" s="20">
        <f>'3-2'!F73</f>
        <v>126</v>
      </c>
      <c r="E76" s="19" t="b">
        <f t="shared" si="27"/>
        <v>0</v>
      </c>
      <c r="F76" s="19" t="b">
        <f t="shared" si="28"/>
        <v>0</v>
      </c>
      <c r="G76" s="19" t="e">
        <f t="shared" si="29"/>
        <v>#DIV/0!</v>
      </c>
      <c r="H76" s="20">
        <f>'3-2'!M73</f>
        <v>0</v>
      </c>
      <c r="I76" s="20" t="str">
        <f>'3-2'!B73</f>
        <v>8-4-7.</v>
      </c>
    </row>
    <row r="77" spans="1:9" ht="39">
      <c r="A77" s="20">
        <f>'3-2'!A80</f>
        <v>1.1200000000000001</v>
      </c>
      <c r="B77" s="20" t="str">
        <f>'3-2'!C80</f>
        <v>გეოტექსტილის ჰიდროიზოლაციის მოწყობა</v>
      </c>
      <c r="C77" s="20" t="str">
        <f>'3-2'!D80</f>
        <v>მ2</v>
      </c>
      <c r="D77" s="20">
        <f>'3-2'!F80</f>
        <v>252</v>
      </c>
      <c r="E77" s="19" t="b">
        <f t="shared" si="27"/>
        <v>0</v>
      </c>
      <c r="F77" s="19" t="b">
        <f t="shared" si="28"/>
        <v>0</v>
      </c>
      <c r="G77" s="19" t="e">
        <f t="shared" si="29"/>
        <v>#DIV/0!</v>
      </c>
      <c r="H77" s="20">
        <f>'3-2'!M80</f>
        <v>0</v>
      </c>
      <c r="I77" s="20" t="str">
        <f>'3-2'!B80</f>
        <v>26-01-055-01;-02</v>
      </c>
    </row>
    <row r="78" spans="1:9" ht="19.5">
      <c r="A78" s="20">
        <f>'3-2'!A85</f>
        <v>1.1299999999999999</v>
      </c>
      <c r="B78" s="20" t="str">
        <f>'3-2'!C85</f>
        <v>გეომემბრანის ჰიდროიზოლაციის მოწყობა</v>
      </c>
      <c r="C78" s="20" t="str">
        <f>'3-2'!D85</f>
        <v>მ2</v>
      </c>
      <c r="D78" s="20">
        <f>'3-2'!F85</f>
        <v>90</v>
      </c>
      <c r="E78" s="19" t="b">
        <f t="shared" si="27"/>
        <v>0</v>
      </c>
      <c r="F78" s="19" t="b">
        <f t="shared" si="28"/>
        <v>0</v>
      </c>
      <c r="G78" s="19" t="e">
        <f t="shared" si="29"/>
        <v>#DIV/0!</v>
      </c>
      <c r="H78" s="20">
        <f>'3-2'!M85</f>
        <v>0</v>
      </c>
      <c r="I78" s="20" t="str">
        <f>'3-2'!B85</f>
        <v>Е3-2/1 ЕНиР</v>
      </c>
    </row>
    <row r="79" spans="1:9" ht="19.5">
      <c r="A79" s="20">
        <f>'3-2'!A91</f>
        <v>1.1399999999999999</v>
      </c>
      <c r="B79" s="20" t="str">
        <f>'3-2'!C91</f>
        <v>სადრენაჟო ფენის მოწყობა ფრაქციული ღორღისგან</v>
      </c>
      <c r="C79" s="20" t="str">
        <f>'3-2'!D91</f>
        <v>მ3</v>
      </c>
      <c r="D79" s="20">
        <f>'3-2'!F91</f>
        <v>54</v>
      </c>
      <c r="E79" s="19" t="b">
        <f t="shared" si="27"/>
        <v>0</v>
      </c>
      <c r="F79" s="19" t="b">
        <f t="shared" si="28"/>
        <v>0</v>
      </c>
      <c r="G79" s="19" t="e">
        <f t="shared" si="29"/>
        <v>#DIV/0!</v>
      </c>
      <c r="H79" s="20">
        <f>'3-2'!M91</f>
        <v>0</v>
      </c>
      <c r="I79" s="20" t="str">
        <f>'3-2'!B91</f>
        <v>23-1-2.</v>
      </c>
    </row>
    <row r="80" spans="1:9" ht="19.5">
      <c r="A80" s="20">
        <f>'3-2'!A96</f>
        <v>1.1499999999999999</v>
      </c>
      <c r="B80" s="20" t="str">
        <f>'3-2'!C96</f>
        <v>პოლიეთილენის სადრენაჟე მილის მონტაჟი</v>
      </c>
      <c r="C80" s="20" t="str">
        <f>'3-2'!D96</f>
        <v>მ</v>
      </c>
      <c r="D80" s="20">
        <f>'3-2'!F96</f>
        <v>5</v>
      </c>
      <c r="E80" s="19" t="str">
        <f t="shared" si="27"/>
        <v>მ</v>
      </c>
      <c r="F80" s="19">
        <f t="shared" si="28"/>
        <v>5</v>
      </c>
      <c r="G80" s="19">
        <f t="shared" si="29"/>
        <v>0</v>
      </c>
      <c r="H80" s="20">
        <f>'3-2'!M96</f>
        <v>0</v>
      </c>
      <c r="I80" s="20" t="str">
        <f>'3-2'!B96</f>
        <v>27-5-3.</v>
      </c>
    </row>
    <row r="81" spans="1:9" ht="19.5">
      <c r="A81" s="20">
        <f>'3-2'!A103</f>
        <v>1.1599999999999999</v>
      </c>
      <c r="B81" s="20" t="str">
        <f>'3-2'!C103</f>
        <v>დრენირებადი გრუნტის უკუჩაყრა</v>
      </c>
      <c r="C81" s="20" t="str">
        <f>'3-2'!D103</f>
        <v>მ3</v>
      </c>
      <c r="D81" s="20">
        <f>'3-2'!F103</f>
        <v>342</v>
      </c>
      <c r="E81" s="19" t="b">
        <f t="shared" si="27"/>
        <v>0</v>
      </c>
      <c r="F81" s="19" t="b">
        <f t="shared" si="28"/>
        <v>0</v>
      </c>
      <c r="G81" s="19" t="e">
        <f t="shared" si="29"/>
        <v>#DIV/0!</v>
      </c>
      <c r="H81" s="20">
        <f>'3-2'!M103</f>
        <v>0</v>
      </c>
      <c r="I81" s="20" t="str">
        <f>'3-2'!B103</f>
        <v>1-22-14</v>
      </c>
    </row>
    <row r="82" spans="1:9" ht="19.5">
      <c r="A82" s="20">
        <f>'3-2'!A110</f>
        <v>1.17</v>
      </c>
      <c r="B82" s="20" t="str">
        <f>'3-2'!C110</f>
        <v>გრუნტის დატკეპნა ფენებად</v>
      </c>
      <c r="C82" s="20" t="str">
        <f>'3-2'!D110</f>
        <v>მ3</v>
      </c>
      <c r="D82" s="20">
        <f>'3-2'!F110</f>
        <v>342</v>
      </c>
      <c r="E82" s="19" t="b">
        <f t="shared" si="27"/>
        <v>0</v>
      </c>
      <c r="F82" s="19" t="b">
        <f t="shared" si="28"/>
        <v>0</v>
      </c>
      <c r="G82" s="19" t="e">
        <f t="shared" si="29"/>
        <v>#DIV/0!</v>
      </c>
      <c r="H82" s="20">
        <f>'3-2'!M110</f>
        <v>0</v>
      </c>
      <c r="I82" s="20" t="str">
        <f>'3-2'!B110</f>
        <v>1-118-11</v>
      </c>
    </row>
    <row r="83" spans="1:9" ht="19.5">
      <c r="A83" s="20">
        <f>'3-2'!A116</f>
        <v>1.18</v>
      </c>
      <c r="B83" s="20" t="str">
        <f>'3-2'!C116</f>
        <v>სადეფორმაციო ნაკერების მოწყობა პენოპლასტით</v>
      </c>
      <c r="C83" s="20" t="str">
        <f>'3-2'!D116</f>
        <v xml:space="preserve">მ² </v>
      </c>
      <c r="D83" s="20">
        <f>'3-2'!F116</f>
        <v>8.5</v>
      </c>
      <c r="E83" s="19" t="str">
        <f t="shared" si="27"/>
        <v>მ²</v>
      </c>
      <c r="F83" s="19">
        <f t="shared" si="28"/>
        <v>8.5</v>
      </c>
      <c r="G83" s="19">
        <f t="shared" si="29"/>
        <v>0</v>
      </c>
      <c r="H83" s="20">
        <f>'3-2'!M116</f>
        <v>0</v>
      </c>
      <c r="I83" s="20" t="str">
        <f>'3-2'!B116</f>
        <v>საბაზრო</v>
      </c>
    </row>
    <row r="84" spans="1:9" ht="19.5">
      <c r="A84" s="20">
        <f>'3-2'!A120</f>
        <v>1.19</v>
      </c>
      <c r="B84" s="20" t="str">
        <f>'3-2'!C120</f>
        <v>კედლის ფასადის მოპირკეთება ქვის წყობით</v>
      </c>
      <c r="C84" s="20" t="str">
        <f>'3-2'!D120</f>
        <v>მ2</v>
      </c>
      <c r="D84" s="20">
        <f>'3-2'!F120</f>
        <v>100</v>
      </c>
      <c r="E84" s="19" t="b">
        <f t="shared" si="27"/>
        <v>0</v>
      </c>
      <c r="F84" s="19" t="b">
        <f t="shared" si="28"/>
        <v>0</v>
      </c>
      <c r="G84" s="19" t="e">
        <f t="shared" si="29"/>
        <v>#DIV/0!</v>
      </c>
      <c r="H84" s="20">
        <f>'3-2'!M120</f>
        <v>0</v>
      </c>
      <c r="I84" s="20" t="str">
        <f>'3-2'!B120</f>
        <v>15-6-8.</v>
      </c>
    </row>
    <row r="85" spans="1:9" s="5" customFormat="1" ht="19.5">
      <c r="A85" s="16"/>
      <c r="B85" s="10" t="s">
        <v>4</v>
      </c>
      <c r="C85" s="14"/>
      <c r="D85" s="15"/>
      <c r="E85" s="15"/>
      <c r="F85" s="19"/>
      <c r="G85" s="15"/>
      <c r="H85" s="15">
        <f>ROUND(SUM(H66:H84),2)</f>
        <v>0</v>
      </c>
      <c r="I85" s="21"/>
    </row>
    <row r="86" spans="1:9" s="5" customFormat="1" ht="19.5">
      <c r="A86" s="16"/>
      <c r="B86" s="10" t="s">
        <v>10</v>
      </c>
      <c r="C86" s="14"/>
      <c r="D86" s="14"/>
      <c r="E86" s="30" t="s">
        <v>12</v>
      </c>
      <c r="F86" s="14">
        <v>10</v>
      </c>
      <c r="G86" s="14"/>
      <c r="H86" s="15">
        <f>ROUND(H85*F86%,2)</f>
        <v>0</v>
      </c>
      <c r="I86" s="21"/>
    </row>
    <row r="87" spans="1:9" s="5" customFormat="1" ht="19.5">
      <c r="A87" s="16"/>
      <c r="B87" s="10" t="s">
        <v>4</v>
      </c>
      <c r="C87" s="14"/>
      <c r="D87" s="14"/>
      <c r="E87" s="19"/>
      <c r="F87" s="14"/>
      <c r="G87" s="19"/>
      <c r="H87" s="19">
        <f>ROUND(SUM(H85:H86),2)</f>
        <v>0</v>
      </c>
      <c r="I87" s="21"/>
    </row>
    <row r="88" spans="1:9" s="5" customFormat="1" ht="19.5">
      <c r="A88" s="16"/>
      <c r="B88" s="10" t="s">
        <v>11</v>
      </c>
      <c r="C88" s="14"/>
      <c r="D88" s="14"/>
      <c r="E88" s="30" t="s">
        <v>12</v>
      </c>
      <c r="F88" s="14">
        <v>8</v>
      </c>
      <c r="G88" s="14"/>
      <c r="H88" s="15">
        <f>ROUND(H87*F88%,2)</f>
        <v>0</v>
      </c>
      <c r="I88" s="21"/>
    </row>
    <row r="89" spans="1:9" s="5" customFormat="1" ht="19.5">
      <c r="A89" s="16"/>
      <c r="B89" s="10" t="s">
        <v>4</v>
      </c>
      <c r="C89" s="14"/>
      <c r="D89" s="14"/>
      <c r="E89" s="14"/>
      <c r="F89" s="14"/>
      <c r="G89" s="14"/>
      <c r="H89" s="15">
        <f>ROUND(SUM(H87:H88),2)</f>
        <v>0</v>
      </c>
      <c r="I89" s="21"/>
    </row>
    <row r="90" spans="1:9" s="5" customFormat="1" ht="19.5">
      <c r="A90" s="10"/>
      <c r="B90" s="12" t="str">
        <f>'3-3'!C9</f>
        <v>რ/ბ კედლის მოწყობის სამუშაოები პკ 3+35 პკ 3+42 სკ4</v>
      </c>
      <c r="C90" s="14"/>
      <c r="D90" s="14"/>
      <c r="E90" s="14"/>
      <c r="F90" s="14"/>
      <c r="G90" s="14"/>
      <c r="H90" s="15"/>
      <c r="I90" s="14"/>
    </row>
    <row r="91" spans="1:9" ht="39">
      <c r="A91" s="20">
        <f>'3-3'!A11</f>
        <v>1.1000000000000001</v>
      </c>
      <c r="B91" s="20" t="str">
        <f>'3-3'!C11</f>
        <v xml:space="preserve">მე-4 კატეგორიის გრუნტის დამუშავება და დატვირთვა ექსკავატორით ავტოთვითმცლელზე </v>
      </c>
      <c r="C91" s="20" t="str">
        <f>'3-3'!D11</f>
        <v>მ3</v>
      </c>
      <c r="D91" s="20">
        <f>'3-3'!F11</f>
        <v>217</v>
      </c>
      <c r="E91" s="19" t="b">
        <f t="shared" ref="E91" si="30">IF(C91="კმ","კმ",IF(C91="1 ჰა","1 ჰა",IF(C91="100 ც","ც",IF(C91="1 ც","ც",IF(C91="ც","ც",IF(C91="ტ","ტ",IF(C91="1 ტ","ტ",IF(C91="მ³","მ³",IF(C91="1 მ³","მ³",IF(C91="10 მ³","მ³",IF(C91="100 მ³","მ³",IF(C91="1000 მ³","მ³",IF(C91="1000 მ","მ",IF(C91="100 მ","მ",IF(C91="10 მ","მ",IF(C91="10 მ ","მ",IF(C91="მ","მ",IF(C91="1000 მ²","მ²",IF(C91="1000 მ² ","მ²",IF(C91="100 მ²","მ²",IF(C91="100 მ² ","მ²",IF(C91="10 მ²","მ²",IF(C91="მ² ","მ²",IF(C91="ლარი","ლარი",IF(C91="ხიდი","ლარი",IF(C91="100 მ","მ",IF(C91="გ.მ.","მ")))))))))))))))))))))))))))</f>
        <v>0</v>
      </c>
      <c r="F91" s="19" t="b">
        <f t="shared" ref="F91" si="31">IF(C91="კმ",D91,IF(C91="1 ჰა",D91,IF(C91="100 ც",D91*100,IF(C91="1 ც",D91,IF(C91="ც",D91,IF(C91="ტ",D91,IF(C91="1 ტ",D91,IF(C91="მ³",D91,IF(C91="1 მ³",D91,IF(C91="10 მ³",D91*10,IF(C91="100 მ³",D91*100,IF(C91="1000 მ³",D91*1000,IF(C91="1000 მ",D91*1000,IF(C91="100 მ",D91*100,IF(C91="10 მ",D91*10,IF(C91="10 მ ",D91*10,IF(C91="მ",D91,IF(C91="1000 მ²",D91*1000,IF(C91="1000 მ² ",D91*1000,IF(C91="100 მ²",D91*100,IF(C91="100 მ² ",D91*100,IF(C91="10 მ²",D91*10,IF(C91="მ² ",D91,IF(C91="ლარი",D91,IF(C91="ხიდი",D91,IF(C91="100 მ",D91*100,IF(C91="გ.მ.",D91)))))))))))))))))))))))))))</f>
        <v>0</v>
      </c>
      <c r="G91" s="19" t="e">
        <f t="shared" ref="G91" si="32">ROUND(H91/F91,2)</f>
        <v>#DIV/0!</v>
      </c>
      <c r="H91" s="20">
        <f>'3-3'!M11</f>
        <v>0</v>
      </c>
      <c r="I91" s="20" t="str">
        <f>'3-3'!B11</f>
        <v>1-22-16</v>
      </c>
    </row>
    <row r="92" spans="1:9" ht="19.5">
      <c r="A92" s="20">
        <f>'3-3'!A18</f>
        <v>1.2</v>
      </c>
      <c r="B92" s="20" t="str">
        <f>'3-3'!C18</f>
        <v xml:space="preserve">მე-4 კატ გრუნტის ფენის დამუშავება ხელით სიღრმით 2 მ-მდე </v>
      </c>
      <c r="C92" s="20" t="str">
        <f>'3-3'!D18</f>
        <v>მ3</v>
      </c>
      <c r="D92" s="20">
        <f>'3-3'!F18</f>
        <v>2</v>
      </c>
      <c r="E92" s="19" t="b">
        <f t="shared" ref="E92:E110" si="33">IF(C92="კმ","კმ",IF(C92="1 ჰა","1 ჰა",IF(C92="100 ც","ც",IF(C92="1 ც","ც",IF(C92="ც","ც",IF(C92="ტ","ტ",IF(C92="1 ტ","ტ",IF(C92="მ³","მ³",IF(C92="1 მ³","მ³",IF(C92="10 მ³","მ³",IF(C92="100 მ³","მ³",IF(C92="1000 მ³","მ³",IF(C92="1000 მ","მ",IF(C92="100 მ","მ",IF(C92="10 მ","მ",IF(C92="10 მ ","მ",IF(C92="მ","მ",IF(C92="1000 მ²","მ²",IF(C92="1000 მ² ","მ²",IF(C92="100 მ²","მ²",IF(C92="100 მ² ","მ²",IF(C92="10 მ²","მ²",IF(C92="მ² ","მ²",IF(C92="ლარი","ლარი",IF(C92="ხიდი","ლარი",IF(C92="100 მ","მ",IF(C92="გ.მ.","მ")))))))))))))))))))))))))))</f>
        <v>0</v>
      </c>
      <c r="F92" s="19" t="b">
        <f t="shared" ref="F92:F110" si="34">IF(C92="კმ",D92,IF(C92="1 ჰა",D92,IF(C92="100 ც",D92*100,IF(C92="1 ც",D92,IF(C92="ც",D92,IF(C92="ტ",D92,IF(C92="1 ტ",D92,IF(C92="მ³",D92,IF(C92="1 მ³",D92,IF(C92="10 მ³",D92*10,IF(C92="100 მ³",D92*100,IF(C92="1000 მ³",D92*1000,IF(C92="1000 მ",D92*1000,IF(C92="100 მ",D92*100,IF(C92="10 მ",D92*10,IF(C92="10 მ ",D92*10,IF(C92="მ",D92,IF(C92="1000 მ²",D92*1000,IF(C92="1000 მ² ",D92*1000,IF(C92="100 მ²",D92*100,IF(C92="100 მ² ",D92*100,IF(C92="10 მ²",D92*10,IF(C92="მ² ",D92,IF(C92="ლარი",D92,IF(C92="ხიდი",D92,IF(C92="100 მ",D92*100,IF(C92="გ.მ.",D92)))))))))))))))))))))))))))</f>
        <v>0</v>
      </c>
      <c r="G92" s="19" t="e">
        <f t="shared" ref="G92:G110" si="35">ROUND(H92/F92,2)</f>
        <v>#DIV/0!</v>
      </c>
      <c r="H92" s="20">
        <f>'3-3'!M18</f>
        <v>0</v>
      </c>
      <c r="I92" s="20" t="str">
        <f>'3-3'!B18</f>
        <v>1-80-4</v>
      </c>
    </row>
    <row r="93" spans="1:9" ht="19.5">
      <c r="A93" s="20">
        <f>'3-3'!A22</f>
        <v>1.3</v>
      </c>
      <c r="B93" s="20" t="str">
        <f>'3-3'!C22</f>
        <v xml:space="preserve">გრუნტის დატვირთვა ავტოთვითმცლელზე ხელით </v>
      </c>
      <c r="C93" s="20" t="str">
        <f>'3-3'!D22</f>
        <v>ტ</v>
      </c>
      <c r="D93" s="20">
        <f>'3-3'!F22</f>
        <v>3.9</v>
      </c>
      <c r="E93" s="19" t="str">
        <f t="shared" si="33"/>
        <v>ტ</v>
      </c>
      <c r="F93" s="19">
        <f t="shared" si="34"/>
        <v>3.9</v>
      </c>
      <c r="G93" s="19">
        <f t="shared" si="35"/>
        <v>0</v>
      </c>
      <c r="H93" s="20">
        <f>'3-3'!M22</f>
        <v>0</v>
      </c>
      <c r="I93" s="20" t="str">
        <f>'3-3'!B22</f>
        <v>Е1-22/1-а</v>
      </c>
    </row>
    <row r="94" spans="1:9" ht="19.5">
      <c r="A94" s="20">
        <f>'3-3'!A25</f>
        <v>1.4</v>
      </c>
      <c r="B94" s="20" t="str">
        <f>'3-3'!C25</f>
        <v>ტვირთის ტრანსპორტირება ნაყარში 3 კმ მანძილზე</v>
      </c>
      <c r="C94" s="20" t="str">
        <f>'3-3'!D25</f>
        <v>ტ</v>
      </c>
      <c r="D94" s="20">
        <f>'3-3'!F25</f>
        <v>427.05</v>
      </c>
      <c r="E94" s="19" t="str">
        <f t="shared" si="33"/>
        <v>ტ</v>
      </c>
      <c r="F94" s="19">
        <f t="shared" si="34"/>
        <v>427.05</v>
      </c>
      <c r="G94" s="19">
        <f t="shared" si="35"/>
        <v>0</v>
      </c>
      <c r="H94" s="20">
        <f>'3-3'!M25</f>
        <v>0</v>
      </c>
      <c r="I94" s="20" t="str">
        <f>'3-3'!B25</f>
        <v>15-ტრ-3</v>
      </c>
    </row>
    <row r="95" spans="1:9" ht="19.5">
      <c r="A95" s="20">
        <f>'3-3'!A27</f>
        <v>1.5</v>
      </c>
      <c r="B95" s="20" t="str">
        <f>'3-3'!C27</f>
        <v>მე-4  III კატეგორიის გრუნტის დამუშავება ნაყარში</v>
      </c>
      <c r="C95" s="20" t="str">
        <f>'3-3'!D27</f>
        <v>მ3</v>
      </c>
      <c r="D95" s="20">
        <f>'3-3'!F27</f>
        <v>219</v>
      </c>
      <c r="E95" s="19" t="b">
        <f t="shared" si="33"/>
        <v>0</v>
      </c>
      <c r="F95" s="19" t="b">
        <f t="shared" si="34"/>
        <v>0</v>
      </c>
      <c r="G95" s="19" t="e">
        <f t="shared" si="35"/>
        <v>#DIV/0!</v>
      </c>
      <c r="H95" s="20">
        <f>'3-3'!M27</f>
        <v>0</v>
      </c>
      <c r="I95" s="20" t="str">
        <f>'3-3'!B27</f>
        <v>1-25-2</v>
      </c>
    </row>
    <row r="96" spans="1:9" ht="19.5">
      <c r="A96" s="20">
        <f>'3-3'!A34</f>
        <v>1.6</v>
      </c>
      <c r="B96" s="20" t="str">
        <f>'3-3'!C34</f>
        <v>მე-4 კატეგორიის გრუნტის ფერდობების მოშანდაკება ხელით</v>
      </c>
      <c r="C96" s="20" t="str">
        <f>'3-3'!D34</f>
        <v>მ2</v>
      </c>
      <c r="D96" s="20">
        <f>'3-3'!F34</f>
        <v>30.8</v>
      </c>
      <c r="E96" s="19" t="b">
        <f t="shared" si="33"/>
        <v>0</v>
      </c>
      <c r="F96" s="19" t="b">
        <f t="shared" si="34"/>
        <v>0</v>
      </c>
      <c r="G96" s="19" t="e">
        <f t="shared" si="35"/>
        <v>#DIV/0!</v>
      </c>
      <c r="H96" s="20">
        <f>'3-3'!M34</f>
        <v>0</v>
      </c>
      <c r="I96" s="20" t="str">
        <f>'3-3'!B34</f>
        <v>1-64-8</v>
      </c>
    </row>
    <row r="97" spans="1:9" ht="19.5">
      <c r="A97" s="20">
        <f>'3-3'!A38</f>
        <v>1.7</v>
      </c>
      <c r="B97" s="20" t="str">
        <f>'3-3'!C38</f>
        <v>ქვიშა-ხრეშოვანი ქვესაგები ფენის მოწყობა სისქით 20 სმ</v>
      </c>
      <c r="C97" s="20" t="str">
        <f>'3-3'!D38</f>
        <v>მ3</v>
      </c>
      <c r="D97" s="20">
        <f>'3-3'!F38</f>
        <v>14</v>
      </c>
      <c r="E97" s="19" t="b">
        <f t="shared" si="33"/>
        <v>0</v>
      </c>
      <c r="F97" s="19" t="b">
        <f t="shared" si="34"/>
        <v>0</v>
      </c>
      <c r="G97" s="19" t="e">
        <f t="shared" si="35"/>
        <v>#DIV/0!</v>
      </c>
      <c r="H97" s="20">
        <f>'3-3'!M38</f>
        <v>0</v>
      </c>
      <c r="I97" s="20" t="str">
        <f>'3-3'!B38</f>
        <v>8-3-2.</v>
      </c>
    </row>
    <row r="98" spans="1:9" ht="19.5">
      <c r="A98" s="20">
        <f>'3-3'!A45</f>
        <v>1.8</v>
      </c>
      <c r="B98" s="20" t="str">
        <f>'3-3'!C45</f>
        <v>ბეტონის საგების  მომზადება სისქით 10 სმ</v>
      </c>
      <c r="C98" s="20" t="str">
        <f>'3-3'!D45</f>
        <v>მ3</v>
      </c>
      <c r="D98" s="20">
        <f>'3-3'!F45</f>
        <v>2.8</v>
      </c>
      <c r="E98" s="19" t="b">
        <f t="shared" si="33"/>
        <v>0</v>
      </c>
      <c r="F98" s="19" t="b">
        <f t="shared" si="34"/>
        <v>0</v>
      </c>
      <c r="G98" s="19" t="e">
        <f t="shared" si="35"/>
        <v>#DIV/0!</v>
      </c>
      <c r="H98" s="20">
        <f>'3-3'!M45</f>
        <v>0</v>
      </c>
      <c r="I98" s="20" t="str">
        <f>'3-3'!B45</f>
        <v>6-1-1.</v>
      </c>
    </row>
    <row r="99" spans="1:9" ht="19.5">
      <c r="A99" s="20">
        <f>'3-3'!A52</f>
        <v>1.9</v>
      </c>
      <c r="B99" s="20" t="str">
        <f>'3-3'!C52</f>
        <v>რ/ბ კედლის ფუნდამენტის მოწყობა</v>
      </c>
      <c r="C99" s="20" t="str">
        <f>'3-3'!D52</f>
        <v>მ3</v>
      </c>
      <c r="D99" s="20">
        <f>'3-3'!F52</f>
        <v>10.43</v>
      </c>
      <c r="E99" s="19" t="b">
        <f t="shared" si="33"/>
        <v>0</v>
      </c>
      <c r="F99" s="19" t="b">
        <f t="shared" si="34"/>
        <v>0</v>
      </c>
      <c r="G99" s="19" t="e">
        <f t="shared" si="35"/>
        <v>#DIV/0!</v>
      </c>
      <c r="H99" s="20">
        <f>'3-3'!M52</f>
        <v>0</v>
      </c>
      <c r="I99" s="20" t="str">
        <f>'3-3'!B52</f>
        <v>6-1-16.</v>
      </c>
    </row>
    <row r="100" spans="1:9" ht="19.5">
      <c r="A100" s="20">
        <f>'3-3'!A62</f>
        <v>1.1000000000000001</v>
      </c>
      <c r="B100" s="20" t="str">
        <f>'3-3'!C62</f>
        <v>რ/ბ საყრდენი კედლის მოწყობა</v>
      </c>
      <c r="C100" s="20" t="str">
        <f>'3-3'!D62</f>
        <v>მ3</v>
      </c>
      <c r="D100" s="20">
        <f>'3-3'!F62</f>
        <v>12.25</v>
      </c>
      <c r="E100" s="19" t="b">
        <f t="shared" si="33"/>
        <v>0</v>
      </c>
      <c r="F100" s="19" t="b">
        <f t="shared" si="34"/>
        <v>0</v>
      </c>
      <c r="G100" s="19" t="e">
        <f t="shared" si="35"/>
        <v>#DIV/0!</v>
      </c>
      <c r="H100" s="20">
        <f>'3-3'!M62</f>
        <v>0</v>
      </c>
      <c r="I100" s="20" t="str">
        <f>'3-3'!B62</f>
        <v>6-11-7.</v>
      </c>
    </row>
    <row r="101" spans="1:9" ht="19.5">
      <c r="A101" s="20">
        <f>'3-3'!A74</f>
        <v>1.1100000000000001</v>
      </c>
      <c r="B101" s="20" t="str">
        <f>'3-3'!C74</f>
        <v>კედლის უკანა ზედაპირზე ბიტუმის წასმა 2 ჯერ</v>
      </c>
      <c r="C101" s="20" t="str">
        <f>'3-3'!D74</f>
        <v>მ2</v>
      </c>
      <c r="D101" s="20">
        <f>'3-3'!F74</f>
        <v>49</v>
      </c>
      <c r="E101" s="19" t="b">
        <f t="shared" si="33"/>
        <v>0</v>
      </c>
      <c r="F101" s="19" t="b">
        <f t="shared" si="34"/>
        <v>0</v>
      </c>
      <c r="G101" s="19" t="e">
        <f t="shared" si="35"/>
        <v>#DIV/0!</v>
      </c>
      <c r="H101" s="20">
        <f>'3-3'!M74</f>
        <v>0</v>
      </c>
      <c r="I101" s="20" t="str">
        <f>'3-3'!B74</f>
        <v>8-4-7.</v>
      </c>
    </row>
    <row r="102" spans="1:9" ht="39">
      <c r="A102" s="20">
        <f>'3-3'!A81</f>
        <v>1.1200000000000001</v>
      </c>
      <c r="B102" s="20" t="str">
        <f>'3-3'!C81</f>
        <v>გეოტექსტილის ჰიდროიზოლაციის მოწყობა</v>
      </c>
      <c r="C102" s="20" t="str">
        <f>'3-3'!D81</f>
        <v>მ2</v>
      </c>
      <c r="D102" s="20">
        <f>'3-3'!F81</f>
        <v>98</v>
      </c>
      <c r="E102" s="19" t="b">
        <f t="shared" si="33"/>
        <v>0</v>
      </c>
      <c r="F102" s="19" t="b">
        <f t="shared" si="34"/>
        <v>0</v>
      </c>
      <c r="G102" s="19" t="e">
        <f t="shared" si="35"/>
        <v>#DIV/0!</v>
      </c>
      <c r="H102" s="20">
        <f>'3-3'!M81</f>
        <v>0</v>
      </c>
      <c r="I102" s="20" t="str">
        <f>'3-3'!B81</f>
        <v>26-01-055-01;-02</v>
      </c>
    </row>
    <row r="103" spans="1:9" ht="19.5">
      <c r="A103" s="20">
        <f>'3-3'!A86</f>
        <v>1.1299999999999999</v>
      </c>
      <c r="B103" s="20" t="str">
        <f>'3-3'!C86</f>
        <v>გეომემბრანის ჰიდროიზოლაციის მოწყობა</v>
      </c>
      <c r="C103" s="20" t="str">
        <f>'3-3'!D86</f>
        <v>მ2</v>
      </c>
      <c r="D103" s="20">
        <f>'3-3'!F86</f>
        <v>35</v>
      </c>
      <c r="E103" s="19" t="b">
        <f t="shared" si="33"/>
        <v>0</v>
      </c>
      <c r="F103" s="19" t="b">
        <f t="shared" si="34"/>
        <v>0</v>
      </c>
      <c r="G103" s="19" t="e">
        <f t="shared" si="35"/>
        <v>#DIV/0!</v>
      </c>
      <c r="H103" s="20">
        <f>'3-3'!M86</f>
        <v>0</v>
      </c>
      <c r="I103" s="20" t="str">
        <f>'3-3'!B86</f>
        <v>Е3-2/1 ЕНиР</v>
      </c>
    </row>
    <row r="104" spans="1:9" ht="19.5">
      <c r="A104" s="20">
        <f>'3-3'!A92</f>
        <v>1.1399999999999999</v>
      </c>
      <c r="B104" s="20" t="str">
        <f>'3-3'!C92</f>
        <v>სადრენაჟო ფენის მოწყობა ფრაქციული ღორღისგან</v>
      </c>
      <c r="C104" s="20" t="str">
        <f>'3-3'!D92</f>
        <v>მ3</v>
      </c>
      <c r="D104" s="20">
        <f>'3-3'!F92</f>
        <v>21</v>
      </c>
      <c r="E104" s="19" t="b">
        <f t="shared" si="33"/>
        <v>0</v>
      </c>
      <c r="F104" s="19" t="b">
        <f t="shared" si="34"/>
        <v>0</v>
      </c>
      <c r="G104" s="19" t="e">
        <f t="shared" si="35"/>
        <v>#DIV/0!</v>
      </c>
      <c r="H104" s="20">
        <f>'3-3'!M92</f>
        <v>0</v>
      </c>
      <c r="I104" s="20" t="str">
        <f>'3-3'!B92</f>
        <v>23-1-2.</v>
      </c>
    </row>
    <row r="105" spans="1:9" ht="19.5">
      <c r="A105" s="20">
        <f>'3-3'!A97</f>
        <v>1.1499999999999999</v>
      </c>
      <c r="B105" s="20" t="str">
        <f>'3-3'!C97</f>
        <v>პოლიეთილენის სადრენაჟე მილის მონტაჟი</v>
      </c>
      <c r="C105" s="20" t="str">
        <f>'3-3'!D97</f>
        <v>მ</v>
      </c>
      <c r="D105" s="20">
        <f>'3-3'!F97</f>
        <v>2</v>
      </c>
      <c r="E105" s="19" t="str">
        <f t="shared" si="33"/>
        <v>მ</v>
      </c>
      <c r="F105" s="19">
        <f t="shared" si="34"/>
        <v>2</v>
      </c>
      <c r="G105" s="19">
        <f t="shared" si="35"/>
        <v>0</v>
      </c>
      <c r="H105" s="20">
        <f>'3-3'!M97</f>
        <v>0</v>
      </c>
      <c r="I105" s="20" t="str">
        <f>'3-3'!B97</f>
        <v>27-5-3.</v>
      </c>
    </row>
    <row r="106" spans="1:9" ht="19.5">
      <c r="A106" s="20">
        <f>'3-3'!A104</f>
        <v>1.1599999999999999</v>
      </c>
      <c r="B106" s="20" t="str">
        <f>'3-3'!C104</f>
        <v>დრენირებადი გრუნტის უკუჩაყრა</v>
      </c>
      <c r="C106" s="20" t="str">
        <f>'3-3'!D104</f>
        <v>მ3</v>
      </c>
      <c r="D106" s="20">
        <f>'3-3'!F104</f>
        <v>133</v>
      </c>
      <c r="E106" s="19" t="b">
        <f t="shared" si="33"/>
        <v>0</v>
      </c>
      <c r="F106" s="19" t="b">
        <f t="shared" si="34"/>
        <v>0</v>
      </c>
      <c r="G106" s="19" t="e">
        <f t="shared" si="35"/>
        <v>#DIV/0!</v>
      </c>
      <c r="H106" s="20">
        <f>'3-3'!M104</f>
        <v>0</v>
      </c>
      <c r="I106" s="20" t="str">
        <f>'3-3'!B104</f>
        <v>1-22-14</v>
      </c>
    </row>
    <row r="107" spans="1:9" ht="19.5">
      <c r="A107" s="20">
        <f>'3-3'!A111</f>
        <v>1.17</v>
      </c>
      <c r="B107" s="20" t="str">
        <f>'3-3'!C111</f>
        <v>გრუნტის დატკეპნა ფენებად</v>
      </c>
      <c r="C107" s="20" t="str">
        <f>'3-3'!D111</f>
        <v>მ3</v>
      </c>
      <c r="D107" s="20">
        <f>'3-3'!F111</f>
        <v>133</v>
      </c>
      <c r="E107" s="19" t="b">
        <f t="shared" si="33"/>
        <v>0</v>
      </c>
      <c r="F107" s="19" t="b">
        <f t="shared" si="34"/>
        <v>0</v>
      </c>
      <c r="G107" s="19" t="e">
        <f t="shared" si="35"/>
        <v>#DIV/0!</v>
      </c>
      <c r="H107" s="20">
        <f>'3-3'!M111</f>
        <v>0</v>
      </c>
      <c r="I107" s="20" t="str">
        <f>'3-3'!B111</f>
        <v>1-118-11</v>
      </c>
    </row>
    <row r="108" spans="1:9" ht="19.5">
      <c r="A108" s="20">
        <f>'3-3'!A117</f>
        <v>1.18</v>
      </c>
      <c r="B108" s="20" t="str">
        <f>'3-3'!C117</f>
        <v>სადეფორმაციო ნაკერების მოწყობა პენოპლასტით</v>
      </c>
      <c r="C108" s="20" t="str">
        <f>'3-3'!D117</f>
        <v xml:space="preserve">მ² </v>
      </c>
      <c r="D108" s="20">
        <f>'3-3'!F117</f>
        <v>1.3</v>
      </c>
      <c r="E108" s="19" t="str">
        <f t="shared" si="33"/>
        <v>მ²</v>
      </c>
      <c r="F108" s="19">
        <f t="shared" si="34"/>
        <v>1.3</v>
      </c>
      <c r="G108" s="19">
        <f t="shared" si="35"/>
        <v>0</v>
      </c>
      <c r="H108" s="20">
        <f>'3-3'!M117</f>
        <v>0</v>
      </c>
      <c r="I108" s="20" t="str">
        <f>'3-3'!B117</f>
        <v>საბაზრო</v>
      </c>
    </row>
    <row r="109" spans="1:9" ht="19.5">
      <c r="A109" s="20">
        <f>'3-3'!A121</f>
        <v>1.19</v>
      </c>
      <c r="B109" s="20" t="str">
        <f>'3-3'!C121</f>
        <v>კედლის ფასადის მოპირკეთება ქვის წყობით</v>
      </c>
      <c r="C109" s="20" t="str">
        <f>'3-3'!D121</f>
        <v>მ2</v>
      </c>
      <c r="D109" s="20">
        <f>'3-3'!F121</f>
        <v>21</v>
      </c>
      <c r="E109" s="19" t="b">
        <f t="shared" si="33"/>
        <v>0</v>
      </c>
      <c r="F109" s="19" t="b">
        <f t="shared" si="34"/>
        <v>0</v>
      </c>
      <c r="G109" s="19" t="e">
        <f t="shared" si="35"/>
        <v>#DIV/0!</v>
      </c>
      <c r="H109" s="20">
        <f>'3-3'!M121</f>
        <v>0</v>
      </c>
      <c r="I109" s="20" t="str">
        <f>'3-3'!B121</f>
        <v>15-6-8.</v>
      </c>
    </row>
    <row r="110" spans="1:9" ht="19.5">
      <c r="A110" s="32">
        <f>'3-3'!A130</f>
        <v>1.2</v>
      </c>
      <c r="B110" s="20" t="str">
        <f>'3-3'!C130</f>
        <v>არსებული კედლის დემონტაჟი</v>
      </c>
      <c r="C110" s="20" t="str">
        <f>'3-3'!D130</f>
        <v>მ3</v>
      </c>
      <c r="D110" s="20">
        <f>'3-3'!F130</f>
        <v>28</v>
      </c>
      <c r="E110" s="19" t="b">
        <f t="shared" si="33"/>
        <v>0</v>
      </c>
      <c r="F110" s="19" t="b">
        <f t="shared" si="34"/>
        <v>0</v>
      </c>
      <c r="G110" s="19" t="e">
        <f t="shared" si="35"/>
        <v>#DIV/0!</v>
      </c>
      <c r="H110" s="20">
        <f>'3-3'!M130</f>
        <v>0</v>
      </c>
      <c r="I110" s="20" t="str">
        <f>'3-3'!B130</f>
        <v>46-04-001-01</v>
      </c>
    </row>
    <row r="111" spans="1:9" s="5" customFormat="1" ht="19.5">
      <c r="A111" s="16"/>
      <c r="B111" s="10" t="s">
        <v>4</v>
      </c>
      <c r="C111" s="14"/>
      <c r="D111" s="15"/>
      <c r="E111" s="15"/>
      <c r="F111" s="19"/>
      <c r="G111" s="15"/>
      <c r="H111" s="15">
        <f>ROUND(SUM(H91:H110),2)</f>
        <v>0</v>
      </c>
      <c r="I111" s="21"/>
    </row>
    <row r="112" spans="1:9" s="5" customFormat="1" ht="19.5">
      <c r="A112" s="16"/>
      <c r="B112" s="10" t="s">
        <v>10</v>
      </c>
      <c r="C112" s="14"/>
      <c r="D112" s="14"/>
      <c r="E112" s="30" t="s">
        <v>12</v>
      </c>
      <c r="F112" s="14">
        <v>10</v>
      </c>
      <c r="G112" s="14"/>
      <c r="H112" s="15">
        <f>ROUND(H111*F112%,2)</f>
        <v>0</v>
      </c>
      <c r="I112" s="21"/>
    </row>
    <row r="113" spans="1:9" s="5" customFormat="1" ht="19.5">
      <c r="A113" s="16"/>
      <c r="B113" s="10" t="s">
        <v>4</v>
      </c>
      <c r="C113" s="14"/>
      <c r="D113" s="14"/>
      <c r="E113" s="19"/>
      <c r="F113" s="14"/>
      <c r="G113" s="19"/>
      <c r="H113" s="19">
        <f>ROUND(SUM(H111:H112),2)</f>
        <v>0</v>
      </c>
      <c r="I113" s="21"/>
    </row>
    <row r="114" spans="1:9" s="5" customFormat="1" ht="19.5">
      <c r="A114" s="16"/>
      <c r="B114" s="10" t="s">
        <v>11</v>
      </c>
      <c r="C114" s="14"/>
      <c r="D114" s="14"/>
      <c r="E114" s="30" t="s">
        <v>12</v>
      </c>
      <c r="F114" s="14">
        <v>8</v>
      </c>
      <c r="G114" s="14"/>
      <c r="H114" s="15">
        <f>ROUND(H113*F114%,2)</f>
        <v>0</v>
      </c>
      <c r="I114" s="21"/>
    </row>
    <row r="115" spans="1:9" s="5" customFormat="1" ht="19.5">
      <c r="A115" s="16"/>
      <c r="B115" s="10" t="s">
        <v>4</v>
      </c>
      <c r="C115" s="14"/>
      <c r="D115" s="14"/>
      <c r="E115" s="14"/>
      <c r="F115" s="14"/>
      <c r="G115" s="14"/>
      <c r="H115" s="15">
        <f>ROUND(SUM(H113:H114),2)</f>
        <v>0</v>
      </c>
      <c r="I115" s="21"/>
    </row>
    <row r="116" spans="1:9" s="5" customFormat="1" ht="19.5">
      <c r="A116" s="10"/>
      <c r="B116" s="12" t="e">
        <f>#REF!</f>
        <v>#REF!</v>
      </c>
      <c r="C116" s="14"/>
      <c r="D116" s="14"/>
      <c r="E116" s="14"/>
      <c r="F116" s="14"/>
      <c r="G116" s="14"/>
      <c r="H116" s="15"/>
      <c r="I116" s="14"/>
    </row>
    <row r="117" spans="1:9" ht="19.5">
      <c r="A117" s="20" t="e">
        <f>#REF!</f>
        <v>#REF!</v>
      </c>
      <c r="B117" s="20" t="e">
        <f>#REF!</f>
        <v>#REF!</v>
      </c>
      <c r="C117" s="20" t="e">
        <f>#REF!</f>
        <v>#REF!</v>
      </c>
      <c r="D117" s="20" t="e">
        <f>#REF!</f>
        <v>#REF!</v>
      </c>
      <c r="E117" s="19" t="e">
        <f t="shared" ref="E117" si="36">IF(C117="კმ","კმ",IF(C117="1 ჰა","1 ჰა",IF(C117="100 ც","ც",IF(C117="1 ც","ც",IF(C117="ც","ც",IF(C117="ტ","ტ",IF(C117="1 ტ","ტ",IF(C117="მ³","მ³",IF(C117="1 მ³","მ³",IF(C117="10 მ³","მ³",IF(C117="100 მ³","მ³",IF(C117="1000 მ³","მ³",IF(C117="1000 მ","მ",IF(C117="100 მ","მ",IF(C117="10 მ","მ",IF(C117="10 მ ","მ",IF(C117="მ","მ",IF(C117="1000 მ²","მ²",IF(C117="1000 მ² ","მ²",IF(C117="100 მ²","მ²",IF(C117="100 მ² ","მ²",IF(C117="10 მ²","მ²",IF(C117="მ² ","მ²",IF(C117="ლარი","ლარი",IF(C117="ხიდი","ლარი",IF(C117="100 მ","მ",IF(C117="გ.მ.","მ")))))))))))))))))))))))))))</f>
        <v>#REF!</v>
      </c>
      <c r="F117" s="19" t="e">
        <f t="shared" ref="F117" si="37">IF(C117="კმ",D117,IF(C117="1 ჰა",D117,IF(C117="100 ც",D117*100,IF(C117="1 ც",D117,IF(C117="ც",D117,IF(C117="ტ",D117,IF(C117="1 ტ",D117,IF(C117="მ³",D117,IF(C117="1 მ³",D117,IF(C117="10 მ³",D117*10,IF(C117="100 მ³",D117*100,IF(C117="1000 მ³",D117*1000,IF(C117="1000 მ",D117*1000,IF(C117="100 მ",D117*100,IF(C117="10 მ",D117*10,IF(C117="10 მ ",D117*10,IF(C117="მ",D117,IF(C117="1000 მ²",D117*1000,IF(C117="1000 მ² ",D117*1000,IF(C117="100 მ²",D117*100,IF(C117="100 მ² ",D117*100,IF(C117="10 მ²",D117*10,IF(C117="მ² ",D117,IF(C117="ლარი",D117,IF(C117="ხიდი",D117,IF(C117="100 მ",D117*100,IF(C117="გ.მ.",D117)))))))))))))))))))))))))))</f>
        <v>#REF!</v>
      </c>
      <c r="G117" s="19" t="e">
        <f t="shared" ref="G117" si="38">ROUND(H117/F117,2)</f>
        <v>#REF!</v>
      </c>
      <c r="H117" s="20" t="e">
        <f>#REF!</f>
        <v>#REF!</v>
      </c>
      <c r="I117" s="20" t="e">
        <f>#REF!</f>
        <v>#REF!</v>
      </c>
    </row>
    <row r="118" spans="1:9" ht="19.5">
      <c r="A118" s="20" t="e">
        <f>#REF!</f>
        <v>#REF!</v>
      </c>
      <c r="B118" s="20" t="e">
        <f>#REF!</f>
        <v>#REF!</v>
      </c>
      <c r="C118" s="20" t="e">
        <f>#REF!</f>
        <v>#REF!</v>
      </c>
      <c r="D118" s="20" t="e">
        <f>#REF!</f>
        <v>#REF!</v>
      </c>
      <c r="E118" s="19" t="e">
        <f t="shared" ref="E118:E136" si="39">IF(C118="კმ","კმ",IF(C118="1 ჰა","1 ჰა",IF(C118="100 ც","ც",IF(C118="1 ც","ც",IF(C118="ც","ც",IF(C118="ტ","ტ",IF(C118="1 ტ","ტ",IF(C118="მ³","მ³",IF(C118="1 მ³","მ³",IF(C118="10 მ³","მ³",IF(C118="100 მ³","მ³",IF(C118="1000 მ³","მ³",IF(C118="1000 მ","მ",IF(C118="100 მ","მ",IF(C118="10 მ","მ",IF(C118="10 მ ","მ",IF(C118="მ","მ",IF(C118="1000 მ²","მ²",IF(C118="1000 მ² ","მ²",IF(C118="100 მ²","მ²",IF(C118="100 მ² ","მ²",IF(C118="10 მ²","მ²",IF(C118="მ² ","მ²",IF(C118="ლარი","ლარი",IF(C118="ხიდი","ლარი",IF(C118="100 მ","მ",IF(C118="გ.მ.","მ")))))))))))))))))))))))))))</f>
        <v>#REF!</v>
      </c>
      <c r="F118" s="19" t="e">
        <f t="shared" ref="F118:F136" si="40">IF(C118="კმ",D118,IF(C118="1 ჰა",D118,IF(C118="100 ც",D118*100,IF(C118="1 ც",D118,IF(C118="ც",D118,IF(C118="ტ",D118,IF(C118="1 ტ",D118,IF(C118="მ³",D118,IF(C118="1 მ³",D118,IF(C118="10 მ³",D118*10,IF(C118="100 მ³",D118*100,IF(C118="1000 მ³",D118*1000,IF(C118="1000 მ",D118*1000,IF(C118="100 მ",D118*100,IF(C118="10 მ",D118*10,IF(C118="10 მ ",D118*10,IF(C118="მ",D118,IF(C118="1000 მ²",D118*1000,IF(C118="1000 მ² ",D118*1000,IF(C118="100 მ²",D118*100,IF(C118="100 მ² ",D118*100,IF(C118="10 მ²",D118*10,IF(C118="მ² ",D118,IF(C118="ლარი",D118,IF(C118="ხიდი",D118,IF(C118="100 მ",D118*100,IF(C118="გ.მ.",D118)))))))))))))))))))))))))))</f>
        <v>#REF!</v>
      </c>
      <c r="G118" s="19" t="e">
        <f t="shared" ref="G118:G136" si="41">ROUND(H118/F118,2)</f>
        <v>#REF!</v>
      </c>
      <c r="H118" s="20" t="e">
        <f>#REF!</f>
        <v>#REF!</v>
      </c>
      <c r="I118" s="20" t="e">
        <f>#REF!</f>
        <v>#REF!</v>
      </c>
    </row>
    <row r="119" spans="1:9" ht="19.5">
      <c r="A119" s="20" t="e">
        <f>#REF!</f>
        <v>#REF!</v>
      </c>
      <c r="B119" s="20" t="e">
        <f>#REF!</f>
        <v>#REF!</v>
      </c>
      <c r="C119" s="20" t="e">
        <f>#REF!</f>
        <v>#REF!</v>
      </c>
      <c r="D119" s="20" t="e">
        <f>#REF!</f>
        <v>#REF!</v>
      </c>
      <c r="E119" s="19" t="e">
        <f t="shared" si="39"/>
        <v>#REF!</v>
      </c>
      <c r="F119" s="19" t="e">
        <f t="shared" si="40"/>
        <v>#REF!</v>
      </c>
      <c r="G119" s="19" t="e">
        <f t="shared" si="41"/>
        <v>#REF!</v>
      </c>
      <c r="H119" s="20" t="e">
        <f>#REF!</f>
        <v>#REF!</v>
      </c>
      <c r="I119" s="20" t="e">
        <f>#REF!</f>
        <v>#REF!</v>
      </c>
    </row>
    <row r="120" spans="1:9" ht="19.5">
      <c r="A120" s="20" t="e">
        <f>#REF!</f>
        <v>#REF!</v>
      </c>
      <c r="B120" s="20" t="e">
        <f>#REF!</f>
        <v>#REF!</v>
      </c>
      <c r="C120" s="20" t="e">
        <f>#REF!</f>
        <v>#REF!</v>
      </c>
      <c r="D120" s="20" t="e">
        <f>#REF!</f>
        <v>#REF!</v>
      </c>
      <c r="E120" s="19" t="e">
        <f t="shared" si="39"/>
        <v>#REF!</v>
      </c>
      <c r="F120" s="19" t="e">
        <f t="shared" si="40"/>
        <v>#REF!</v>
      </c>
      <c r="G120" s="19" t="e">
        <f t="shared" si="41"/>
        <v>#REF!</v>
      </c>
      <c r="H120" s="20" t="e">
        <f>#REF!</f>
        <v>#REF!</v>
      </c>
      <c r="I120" s="20" t="e">
        <f>#REF!</f>
        <v>#REF!</v>
      </c>
    </row>
    <row r="121" spans="1:9" ht="19.5">
      <c r="A121" s="20" t="e">
        <f>#REF!</f>
        <v>#REF!</v>
      </c>
      <c r="B121" s="20" t="e">
        <f>#REF!</f>
        <v>#REF!</v>
      </c>
      <c r="C121" s="20" t="e">
        <f>#REF!</f>
        <v>#REF!</v>
      </c>
      <c r="D121" s="20" t="e">
        <f>#REF!</f>
        <v>#REF!</v>
      </c>
      <c r="E121" s="19" t="e">
        <f t="shared" si="39"/>
        <v>#REF!</v>
      </c>
      <c r="F121" s="19" t="e">
        <f t="shared" si="40"/>
        <v>#REF!</v>
      </c>
      <c r="G121" s="19" t="e">
        <f t="shared" si="41"/>
        <v>#REF!</v>
      </c>
      <c r="H121" s="20" t="e">
        <f>#REF!</f>
        <v>#REF!</v>
      </c>
      <c r="I121" s="20" t="e">
        <f>#REF!</f>
        <v>#REF!</v>
      </c>
    </row>
    <row r="122" spans="1:9" ht="19.5">
      <c r="A122" s="20" t="e">
        <f>#REF!</f>
        <v>#REF!</v>
      </c>
      <c r="B122" s="20" t="e">
        <f>#REF!</f>
        <v>#REF!</v>
      </c>
      <c r="C122" s="20" t="e">
        <f>#REF!</f>
        <v>#REF!</v>
      </c>
      <c r="D122" s="20" t="e">
        <f>#REF!</f>
        <v>#REF!</v>
      </c>
      <c r="E122" s="19" t="e">
        <f t="shared" si="39"/>
        <v>#REF!</v>
      </c>
      <c r="F122" s="19" t="e">
        <f t="shared" si="40"/>
        <v>#REF!</v>
      </c>
      <c r="G122" s="19" t="e">
        <f t="shared" si="41"/>
        <v>#REF!</v>
      </c>
      <c r="H122" s="20" t="e">
        <f>#REF!</f>
        <v>#REF!</v>
      </c>
      <c r="I122" s="20" t="e">
        <f>#REF!</f>
        <v>#REF!</v>
      </c>
    </row>
    <row r="123" spans="1:9" ht="19.5">
      <c r="A123" s="20" t="e">
        <f>#REF!</f>
        <v>#REF!</v>
      </c>
      <c r="B123" s="20" t="e">
        <f>#REF!</f>
        <v>#REF!</v>
      </c>
      <c r="C123" s="20" t="e">
        <f>#REF!</f>
        <v>#REF!</v>
      </c>
      <c r="D123" s="20" t="e">
        <f>#REF!</f>
        <v>#REF!</v>
      </c>
      <c r="E123" s="19" t="e">
        <f t="shared" si="39"/>
        <v>#REF!</v>
      </c>
      <c r="F123" s="19" t="e">
        <f t="shared" si="40"/>
        <v>#REF!</v>
      </c>
      <c r="G123" s="19" t="e">
        <f t="shared" si="41"/>
        <v>#REF!</v>
      </c>
      <c r="H123" s="20" t="e">
        <f>#REF!</f>
        <v>#REF!</v>
      </c>
      <c r="I123" s="20" t="e">
        <f>#REF!</f>
        <v>#REF!</v>
      </c>
    </row>
    <row r="124" spans="1:9" ht="19.5">
      <c r="A124" s="20" t="e">
        <f>#REF!</f>
        <v>#REF!</v>
      </c>
      <c r="B124" s="20" t="e">
        <f>#REF!</f>
        <v>#REF!</v>
      </c>
      <c r="C124" s="20" t="e">
        <f>#REF!</f>
        <v>#REF!</v>
      </c>
      <c r="D124" s="20" t="e">
        <f>#REF!</f>
        <v>#REF!</v>
      </c>
      <c r="E124" s="19" t="e">
        <f t="shared" si="39"/>
        <v>#REF!</v>
      </c>
      <c r="F124" s="19" t="e">
        <f t="shared" si="40"/>
        <v>#REF!</v>
      </c>
      <c r="G124" s="19" t="e">
        <f t="shared" si="41"/>
        <v>#REF!</v>
      </c>
      <c r="H124" s="20" t="e">
        <f>#REF!</f>
        <v>#REF!</v>
      </c>
      <c r="I124" s="20" t="e">
        <f>#REF!</f>
        <v>#REF!</v>
      </c>
    </row>
    <row r="125" spans="1:9" ht="19.5">
      <c r="A125" s="20" t="e">
        <f>#REF!</f>
        <v>#REF!</v>
      </c>
      <c r="B125" s="20" t="e">
        <f>#REF!</f>
        <v>#REF!</v>
      </c>
      <c r="C125" s="20" t="e">
        <f>#REF!</f>
        <v>#REF!</v>
      </c>
      <c r="D125" s="20" t="e">
        <f>#REF!</f>
        <v>#REF!</v>
      </c>
      <c r="E125" s="19" t="e">
        <f t="shared" si="39"/>
        <v>#REF!</v>
      </c>
      <c r="F125" s="19" t="e">
        <f t="shared" si="40"/>
        <v>#REF!</v>
      </c>
      <c r="G125" s="19" t="e">
        <f t="shared" si="41"/>
        <v>#REF!</v>
      </c>
      <c r="H125" s="20" t="e">
        <f>#REF!</f>
        <v>#REF!</v>
      </c>
      <c r="I125" s="20" t="e">
        <f>#REF!</f>
        <v>#REF!</v>
      </c>
    </row>
    <row r="126" spans="1:9" ht="19.5">
      <c r="A126" s="20" t="e">
        <f>#REF!</f>
        <v>#REF!</v>
      </c>
      <c r="B126" s="20" t="e">
        <f>#REF!</f>
        <v>#REF!</v>
      </c>
      <c r="C126" s="20" t="e">
        <f>#REF!</f>
        <v>#REF!</v>
      </c>
      <c r="D126" s="20" t="e">
        <f>#REF!</f>
        <v>#REF!</v>
      </c>
      <c r="E126" s="19" t="e">
        <f t="shared" si="39"/>
        <v>#REF!</v>
      </c>
      <c r="F126" s="19" t="e">
        <f t="shared" si="40"/>
        <v>#REF!</v>
      </c>
      <c r="G126" s="19" t="e">
        <f t="shared" si="41"/>
        <v>#REF!</v>
      </c>
      <c r="H126" s="20" t="e">
        <f>#REF!</f>
        <v>#REF!</v>
      </c>
      <c r="I126" s="20" t="e">
        <f>#REF!</f>
        <v>#REF!</v>
      </c>
    </row>
    <row r="127" spans="1:9" ht="19.5">
      <c r="A127" s="20" t="e">
        <f>#REF!</f>
        <v>#REF!</v>
      </c>
      <c r="B127" s="20" t="e">
        <f>#REF!</f>
        <v>#REF!</v>
      </c>
      <c r="C127" s="20" t="e">
        <f>#REF!</f>
        <v>#REF!</v>
      </c>
      <c r="D127" s="20" t="e">
        <f>#REF!</f>
        <v>#REF!</v>
      </c>
      <c r="E127" s="19" t="e">
        <f t="shared" si="39"/>
        <v>#REF!</v>
      </c>
      <c r="F127" s="19" t="e">
        <f t="shared" si="40"/>
        <v>#REF!</v>
      </c>
      <c r="G127" s="19" t="e">
        <f t="shared" si="41"/>
        <v>#REF!</v>
      </c>
      <c r="H127" s="20" t="e">
        <f>#REF!</f>
        <v>#REF!</v>
      </c>
      <c r="I127" s="20" t="e">
        <f>#REF!</f>
        <v>#REF!</v>
      </c>
    </row>
    <row r="128" spans="1:9" ht="19.5">
      <c r="A128" s="20" t="e">
        <f>#REF!</f>
        <v>#REF!</v>
      </c>
      <c r="B128" s="20" t="e">
        <f>#REF!</f>
        <v>#REF!</v>
      </c>
      <c r="C128" s="20" t="e">
        <f>#REF!</f>
        <v>#REF!</v>
      </c>
      <c r="D128" s="20" t="e">
        <f>#REF!</f>
        <v>#REF!</v>
      </c>
      <c r="E128" s="19" t="e">
        <f t="shared" si="39"/>
        <v>#REF!</v>
      </c>
      <c r="F128" s="19" t="e">
        <f t="shared" si="40"/>
        <v>#REF!</v>
      </c>
      <c r="G128" s="19" t="e">
        <f t="shared" si="41"/>
        <v>#REF!</v>
      </c>
      <c r="H128" s="20" t="e">
        <f>#REF!</f>
        <v>#REF!</v>
      </c>
      <c r="I128" s="20" t="e">
        <f>#REF!</f>
        <v>#REF!</v>
      </c>
    </row>
    <row r="129" spans="1:9" ht="19.5">
      <c r="A129" s="20" t="e">
        <f>#REF!</f>
        <v>#REF!</v>
      </c>
      <c r="B129" s="20" t="e">
        <f>#REF!</f>
        <v>#REF!</v>
      </c>
      <c r="C129" s="20" t="e">
        <f>#REF!</f>
        <v>#REF!</v>
      </c>
      <c r="D129" s="20" t="e">
        <f>#REF!</f>
        <v>#REF!</v>
      </c>
      <c r="E129" s="19" t="e">
        <f t="shared" si="39"/>
        <v>#REF!</v>
      </c>
      <c r="F129" s="19" t="e">
        <f t="shared" si="40"/>
        <v>#REF!</v>
      </c>
      <c r="G129" s="19" t="e">
        <f t="shared" si="41"/>
        <v>#REF!</v>
      </c>
      <c r="H129" s="20" t="e">
        <f>#REF!</f>
        <v>#REF!</v>
      </c>
      <c r="I129" s="20" t="e">
        <f>#REF!</f>
        <v>#REF!</v>
      </c>
    </row>
    <row r="130" spans="1:9" ht="19.5">
      <c r="A130" s="20" t="e">
        <f>#REF!</f>
        <v>#REF!</v>
      </c>
      <c r="B130" s="20" t="e">
        <f>#REF!</f>
        <v>#REF!</v>
      </c>
      <c r="C130" s="20" t="e">
        <f>#REF!</f>
        <v>#REF!</v>
      </c>
      <c r="D130" s="20" t="e">
        <f>#REF!</f>
        <v>#REF!</v>
      </c>
      <c r="E130" s="19" t="e">
        <f t="shared" si="39"/>
        <v>#REF!</v>
      </c>
      <c r="F130" s="19" t="e">
        <f t="shared" si="40"/>
        <v>#REF!</v>
      </c>
      <c r="G130" s="19" t="e">
        <f t="shared" si="41"/>
        <v>#REF!</v>
      </c>
      <c r="H130" s="20" t="e">
        <f>#REF!</f>
        <v>#REF!</v>
      </c>
      <c r="I130" s="20" t="e">
        <f>#REF!</f>
        <v>#REF!</v>
      </c>
    </row>
    <row r="131" spans="1:9" ht="19.5">
      <c r="A131" s="20" t="e">
        <f>#REF!</f>
        <v>#REF!</v>
      </c>
      <c r="B131" s="20" t="e">
        <f>#REF!</f>
        <v>#REF!</v>
      </c>
      <c r="C131" s="20" t="e">
        <f>#REF!</f>
        <v>#REF!</v>
      </c>
      <c r="D131" s="20" t="e">
        <f>#REF!</f>
        <v>#REF!</v>
      </c>
      <c r="E131" s="19" t="e">
        <f t="shared" si="39"/>
        <v>#REF!</v>
      </c>
      <c r="F131" s="19" t="e">
        <f t="shared" si="40"/>
        <v>#REF!</v>
      </c>
      <c r="G131" s="19" t="e">
        <f t="shared" si="41"/>
        <v>#REF!</v>
      </c>
      <c r="H131" s="20" t="e">
        <f>#REF!</f>
        <v>#REF!</v>
      </c>
      <c r="I131" s="20" t="e">
        <f>#REF!</f>
        <v>#REF!</v>
      </c>
    </row>
    <row r="132" spans="1:9" ht="19.5">
      <c r="A132" s="20" t="e">
        <f>#REF!</f>
        <v>#REF!</v>
      </c>
      <c r="B132" s="20" t="e">
        <f>#REF!</f>
        <v>#REF!</v>
      </c>
      <c r="C132" s="20" t="e">
        <f>#REF!</f>
        <v>#REF!</v>
      </c>
      <c r="D132" s="20" t="e">
        <f>#REF!</f>
        <v>#REF!</v>
      </c>
      <c r="E132" s="19" t="e">
        <f t="shared" si="39"/>
        <v>#REF!</v>
      </c>
      <c r="F132" s="19" t="e">
        <f t="shared" si="40"/>
        <v>#REF!</v>
      </c>
      <c r="G132" s="19" t="e">
        <f t="shared" si="41"/>
        <v>#REF!</v>
      </c>
      <c r="H132" s="20" t="e">
        <f>#REF!</f>
        <v>#REF!</v>
      </c>
      <c r="I132" s="20" t="e">
        <f>#REF!</f>
        <v>#REF!</v>
      </c>
    </row>
    <row r="133" spans="1:9" ht="19.5">
      <c r="A133" s="20" t="e">
        <f>#REF!</f>
        <v>#REF!</v>
      </c>
      <c r="B133" s="20" t="e">
        <f>#REF!</f>
        <v>#REF!</v>
      </c>
      <c r="C133" s="20" t="e">
        <f>#REF!</f>
        <v>#REF!</v>
      </c>
      <c r="D133" s="20" t="e">
        <f>#REF!</f>
        <v>#REF!</v>
      </c>
      <c r="E133" s="19" t="e">
        <f t="shared" si="39"/>
        <v>#REF!</v>
      </c>
      <c r="F133" s="19" t="e">
        <f t="shared" si="40"/>
        <v>#REF!</v>
      </c>
      <c r="G133" s="19" t="e">
        <f t="shared" si="41"/>
        <v>#REF!</v>
      </c>
      <c r="H133" s="20" t="e">
        <f>#REF!</f>
        <v>#REF!</v>
      </c>
      <c r="I133" s="20" t="e">
        <f>#REF!</f>
        <v>#REF!</v>
      </c>
    </row>
    <row r="134" spans="1:9" ht="19.5">
      <c r="A134" s="20" t="e">
        <f>#REF!</f>
        <v>#REF!</v>
      </c>
      <c r="B134" s="20" t="e">
        <f>#REF!</f>
        <v>#REF!</v>
      </c>
      <c r="C134" s="20" t="e">
        <f>#REF!</f>
        <v>#REF!</v>
      </c>
      <c r="D134" s="20" t="e">
        <f>#REF!</f>
        <v>#REF!</v>
      </c>
      <c r="E134" s="19" t="e">
        <f t="shared" si="39"/>
        <v>#REF!</v>
      </c>
      <c r="F134" s="19" t="e">
        <f t="shared" si="40"/>
        <v>#REF!</v>
      </c>
      <c r="G134" s="19" t="e">
        <f t="shared" si="41"/>
        <v>#REF!</v>
      </c>
      <c r="H134" s="20" t="e">
        <f>#REF!</f>
        <v>#REF!</v>
      </c>
      <c r="I134" s="20" t="e">
        <f>#REF!</f>
        <v>#REF!</v>
      </c>
    </row>
    <row r="135" spans="1:9" ht="19.5">
      <c r="A135" s="20" t="e">
        <f>#REF!</f>
        <v>#REF!</v>
      </c>
      <c r="B135" s="20" t="e">
        <f>#REF!</f>
        <v>#REF!</v>
      </c>
      <c r="C135" s="20" t="e">
        <f>#REF!</f>
        <v>#REF!</v>
      </c>
      <c r="D135" s="20" t="e">
        <f>#REF!</f>
        <v>#REF!</v>
      </c>
      <c r="E135" s="19" t="e">
        <f t="shared" si="39"/>
        <v>#REF!</v>
      </c>
      <c r="F135" s="19" t="e">
        <f t="shared" si="40"/>
        <v>#REF!</v>
      </c>
      <c r="G135" s="19" t="e">
        <f t="shared" si="41"/>
        <v>#REF!</v>
      </c>
      <c r="H135" s="20" t="e">
        <f>#REF!</f>
        <v>#REF!</v>
      </c>
      <c r="I135" s="20" t="e">
        <f>#REF!</f>
        <v>#REF!</v>
      </c>
    </row>
    <row r="136" spans="1:9" ht="19.5">
      <c r="A136" s="32" t="e">
        <f>#REF!</f>
        <v>#REF!</v>
      </c>
      <c r="B136" s="20" t="e">
        <f>#REF!</f>
        <v>#REF!</v>
      </c>
      <c r="C136" s="20" t="e">
        <f>#REF!</f>
        <v>#REF!</v>
      </c>
      <c r="D136" s="20" t="e">
        <f>#REF!</f>
        <v>#REF!</v>
      </c>
      <c r="E136" s="19" t="e">
        <f t="shared" si="39"/>
        <v>#REF!</v>
      </c>
      <c r="F136" s="19" t="e">
        <f t="shared" si="40"/>
        <v>#REF!</v>
      </c>
      <c r="G136" s="19" t="e">
        <f t="shared" si="41"/>
        <v>#REF!</v>
      </c>
      <c r="H136" s="20" t="e">
        <f>#REF!</f>
        <v>#REF!</v>
      </c>
      <c r="I136" s="20" t="e">
        <f>#REF!</f>
        <v>#REF!</v>
      </c>
    </row>
    <row r="137" spans="1:9" s="5" customFormat="1" ht="19.5">
      <c r="A137" s="16"/>
      <c r="B137" s="10" t="s">
        <v>4</v>
      </c>
      <c r="C137" s="14"/>
      <c r="D137" s="15"/>
      <c r="E137" s="15"/>
      <c r="F137" s="19"/>
      <c r="G137" s="15"/>
      <c r="H137" s="15" t="e">
        <f>ROUND(SUM(H117:H136),2)</f>
        <v>#REF!</v>
      </c>
      <c r="I137" s="21"/>
    </row>
    <row r="138" spans="1:9" s="5" customFormat="1" ht="19.5">
      <c r="A138" s="16"/>
      <c r="B138" s="10" t="s">
        <v>10</v>
      </c>
      <c r="C138" s="14"/>
      <c r="D138" s="14"/>
      <c r="E138" s="30" t="s">
        <v>12</v>
      </c>
      <c r="F138" s="14">
        <v>10</v>
      </c>
      <c r="G138" s="14"/>
      <c r="H138" s="15" t="e">
        <f>ROUND(H137*F138%,2)</f>
        <v>#REF!</v>
      </c>
      <c r="I138" s="21"/>
    </row>
    <row r="139" spans="1:9" s="5" customFormat="1" ht="19.5">
      <c r="A139" s="16"/>
      <c r="B139" s="10" t="s">
        <v>4</v>
      </c>
      <c r="C139" s="14"/>
      <c r="D139" s="14"/>
      <c r="E139" s="19"/>
      <c r="F139" s="14"/>
      <c r="G139" s="19"/>
      <c r="H139" s="19" t="e">
        <f>ROUND(SUM(H137:H138),2)</f>
        <v>#REF!</v>
      </c>
      <c r="I139" s="21"/>
    </row>
    <row r="140" spans="1:9" s="5" customFormat="1" ht="19.5">
      <c r="A140" s="16"/>
      <c r="B140" s="10" t="s">
        <v>11</v>
      </c>
      <c r="C140" s="14"/>
      <c r="D140" s="14"/>
      <c r="E140" s="30" t="s">
        <v>12</v>
      </c>
      <c r="F140" s="14">
        <v>8</v>
      </c>
      <c r="G140" s="14"/>
      <c r="H140" s="15" t="e">
        <f>ROUND(H139*F140%,2)</f>
        <v>#REF!</v>
      </c>
      <c r="I140" s="21"/>
    </row>
    <row r="141" spans="1:9" s="5" customFormat="1" ht="19.5">
      <c r="A141" s="16"/>
      <c r="B141" s="10" t="s">
        <v>4</v>
      </c>
      <c r="C141" s="14"/>
      <c r="D141" s="14"/>
      <c r="E141" s="14"/>
      <c r="F141" s="14"/>
      <c r="G141" s="14"/>
      <c r="H141" s="15" t="e">
        <f>ROUND(SUM(H139:H140),2)</f>
        <v>#REF!</v>
      </c>
      <c r="I141" s="21"/>
    </row>
    <row r="142" spans="1:9" s="5" customFormat="1" ht="19.5">
      <c r="A142" s="10"/>
      <c r="B142" s="12" t="e">
        <f>#REF!</f>
        <v>#REF!</v>
      </c>
      <c r="C142" s="14"/>
      <c r="D142" s="14"/>
      <c r="E142" s="14"/>
      <c r="F142" s="14"/>
      <c r="G142" s="14"/>
      <c r="H142" s="15"/>
      <c r="I142" s="14"/>
    </row>
    <row r="143" spans="1:9" ht="19.5">
      <c r="A143" s="20" t="e">
        <f>#REF!</f>
        <v>#REF!</v>
      </c>
      <c r="B143" s="20" t="e">
        <f>#REF!</f>
        <v>#REF!</v>
      </c>
      <c r="C143" s="20" t="e">
        <f>#REF!</f>
        <v>#REF!</v>
      </c>
      <c r="D143" s="20" t="e">
        <f>#REF!</f>
        <v>#REF!</v>
      </c>
      <c r="E143" s="19" t="e">
        <f t="shared" ref="E143" si="42">IF(C143="კმ","კმ",IF(C143="1 ჰა","1 ჰა",IF(C143="100 ც","ც",IF(C143="1 ც","ც",IF(C143="ც","ც",IF(C143="ტ","ტ",IF(C143="1 ტ","ტ",IF(C143="მ³","მ³",IF(C143="1 მ³","მ³",IF(C143="10 მ³","მ³",IF(C143="100 მ³","მ³",IF(C143="1000 მ³","მ³",IF(C143="1000 მ","მ",IF(C143="100 მ","მ",IF(C143="10 მ","მ",IF(C143="10 მ ","მ",IF(C143="მ","მ",IF(C143="1000 მ²","მ²",IF(C143="1000 მ² ","მ²",IF(C143="100 მ²","მ²",IF(C143="100 მ² ","მ²",IF(C143="10 მ²","მ²",IF(C143="მ² ","მ²",IF(C143="ლარი","ლარი",IF(C143="ხიდი","ლარი",IF(C143="100 მ","მ",IF(C143="გ.მ.","მ")))))))))))))))))))))))))))</f>
        <v>#REF!</v>
      </c>
      <c r="F143" s="19" t="e">
        <f t="shared" ref="F143" si="43">IF(C143="კმ",D143,IF(C143="1 ჰა",D143,IF(C143="100 ც",D143*100,IF(C143="1 ც",D143,IF(C143="ც",D143,IF(C143="ტ",D143,IF(C143="1 ტ",D143,IF(C143="მ³",D143,IF(C143="1 მ³",D143,IF(C143="10 მ³",D143*10,IF(C143="100 მ³",D143*100,IF(C143="1000 მ³",D143*1000,IF(C143="1000 მ",D143*1000,IF(C143="100 მ",D143*100,IF(C143="10 მ",D143*10,IF(C143="10 მ ",D143*10,IF(C143="მ",D143,IF(C143="1000 მ²",D143*1000,IF(C143="1000 მ² ",D143*1000,IF(C143="100 მ²",D143*100,IF(C143="100 მ² ",D143*100,IF(C143="10 მ²",D143*10,IF(C143="მ² ",D143,IF(C143="ლარი",D143,IF(C143="ხიდი",D143,IF(C143="100 მ",D143*100,IF(C143="გ.მ.",D143)))))))))))))))))))))))))))</f>
        <v>#REF!</v>
      </c>
      <c r="G143" s="19" t="e">
        <f t="shared" ref="G143" si="44">ROUND(H143/F143,2)</f>
        <v>#REF!</v>
      </c>
      <c r="H143" s="20" t="e">
        <f>#REF!</f>
        <v>#REF!</v>
      </c>
      <c r="I143" s="20" t="e">
        <f>#REF!</f>
        <v>#REF!</v>
      </c>
    </row>
    <row r="144" spans="1:9" ht="19.5">
      <c r="A144" s="20" t="e">
        <f>#REF!</f>
        <v>#REF!</v>
      </c>
      <c r="B144" s="20" t="e">
        <f>#REF!</f>
        <v>#REF!</v>
      </c>
      <c r="C144" s="20" t="e">
        <f>#REF!</f>
        <v>#REF!</v>
      </c>
      <c r="D144" s="20" t="e">
        <f>#REF!</f>
        <v>#REF!</v>
      </c>
      <c r="E144" s="19" t="e">
        <f t="shared" ref="E144:E156" si="45">IF(C144="კმ","კმ",IF(C144="1 ჰა","1 ჰა",IF(C144="100 ც","ც",IF(C144="1 ც","ც",IF(C144="ც","ც",IF(C144="ტ","ტ",IF(C144="1 ტ","ტ",IF(C144="მ³","მ³",IF(C144="1 მ³","მ³",IF(C144="10 მ³","მ³",IF(C144="100 მ³","მ³",IF(C144="1000 მ³","მ³",IF(C144="1000 მ","მ",IF(C144="100 მ","მ",IF(C144="10 მ","მ",IF(C144="10 მ ","მ",IF(C144="მ","მ",IF(C144="1000 მ²","მ²",IF(C144="1000 მ² ","მ²",IF(C144="100 მ²","მ²",IF(C144="100 მ² ","მ²",IF(C144="10 მ²","მ²",IF(C144="მ² ","მ²",IF(C144="ლარი","ლარი",IF(C144="ხიდი","ლარი",IF(C144="100 მ","მ",IF(C144="გ.მ.","მ")))))))))))))))))))))))))))</f>
        <v>#REF!</v>
      </c>
      <c r="F144" s="19" t="e">
        <f t="shared" ref="F144:F156" si="46">IF(C144="კმ",D144,IF(C144="1 ჰა",D144,IF(C144="100 ც",D144*100,IF(C144="1 ც",D144,IF(C144="ც",D144,IF(C144="ტ",D144,IF(C144="1 ტ",D144,IF(C144="მ³",D144,IF(C144="1 მ³",D144,IF(C144="10 მ³",D144*10,IF(C144="100 მ³",D144*100,IF(C144="1000 მ³",D144*1000,IF(C144="1000 მ",D144*1000,IF(C144="100 მ",D144*100,IF(C144="10 მ",D144*10,IF(C144="10 მ ",D144*10,IF(C144="მ",D144,IF(C144="1000 მ²",D144*1000,IF(C144="1000 მ² ",D144*1000,IF(C144="100 მ²",D144*100,IF(C144="100 მ² ",D144*100,IF(C144="10 მ²",D144*10,IF(C144="მ² ",D144,IF(C144="ლარი",D144,IF(C144="ხიდი",D144,IF(C144="100 მ",D144*100,IF(C144="გ.მ.",D144)))))))))))))))))))))))))))</f>
        <v>#REF!</v>
      </c>
      <c r="G144" s="19" t="e">
        <f t="shared" ref="G144:G156" si="47">ROUND(H144/F144,2)</f>
        <v>#REF!</v>
      </c>
      <c r="H144" s="20" t="e">
        <f>#REF!</f>
        <v>#REF!</v>
      </c>
      <c r="I144" s="20" t="e">
        <f>#REF!</f>
        <v>#REF!</v>
      </c>
    </row>
    <row r="145" spans="1:9" ht="19.5">
      <c r="A145" s="20" t="e">
        <f>#REF!</f>
        <v>#REF!</v>
      </c>
      <c r="B145" s="20" t="e">
        <f>#REF!</f>
        <v>#REF!</v>
      </c>
      <c r="C145" s="20" t="e">
        <f>#REF!</f>
        <v>#REF!</v>
      </c>
      <c r="D145" s="20" t="e">
        <f>#REF!</f>
        <v>#REF!</v>
      </c>
      <c r="E145" s="19" t="e">
        <f t="shared" si="45"/>
        <v>#REF!</v>
      </c>
      <c r="F145" s="19" t="e">
        <f t="shared" si="46"/>
        <v>#REF!</v>
      </c>
      <c r="G145" s="19" t="e">
        <f t="shared" si="47"/>
        <v>#REF!</v>
      </c>
      <c r="H145" s="20" t="e">
        <f>#REF!</f>
        <v>#REF!</v>
      </c>
      <c r="I145" s="20" t="e">
        <f>#REF!</f>
        <v>#REF!</v>
      </c>
    </row>
    <row r="146" spans="1:9" ht="19.5">
      <c r="A146" s="20" t="e">
        <f>#REF!</f>
        <v>#REF!</v>
      </c>
      <c r="B146" s="20" t="e">
        <f>#REF!</f>
        <v>#REF!</v>
      </c>
      <c r="C146" s="20" t="e">
        <f>#REF!</f>
        <v>#REF!</v>
      </c>
      <c r="D146" s="20" t="e">
        <f>#REF!</f>
        <v>#REF!</v>
      </c>
      <c r="E146" s="19" t="e">
        <f t="shared" si="45"/>
        <v>#REF!</v>
      </c>
      <c r="F146" s="19" t="e">
        <f t="shared" si="46"/>
        <v>#REF!</v>
      </c>
      <c r="G146" s="19" t="e">
        <f t="shared" si="47"/>
        <v>#REF!</v>
      </c>
      <c r="H146" s="20" t="e">
        <f>#REF!</f>
        <v>#REF!</v>
      </c>
      <c r="I146" s="20" t="e">
        <f>#REF!</f>
        <v>#REF!</v>
      </c>
    </row>
    <row r="147" spans="1:9" ht="19.5">
      <c r="A147" s="20" t="e">
        <f>#REF!</f>
        <v>#REF!</v>
      </c>
      <c r="B147" s="20" t="e">
        <f>#REF!</f>
        <v>#REF!</v>
      </c>
      <c r="C147" s="20" t="e">
        <f>#REF!</f>
        <v>#REF!</v>
      </c>
      <c r="D147" s="20" t="e">
        <f>#REF!</f>
        <v>#REF!</v>
      </c>
      <c r="E147" s="19" t="e">
        <f t="shared" si="45"/>
        <v>#REF!</v>
      </c>
      <c r="F147" s="19" t="e">
        <f t="shared" si="46"/>
        <v>#REF!</v>
      </c>
      <c r="G147" s="19" t="e">
        <f t="shared" si="47"/>
        <v>#REF!</v>
      </c>
      <c r="H147" s="20" t="e">
        <f>#REF!</f>
        <v>#REF!</v>
      </c>
      <c r="I147" s="20" t="e">
        <f>#REF!</f>
        <v>#REF!</v>
      </c>
    </row>
    <row r="148" spans="1:9" ht="19.5">
      <c r="A148" s="20" t="e">
        <f>#REF!</f>
        <v>#REF!</v>
      </c>
      <c r="B148" s="20" t="e">
        <f>#REF!</f>
        <v>#REF!</v>
      </c>
      <c r="C148" s="20" t="e">
        <f>#REF!</f>
        <v>#REF!</v>
      </c>
      <c r="D148" s="20" t="e">
        <f>#REF!</f>
        <v>#REF!</v>
      </c>
      <c r="E148" s="19" t="e">
        <f t="shared" si="45"/>
        <v>#REF!</v>
      </c>
      <c r="F148" s="19" t="e">
        <f t="shared" si="46"/>
        <v>#REF!</v>
      </c>
      <c r="G148" s="19" t="e">
        <f t="shared" si="47"/>
        <v>#REF!</v>
      </c>
      <c r="H148" s="20" t="e">
        <f>#REF!</f>
        <v>#REF!</v>
      </c>
      <c r="I148" s="20" t="e">
        <f>#REF!</f>
        <v>#REF!</v>
      </c>
    </row>
    <row r="149" spans="1:9" ht="19.5">
      <c r="A149" s="20" t="e">
        <f>#REF!</f>
        <v>#REF!</v>
      </c>
      <c r="B149" s="20" t="e">
        <f>#REF!</f>
        <v>#REF!</v>
      </c>
      <c r="C149" s="20" t="e">
        <f>#REF!</f>
        <v>#REF!</v>
      </c>
      <c r="D149" s="20" t="e">
        <f>#REF!</f>
        <v>#REF!</v>
      </c>
      <c r="E149" s="19" t="e">
        <f t="shared" si="45"/>
        <v>#REF!</v>
      </c>
      <c r="F149" s="19" t="e">
        <f t="shared" si="46"/>
        <v>#REF!</v>
      </c>
      <c r="G149" s="19" t="e">
        <f t="shared" si="47"/>
        <v>#REF!</v>
      </c>
      <c r="H149" s="20" t="e">
        <f>#REF!</f>
        <v>#REF!</v>
      </c>
      <c r="I149" s="20" t="e">
        <f>#REF!</f>
        <v>#REF!</v>
      </c>
    </row>
    <row r="150" spans="1:9" ht="19.5">
      <c r="A150" s="20" t="e">
        <f>#REF!</f>
        <v>#REF!</v>
      </c>
      <c r="B150" s="20" t="e">
        <f>#REF!</f>
        <v>#REF!</v>
      </c>
      <c r="C150" s="20" t="e">
        <f>#REF!</f>
        <v>#REF!</v>
      </c>
      <c r="D150" s="20" t="e">
        <f>#REF!</f>
        <v>#REF!</v>
      </c>
      <c r="E150" s="19" t="e">
        <f t="shared" si="45"/>
        <v>#REF!</v>
      </c>
      <c r="F150" s="19" t="e">
        <f t="shared" si="46"/>
        <v>#REF!</v>
      </c>
      <c r="G150" s="19" t="e">
        <f t="shared" si="47"/>
        <v>#REF!</v>
      </c>
      <c r="H150" s="20" t="e">
        <f>#REF!</f>
        <v>#REF!</v>
      </c>
      <c r="I150" s="20" t="e">
        <f>#REF!</f>
        <v>#REF!</v>
      </c>
    </row>
    <row r="151" spans="1:9" ht="19.5">
      <c r="A151" s="20" t="e">
        <f>#REF!</f>
        <v>#REF!</v>
      </c>
      <c r="B151" s="20" t="e">
        <f>#REF!</f>
        <v>#REF!</v>
      </c>
      <c r="C151" s="20" t="e">
        <f>#REF!</f>
        <v>#REF!</v>
      </c>
      <c r="D151" s="20" t="e">
        <f>#REF!</f>
        <v>#REF!</v>
      </c>
      <c r="E151" s="19" t="e">
        <f t="shared" si="45"/>
        <v>#REF!</v>
      </c>
      <c r="F151" s="19" t="e">
        <f t="shared" si="46"/>
        <v>#REF!</v>
      </c>
      <c r="G151" s="19" t="e">
        <f t="shared" si="47"/>
        <v>#REF!</v>
      </c>
      <c r="H151" s="20" t="e">
        <f>#REF!</f>
        <v>#REF!</v>
      </c>
      <c r="I151" s="20" t="e">
        <f>#REF!</f>
        <v>#REF!</v>
      </c>
    </row>
    <row r="152" spans="1:9" ht="19.5">
      <c r="A152" s="32" t="e">
        <f>#REF!</f>
        <v>#REF!</v>
      </c>
      <c r="B152" s="20" t="e">
        <f>#REF!</f>
        <v>#REF!</v>
      </c>
      <c r="C152" s="20" t="e">
        <f>#REF!</f>
        <v>#REF!</v>
      </c>
      <c r="D152" s="20" t="e">
        <f>#REF!</f>
        <v>#REF!</v>
      </c>
      <c r="E152" s="19" t="e">
        <f t="shared" si="45"/>
        <v>#REF!</v>
      </c>
      <c r="F152" s="19" t="e">
        <f t="shared" si="46"/>
        <v>#REF!</v>
      </c>
      <c r="G152" s="19" t="e">
        <f t="shared" si="47"/>
        <v>#REF!</v>
      </c>
      <c r="H152" s="20" t="e">
        <f>#REF!</f>
        <v>#REF!</v>
      </c>
      <c r="I152" s="20" t="e">
        <f>#REF!</f>
        <v>#REF!</v>
      </c>
    </row>
    <row r="153" spans="1:9" ht="19.5">
      <c r="A153" s="20" t="e">
        <f>#REF!</f>
        <v>#REF!</v>
      </c>
      <c r="B153" s="20" t="e">
        <f>#REF!</f>
        <v>#REF!</v>
      </c>
      <c r="C153" s="20" t="e">
        <f>#REF!</f>
        <v>#REF!</v>
      </c>
      <c r="D153" s="20" t="e">
        <f>#REF!</f>
        <v>#REF!</v>
      </c>
      <c r="E153" s="19" t="e">
        <f t="shared" si="45"/>
        <v>#REF!</v>
      </c>
      <c r="F153" s="19" t="e">
        <f t="shared" si="46"/>
        <v>#REF!</v>
      </c>
      <c r="G153" s="19" t="e">
        <f t="shared" si="47"/>
        <v>#REF!</v>
      </c>
      <c r="H153" s="20" t="e">
        <f>#REF!</f>
        <v>#REF!</v>
      </c>
      <c r="I153" s="20" t="e">
        <f>#REF!</f>
        <v>#REF!</v>
      </c>
    </row>
    <row r="154" spans="1:9" ht="19.5">
      <c r="A154" s="20" t="e">
        <f>#REF!</f>
        <v>#REF!</v>
      </c>
      <c r="B154" s="20" t="e">
        <f>#REF!</f>
        <v>#REF!</v>
      </c>
      <c r="C154" s="20" t="e">
        <f>#REF!</f>
        <v>#REF!</v>
      </c>
      <c r="D154" s="20" t="e">
        <f>#REF!</f>
        <v>#REF!</v>
      </c>
      <c r="E154" s="19" t="e">
        <f t="shared" si="45"/>
        <v>#REF!</v>
      </c>
      <c r="F154" s="19" t="e">
        <f t="shared" si="46"/>
        <v>#REF!</v>
      </c>
      <c r="G154" s="19" t="e">
        <f t="shared" si="47"/>
        <v>#REF!</v>
      </c>
      <c r="H154" s="20" t="e">
        <f>#REF!</f>
        <v>#REF!</v>
      </c>
      <c r="I154" s="20" t="e">
        <f>#REF!</f>
        <v>#REF!</v>
      </c>
    </row>
    <row r="155" spans="1:9" ht="19.5">
      <c r="A155" s="20" t="e">
        <f>#REF!</f>
        <v>#REF!</v>
      </c>
      <c r="B155" s="20" t="e">
        <f>#REF!</f>
        <v>#REF!</v>
      </c>
      <c r="C155" s="20" t="e">
        <f>#REF!</f>
        <v>#REF!</v>
      </c>
      <c r="D155" s="20" t="e">
        <f>#REF!</f>
        <v>#REF!</v>
      </c>
      <c r="E155" s="19" t="e">
        <f t="shared" si="45"/>
        <v>#REF!</v>
      </c>
      <c r="F155" s="19" t="e">
        <f t="shared" si="46"/>
        <v>#REF!</v>
      </c>
      <c r="G155" s="19" t="e">
        <f t="shared" si="47"/>
        <v>#REF!</v>
      </c>
      <c r="H155" s="20" t="e">
        <f>#REF!</f>
        <v>#REF!</v>
      </c>
      <c r="I155" s="20" t="e">
        <f>#REF!</f>
        <v>#REF!</v>
      </c>
    </row>
    <row r="156" spans="1:9" ht="19.5">
      <c r="A156" s="20" t="e">
        <f>#REF!</f>
        <v>#REF!</v>
      </c>
      <c r="B156" s="20" t="e">
        <f>#REF!</f>
        <v>#REF!</v>
      </c>
      <c r="C156" s="20" t="e">
        <f>#REF!</f>
        <v>#REF!</v>
      </c>
      <c r="D156" s="20" t="e">
        <f>#REF!</f>
        <v>#REF!</v>
      </c>
      <c r="E156" s="19" t="e">
        <f t="shared" si="45"/>
        <v>#REF!</v>
      </c>
      <c r="F156" s="19" t="e">
        <f t="shared" si="46"/>
        <v>#REF!</v>
      </c>
      <c r="G156" s="19" t="e">
        <f t="shared" si="47"/>
        <v>#REF!</v>
      </c>
      <c r="H156" s="20" t="e">
        <f>#REF!</f>
        <v>#REF!</v>
      </c>
      <c r="I156" s="20" t="e">
        <f>#REF!</f>
        <v>#REF!</v>
      </c>
    </row>
    <row r="157" spans="1:9" s="5" customFormat="1" ht="19.5">
      <c r="A157" s="16"/>
      <c r="B157" s="10" t="s">
        <v>4</v>
      </c>
      <c r="C157" s="14"/>
      <c r="D157" s="15"/>
      <c r="E157" s="15"/>
      <c r="F157" s="19"/>
      <c r="G157" s="15"/>
      <c r="H157" s="15" t="e">
        <f>ROUND(SUM(H143:H156),2)</f>
        <v>#REF!</v>
      </c>
      <c r="I157" s="21"/>
    </row>
    <row r="158" spans="1:9" s="5" customFormat="1" ht="19.5">
      <c r="A158" s="16"/>
      <c r="B158" s="10" t="s">
        <v>10</v>
      </c>
      <c r="C158" s="14"/>
      <c r="D158" s="14"/>
      <c r="E158" s="30" t="s">
        <v>12</v>
      </c>
      <c r="F158" s="14">
        <v>10</v>
      </c>
      <c r="G158" s="14"/>
      <c r="H158" s="15" t="e">
        <f>ROUND(H157*F158%,2)</f>
        <v>#REF!</v>
      </c>
      <c r="I158" s="21"/>
    </row>
    <row r="159" spans="1:9" s="5" customFormat="1" ht="19.5">
      <c r="A159" s="16"/>
      <c r="B159" s="10" t="s">
        <v>4</v>
      </c>
      <c r="C159" s="14"/>
      <c r="D159" s="14"/>
      <c r="E159" s="19"/>
      <c r="F159" s="14"/>
      <c r="G159" s="19"/>
      <c r="H159" s="19" t="e">
        <f>ROUND(SUM(H157:H158),2)</f>
        <v>#REF!</v>
      </c>
      <c r="I159" s="21"/>
    </row>
    <row r="160" spans="1:9" s="5" customFormat="1" ht="19.5">
      <c r="A160" s="16"/>
      <c r="B160" s="10" t="s">
        <v>11</v>
      </c>
      <c r="C160" s="14"/>
      <c r="D160" s="14"/>
      <c r="E160" s="30" t="s">
        <v>12</v>
      </c>
      <c r="F160" s="14">
        <v>8</v>
      </c>
      <c r="G160" s="14"/>
      <c r="H160" s="15" t="e">
        <f>ROUND(H159*F160%,2)</f>
        <v>#REF!</v>
      </c>
      <c r="I160" s="21"/>
    </row>
    <row r="161" spans="1:9" s="5" customFormat="1" ht="19.5">
      <c r="A161" s="16"/>
      <c r="B161" s="10" t="s">
        <v>4</v>
      </c>
      <c r="C161" s="14"/>
      <c r="D161" s="14"/>
      <c r="E161" s="14"/>
      <c r="F161" s="14"/>
      <c r="G161" s="14"/>
      <c r="H161" s="15" t="e">
        <f>ROUND(SUM(H159:H160),2)</f>
        <v>#REF!</v>
      </c>
      <c r="I161" s="21"/>
    </row>
    <row r="162" spans="1:9" s="5" customFormat="1" ht="19.5">
      <c r="A162" s="10"/>
      <c r="B162" s="12" t="str">
        <f>'3-6'!C8</f>
        <v>სანიაღვრე ქსელის მოწყობა</v>
      </c>
      <c r="C162" s="14"/>
      <c r="D162" s="14"/>
      <c r="E162" s="14"/>
      <c r="F162" s="14"/>
      <c r="G162" s="14"/>
      <c r="H162" s="15"/>
      <c r="I162" s="14"/>
    </row>
    <row r="163" spans="1:9" ht="19.5">
      <c r="A163" s="20">
        <f>'3-6'!A10</f>
        <v>1.1000000000000001</v>
      </c>
      <c r="B163" s="20" t="str">
        <f>'3-6'!C10</f>
        <v>მე-3 კატეგორიის გრუნტის დამუშავება ექსკავატორით გვერდზე გადაყრით</v>
      </c>
      <c r="C163" s="20" t="str">
        <f>'3-6'!D10</f>
        <v>მ3</v>
      </c>
      <c r="D163" s="20">
        <f>'3-6'!F10</f>
        <v>56</v>
      </c>
      <c r="E163" s="19" t="b">
        <f t="shared" ref="E163" si="48">IF(C163="კმ","კმ",IF(C163="1 ჰა","1 ჰა",IF(C163="100 ც","ც",IF(C163="1 ც","ც",IF(C163="ც","ც",IF(C163="ტ","ტ",IF(C163="1 ტ","ტ",IF(C163="მ³","მ³",IF(C163="1 მ³","მ³",IF(C163="10 მ³","მ³",IF(C163="100 მ³","მ³",IF(C163="1000 მ³","მ³",IF(C163="1000 მ","მ",IF(C163="100 მ","მ",IF(C163="10 მ","მ",IF(C163="10 მ ","მ",IF(C163="მ","მ",IF(C163="1000 მ²","მ²",IF(C163="1000 მ² ","მ²",IF(C163="100 მ²","მ²",IF(C163="100 მ² ","მ²",IF(C163="10 მ²","მ²",IF(C163="მ² ","მ²",IF(C163="ლარი","ლარი",IF(C163="ხიდი","ლარი",IF(C163="100 მ","მ",IF(C163="გ.მ.","მ")))))))))))))))))))))))))))</f>
        <v>0</v>
      </c>
      <c r="F163" s="19" t="b">
        <f t="shared" ref="F163" si="49">IF(C163="კმ",D163,IF(C163="1 ჰა",D163,IF(C163="100 ც",D163*100,IF(C163="1 ც",D163,IF(C163="ც",D163,IF(C163="ტ",D163,IF(C163="1 ტ",D163,IF(C163="მ³",D163,IF(C163="1 მ³",D163,IF(C163="10 მ³",D163*10,IF(C163="100 მ³",D163*100,IF(C163="1000 მ³",D163*1000,IF(C163="1000 მ",D163*1000,IF(C163="100 მ",D163*100,IF(C163="10 მ",D163*10,IF(C163="10 მ ",D163*10,IF(C163="მ",D163,IF(C163="1000 მ²",D163*1000,IF(C163="1000 მ² ",D163*1000,IF(C163="100 მ²",D163*100,IF(C163="100 მ² ",D163*100,IF(C163="10 მ²",D163*10,IF(C163="მ² ",D163,IF(C163="ლარი",D163,IF(C163="ხიდი",D163,IF(C163="100 მ",D163*100,IF(C163="გ.მ.",D163)))))))))))))))))))))))))))</f>
        <v>0</v>
      </c>
      <c r="G163" s="19" t="e">
        <f t="shared" ref="G163" si="50">ROUND(H163/F163,2)</f>
        <v>#DIV/0!</v>
      </c>
      <c r="H163" s="20">
        <f>'3-6'!M10</f>
        <v>0</v>
      </c>
      <c r="I163" s="20" t="str">
        <f>'3-6'!B10</f>
        <v>1-22-15</v>
      </c>
    </row>
    <row r="164" spans="1:9" ht="19.5">
      <c r="A164" s="20">
        <f>'3-6'!A18</f>
        <v>0</v>
      </c>
      <c r="B164" s="20">
        <f>'3-6'!C18</f>
        <v>0</v>
      </c>
      <c r="C164" s="20" t="str">
        <f>'3-6'!D18</f>
        <v>10 მ3</v>
      </c>
      <c r="D164" s="20">
        <f>'3-6'!F18</f>
        <v>0.2</v>
      </c>
      <c r="E164" s="19" t="b">
        <f t="shared" ref="E164:E170" si="51">IF(C164="კმ","კმ",IF(C164="1 ჰა","1 ჰა",IF(C164="100 ც","ც",IF(C164="1 ც","ც",IF(C164="ც","ც",IF(C164="ტ","ტ",IF(C164="1 ტ","ტ",IF(C164="მ³","მ³",IF(C164="1 მ³","მ³",IF(C164="10 მ³","მ³",IF(C164="100 მ³","მ³",IF(C164="1000 მ³","მ³",IF(C164="1000 მ","მ",IF(C164="100 მ","მ",IF(C164="10 მ","მ",IF(C164="10 მ ","მ",IF(C164="მ","მ",IF(C164="1000 მ²","მ²",IF(C164="1000 მ² ","მ²",IF(C164="100 მ²","მ²",IF(C164="100 მ² ","მ²",IF(C164="10 მ²","მ²",IF(C164="მ² ","მ²",IF(C164="ლარი","ლარი",IF(C164="ხიდი","ლარი",IF(C164="100 მ","მ",IF(C164="გ.მ.","მ")))))))))))))))))))))))))))</f>
        <v>0</v>
      </c>
      <c r="F164" s="19" t="b">
        <f t="shared" ref="F164:F170" si="52">IF(C164="კმ",D164,IF(C164="1 ჰა",D164,IF(C164="100 ც",D164*100,IF(C164="1 ც",D164,IF(C164="ც",D164,IF(C164="ტ",D164,IF(C164="1 ტ",D164,IF(C164="მ³",D164,IF(C164="1 მ³",D164,IF(C164="10 მ³",D164*10,IF(C164="100 მ³",D164*100,IF(C164="1000 მ³",D164*1000,IF(C164="1000 მ",D164*1000,IF(C164="100 მ",D164*100,IF(C164="10 მ",D164*10,IF(C164="10 მ ",D164*10,IF(C164="მ",D164,IF(C164="1000 მ²",D164*1000,IF(C164="1000 მ² ",D164*1000,IF(C164="100 მ²",D164*100,IF(C164="100 მ² ",D164*100,IF(C164="10 მ²",D164*10,IF(C164="მ² ",D164,IF(C164="ლარი",D164,IF(C164="ხიდი",D164,IF(C164="100 მ",D164*100,IF(C164="გ.მ.",D164)))))))))))))))))))))))))))</f>
        <v>0</v>
      </c>
      <c r="G164" s="19" t="e">
        <f t="shared" ref="G164:G171" si="53">ROUND(H164/F164,2)</f>
        <v>#DIV/0!</v>
      </c>
      <c r="H164" s="20">
        <f>'3-6'!M18</f>
        <v>0</v>
      </c>
      <c r="I164" s="20">
        <f>'3-6'!B18</f>
        <v>0</v>
      </c>
    </row>
    <row r="165" spans="1:9" ht="19.5">
      <c r="A165" s="20">
        <f>'3-6'!A23</f>
        <v>0</v>
      </c>
      <c r="B165" s="20">
        <f>'3-6'!C23</f>
        <v>0</v>
      </c>
      <c r="C165" s="20" t="str">
        <f>'3-6'!D23</f>
        <v>100 მ</v>
      </c>
      <c r="D165" s="20">
        <f>'3-6'!F23</f>
        <v>0.22</v>
      </c>
      <c r="E165" s="19" t="str">
        <f t="shared" si="51"/>
        <v>მ</v>
      </c>
      <c r="F165" s="19">
        <f t="shared" si="52"/>
        <v>22</v>
      </c>
      <c r="G165" s="19">
        <f t="shared" si="53"/>
        <v>0</v>
      </c>
      <c r="H165" s="20">
        <f>'3-6'!M23</f>
        <v>0</v>
      </c>
      <c r="I165" s="20" t="str">
        <f>'3-6'!B23</f>
        <v>ГЭСН</v>
      </c>
    </row>
    <row r="166" spans="1:9" ht="19.5">
      <c r="A166" s="20">
        <f>'3-6'!A32</f>
        <v>0</v>
      </c>
      <c r="B166" s="20">
        <f>'3-6'!C32</f>
        <v>0</v>
      </c>
      <c r="C166" s="20" t="str">
        <f>'3-6'!D32</f>
        <v>10 მ3</v>
      </c>
      <c r="D166" s="20">
        <f>'3-6'!F32</f>
        <v>0.5</v>
      </c>
      <c r="E166" s="19" t="b">
        <f t="shared" si="51"/>
        <v>0</v>
      </c>
      <c r="F166" s="19" t="b">
        <f t="shared" si="52"/>
        <v>0</v>
      </c>
      <c r="G166" s="19" t="e">
        <f t="shared" si="53"/>
        <v>#DIV/0!</v>
      </c>
      <c r="H166" s="20">
        <f>'3-6'!M32</f>
        <v>0</v>
      </c>
      <c r="I166" s="20">
        <f>'3-6'!B32</f>
        <v>0</v>
      </c>
    </row>
    <row r="167" spans="1:9" ht="19.5">
      <c r="A167" s="20">
        <f>'3-6'!A36</f>
        <v>1.5</v>
      </c>
      <c r="B167" s="20" t="str">
        <f>'3-6'!C36</f>
        <v>დრენირებადი გრუნტის უკუჩაყრა</v>
      </c>
      <c r="C167" s="20" t="str">
        <f>'3-6'!D36</f>
        <v>მ3</v>
      </c>
      <c r="D167" s="20">
        <f>'3-6'!F36</f>
        <v>56</v>
      </c>
      <c r="E167" s="19" t="b">
        <f t="shared" si="51"/>
        <v>0</v>
      </c>
      <c r="F167" s="19" t="b">
        <f t="shared" si="52"/>
        <v>0</v>
      </c>
      <c r="G167" s="19" t="e">
        <f t="shared" si="53"/>
        <v>#DIV/0!</v>
      </c>
      <c r="H167" s="20">
        <f>'3-6'!M36</f>
        <v>0</v>
      </c>
      <c r="I167" s="20" t="str">
        <f>'3-6'!B36</f>
        <v>1-22-14</v>
      </c>
    </row>
    <row r="168" spans="1:9" ht="19.5">
      <c r="A168" s="20">
        <f>'3-6'!A44</f>
        <v>0</v>
      </c>
      <c r="B168" s="20">
        <f>'3-6'!C44</f>
        <v>0</v>
      </c>
      <c r="C168" s="20" t="str">
        <f>'3-6'!D44</f>
        <v>100 მ3</v>
      </c>
      <c r="D168" s="20">
        <f>'3-6'!F44</f>
        <v>1.7000000000000001E-2</v>
      </c>
      <c r="E168" s="19" t="b">
        <f t="shared" si="51"/>
        <v>0</v>
      </c>
      <c r="F168" s="19" t="b">
        <f t="shared" si="52"/>
        <v>0</v>
      </c>
      <c r="G168" s="19" t="e">
        <f t="shared" si="53"/>
        <v>#DIV/0!</v>
      </c>
      <c r="H168" s="20">
        <f>'3-6'!M44</f>
        <v>0</v>
      </c>
      <c r="I168" s="20">
        <f>'3-6'!B44</f>
        <v>0</v>
      </c>
    </row>
    <row r="169" spans="1:9" ht="19.5">
      <c r="A169" s="20">
        <f>'3-6'!A52</f>
        <v>1.7</v>
      </c>
      <c r="B169" s="20" t="str">
        <f>'3-6'!C52</f>
        <v>თუჯის ცხაურის მონტაჟი</v>
      </c>
      <c r="C169" s="20" t="str">
        <f>'3-6'!D52</f>
        <v>1 კომპ</v>
      </c>
      <c r="D169" s="20">
        <f>'3-6'!F52</f>
        <v>1</v>
      </c>
      <c r="E169" s="19" t="str">
        <f>C169</f>
        <v>1 კომპ</v>
      </c>
      <c r="F169" s="19">
        <f>D169</f>
        <v>1</v>
      </c>
      <c r="G169" s="19">
        <f t="shared" si="53"/>
        <v>0</v>
      </c>
      <c r="H169" s="20">
        <f>'3-6'!M52</f>
        <v>0</v>
      </c>
      <c r="I169" s="20" t="str">
        <f>'3-6'!B52</f>
        <v>23-23-1.</v>
      </c>
    </row>
    <row r="170" spans="1:9" ht="19.5">
      <c r="A170" s="20" t="e">
        <f>'3-6'!#REF!</f>
        <v>#REF!</v>
      </c>
      <c r="B170" s="20" t="e">
        <f>'3-6'!#REF!</f>
        <v>#REF!</v>
      </c>
      <c r="C170" s="20" t="e">
        <f>'3-6'!#REF!</f>
        <v>#REF!</v>
      </c>
      <c r="D170" s="20" t="e">
        <f>'3-6'!#REF!</f>
        <v>#REF!</v>
      </c>
      <c r="E170" s="19" t="e">
        <f t="shared" si="51"/>
        <v>#REF!</v>
      </c>
      <c r="F170" s="19" t="e">
        <f t="shared" si="52"/>
        <v>#REF!</v>
      </c>
      <c r="G170" s="19" t="e">
        <f t="shared" si="53"/>
        <v>#REF!</v>
      </c>
      <c r="H170" s="20" t="e">
        <f>'3-6'!#REF!</f>
        <v>#REF!</v>
      </c>
      <c r="I170" s="20" t="e">
        <f>'3-6'!#REF!</f>
        <v>#REF!</v>
      </c>
    </row>
    <row r="171" spans="1:9" ht="19.5">
      <c r="A171" s="20">
        <f>'3-6'!A65</f>
        <v>1.9</v>
      </c>
      <c r="B171" s="20" t="str">
        <f>'3-6'!C65</f>
        <v>თუჯის ცხაურის გადახურვის ფილის მონტაჟი</v>
      </c>
      <c r="C171" s="20" t="str">
        <f>'3-6'!D65</f>
        <v>1 კომპ</v>
      </c>
      <c r="D171" s="20">
        <f>'3-6'!F65</f>
        <v>1</v>
      </c>
      <c r="E171" s="19" t="str">
        <f>C171</f>
        <v>1 კომპ</v>
      </c>
      <c r="F171" s="19">
        <f>D171</f>
        <v>1</v>
      </c>
      <c r="G171" s="19">
        <f t="shared" si="53"/>
        <v>0</v>
      </c>
      <c r="H171" s="20">
        <f>'3-6'!M65</f>
        <v>0</v>
      </c>
      <c r="I171" s="20" t="str">
        <f>'3-6'!B65</f>
        <v>23-23-1.</v>
      </c>
    </row>
    <row r="172" spans="1:9" s="5" customFormat="1" ht="19.5">
      <c r="A172" s="16"/>
      <c r="B172" s="10" t="s">
        <v>4</v>
      </c>
      <c r="C172" s="14"/>
      <c r="D172" s="15"/>
      <c r="E172" s="15"/>
      <c r="F172" s="19"/>
      <c r="G172" s="15"/>
      <c r="H172" s="15" t="e">
        <f>ROUND(SUM(H163:H171),2)</f>
        <v>#REF!</v>
      </c>
      <c r="I172" s="21"/>
    </row>
    <row r="173" spans="1:9" s="5" customFormat="1" ht="19.5">
      <c r="A173" s="16"/>
      <c r="B173" s="10" t="s">
        <v>10</v>
      </c>
      <c r="C173" s="14"/>
      <c r="D173" s="14"/>
      <c r="E173" s="30" t="s">
        <v>12</v>
      </c>
      <c r="F173" s="14">
        <v>10</v>
      </c>
      <c r="G173" s="14"/>
      <c r="H173" s="15" t="e">
        <f>ROUND(H172*F173%,2)</f>
        <v>#REF!</v>
      </c>
      <c r="I173" s="21"/>
    </row>
    <row r="174" spans="1:9" s="5" customFormat="1" ht="19.5">
      <c r="A174" s="16"/>
      <c r="B174" s="10" t="s">
        <v>4</v>
      </c>
      <c r="C174" s="14"/>
      <c r="D174" s="14"/>
      <c r="E174" s="19"/>
      <c r="F174" s="14"/>
      <c r="G174" s="19"/>
      <c r="H174" s="19" t="e">
        <f>ROUND(SUM(H172:H173),2)</f>
        <v>#REF!</v>
      </c>
      <c r="I174" s="21"/>
    </row>
    <row r="175" spans="1:9" s="5" customFormat="1" ht="19.5">
      <c r="A175" s="16"/>
      <c r="B175" s="10" t="s">
        <v>11</v>
      </c>
      <c r="C175" s="14"/>
      <c r="D175" s="14"/>
      <c r="E175" s="30" t="s">
        <v>12</v>
      </c>
      <c r="F175" s="14">
        <v>8</v>
      </c>
      <c r="G175" s="14"/>
      <c r="H175" s="15" t="e">
        <f>ROUND(H174*F175%,2)</f>
        <v>#REF!</v>
      </c>
      <c r="I175" s="21"/>
    </row>
    <row r="176" spans="1:9" s="5" customFormat="1" ht="19.5">
      <c r="A176" s="16"/>
      <c r="B176" s="10" t="s">
        <v>4</v>
      </c>
      <c r="C176" s="14"/>
      <c r="D176" s="14"/>
      <c r="E176" s="14"/>
      <c r="F176" s="14"/>
      <c r="G176" s="14"/>
      <c r="H176" s="15" t="e">
        <f>ROUND(SUM(H174:H175),2)</f>
        <v>#REF!</v>
      </c>
      <c r="I176" s="21"/>
    </row>
    <row r="177" spans="1:9" s="5" customFormat="1" ht="19.5">
      <c r="A177" s="10"/>
      <c r="B177" s="12" t="str">
        <f>'3-7'!C7</f>
        <v>კონტრფორსების მოწყობა</v>
      </c>
      <c r="C177" s="14"/>
      <c r="D177" s="14"/>
      <c r="E177" s="14"/>
      <c r="F177" s="14"/>
      <c r="G177" s="14"/>
      <c r="H177" s="15"/>
      <c r="I177" s="14"/>
    </row>
    <row r="178" spans="1:9" ht="19.5">
      <c r="A178" s="20">
        <f>'3-7'!A10</f>
        <v>0</v>
      </c>
      <c r="B178" s="20">
        <f>'3-7'!C10</f>
        <v>0</v>
      </c>
      <c r="C178" s="20" t="str">
        <f>'3-7'!D10</f>
        <v>100 მ3</v>
      </c>
      <c r="D178" s="20">
        <f>'3-7'!F10</f>
        <v>0.36</v>
      </c>
      <c r="E178" s="19" t="str">
        <f>C178</f>
        <v>100 მ3</v>
      </c>
      <c r="F178" s="19">
        <f>D178</f>
        <v>0.36</v>
      </c>
      <c r="G178" s="19">
        <f t="shared" ref="G178" si="54">ROUND(H178/F178,2)</f>
        <v>0</v>
      </c>
      <c r="H178" s="20">
        <f>'3-7'!M10</f>
        <v>0</v>
      </c>
      <c r="I178" s="20">
        <f>'3-7'!B10</f>
        <v>0</v>
      </c>
    </row>
    <row r="179" spans="1:9" s="5" customFormat="1" ht="19.5">
      <c r="A179" s="16"/>
      <c r="B179" s="10" t="s">
        <v>4</v>
      </c>
      <c r="C179" s="14"/>
      <c r="D179" s="15"/>
      <c r="E179" s="15"/>
      <c r="F179" s="19"/>
      <c r="G179" s="15"/>
      <c r="H179" s="15">
        <f>ROUND(SUM(H178:H178),2)</f>
        <v>0</v>
      </c>
      <c r="I179" s="21"/>
    </row>
    <row r="180" spans="1:9" s="5" customFormat="1" ht="19.5">
      <c r="A180" s="16"/>
      <c r="B180" s="10" t="s">
        <v>10</v>
      </c>
      <c r="C180" s="14"/>
      <c r="D180" s="14"/>
      <c r="E180" s="30" t="s">
        <v>12</v>
      </c>
      <c r="F180" s="14">
        <v>10</v>
      </c>
      <c r="G180" s="14"/>
      <c r="H180" s="15">
        <f>ROUND(H179*F180%,2)</f>
        <v>0</v>
      </c>
      <c r="I180" s="21"/>
    </row>
    <row r="181" spans="1:9" s="5" customFormat="1" ht="19.5">
      <c r="A181" s="16"/>
      <c r="B181" s="10" t="s">
        <v>4</v>
      </c>
      <c r="C181" s="14"/>
      <c r="D181" s="14"/>
      <c r="E181" s="19"/>
      <c r="F181" s="14"/>
      <c r="G181" s="19"/>
      <c r="H181" s="19">
        <f>ROUND(SUM(H179:H180),2)</f>
        <v>0</v>
      </c>
      <c r="I181" s="21"/>
    </row>
    <row r="182" spans="1:9" s="5" customFormat="1" ht="19.5">
      <c r="A182" s="16"/>
      <c r="B182" s="10" t="s">
        <v>11</v>
      </c>
      <c r="C182" s="14"/>
      <c r="D182" s="14"/>
      <c r="E182" s="30" t="s">
        <v>12</v>
      </c>
      <c r="F182" s="14">
        <v>8</v>
      </c>
      <c r="G182" s="14"/>
      <c r="H182" s="15">
        <f>ROUND(H181*F182%,2)</f>
        <v>0</v>
      </c>
      <c r="I182" s="21"/>
    </row>
    <row r="183" spans="1:9" s="5" customFormat="1" ht="19.5">
      <c r="A183" s="16"/>
      <c r="B183" s="10" t="s">
        <v>4</v>
      </c>
      <c r="C183" s="14"/>
      <c r="D183" s="14"/>
      <c r="E183" s="14"/>
      <c r="F183" s="14"/>
      <c r="G183" s="14"/>
      <c r="H183" s="15">
        <f>ROUND(SUM(H181:H182),2)</f>
        <v>0</v>
      </c>
      <c r="I183" s="21"/>
    </row>
    <row r="184" spans="1:9" s="5" customFormat="1" ht="19.5">
      <c r="A184" s="10"/>
      <c r="B184" s="12" t="str">
        <f>'3-8'!C7</f>
        <v>ხის ღობის მოწყობა</v>
      </c>
      <c r="C184" s="14"/>
      <c r="D184" s="14"/>
      <c r="E184" s="14"/>
      <c r="F184" s="14"/>
      <c r="G184" s="14"/>
      <c r="H184" s="15"/>
      <c r="I184" s="14"/>
    </row>
    <row r="185" spans="1:9" ht="19.5">
      <c r="A185" s="20">
        <f>'3-8'!A10</f>
        <v>0</v>
      </c>
      <c r="B185" s="20">
        <f>'3-8'!C10</f>
        <v>0</v>
      </c>
      <c r="C185" s="20" t="str">
        <f>'3-8'!D10</f>
        <v>100 მ2</v>
      </c>
      <c r="D185" s="20">
        <f>'3-8'!F10</f>
        <v>0.52500000000000002</v>
      </c>
      <c r="E185" s="19" t="b">
        <f t="shared" ref="E185" si="55">IF(C185="კმ","კმ",IF(C185="1 ჰა","1 ჰა",IF(C185="100 ც","ც",IF(C185="1 ც","ც",IF(C185="ც","ც",IF(C185="ტ","ტ",IF(C185="1 ტ","ტ",IF(C185="მ³","მ³",IF(C185="1 მ³","მ³",IF(C185="10 მ³","მ³",IF(C185="100 მ³","მ³",IF(C185="1000 მ³","მ³",IF(C185="1000 მ","მ",IF(C185="100 მ","მ",IF(C185="10 მ","მ",IF(C185="10 მ ","მ",IF(C185="მ","მ",IF(C185="1000 მ²","მ²",IF(C185="1000 მ² ","მ²",IF(C185="100 მ²","მ²",IF(C185="100 მ² ","მ²",IF(C185="10 მ²","მ²",IF(C185="მ² ","მ²",IF(C185="ლარი","ლარი",IF(C185="ხიდი","ლარი",IF(C185="100 მ","მ",IF(C185="გ.მ.","მ")))))))))))))))))))))))))))</f>
        <v>0</v>
      </c>
      <c r="F185" s="19" t="b">
        <f t="shared" ref="F185" si="56">IF(C185="კმ",D185,IF(C185="1 ჰა",D185,IF(C185="100 ც",D185*100,IF(C185="1 ც",D185,IF(C185="ც",D185,IF(C185="ტ",D185,IF(C185="1 ტ",D185,IF(C185="მ³",D185,IF(C185="1 მ³",D185,IF(C185="10 მ³",D185*10,IF(C185="100 მ³",D185*100,IF(C185="1000 მ³",D185*1000,IF(C185="1000 მ",D185*1000,IF(C185="100 მ",D185*100,IF(C185="10 მ",D185*10,IF(C185="10 მ ",D185*10,IF(C185="მ",D185,IF(C185="1000 მ²",D185*1000,IF(C185="1000 მ² ",D185*1000,IF(C185="100 მ²",D185*100,IF(C185="100 მ² ",D185*100,IF(C185="10 მ²",D185*10,IF(C185="მ² ",D185,IF(C185="ლარი",D185,IF(C185="ხიდი",D185,IF(C185="100 მ",D185*100,IF(C185="გ.მ.",D185)))))))))))))))))))))))))))</f>
        <v>0</v>
      </c>
      <c r="G185" s="19" t="e">
        <f t="shared" ref="G185" si="57">ROUND(H185/F185,2)</f>
        <v>#DIV/0!</v>
      </c>
      <c r="H185" s="20">
        <f>'3-8'!M10</f>
        <v>0</v>
      </c>
      <c r="I185" s="20">
        <f>'3-8'!B10</f>
        <v>0</v>
      </c>
    </row>
    <row r="186" spans="1:9" ht="19.5">
      <c r="A186" s="20">
        <f>'3-8'!A18</f>
        <v>0</v>
      </c>
      <c r="B186" s="20">
        <f>'3-8'!C18</f>
        <v>0</v>
      </c>
      <c r="C186" s="20" t="str">
        <f>'3-8'!D18</f>
        <v>100 მ2</v>
      </c>
      <c r="D186" s="20">
        <f>'3-8'!F18</f>
        <v>1.05</v>
      </c>
      <c r="E186" s="19" t="b">
        <f t="shared" ref="E186" si="58">IF(C186="კმ","კმ",IF(C186="1 ჰა","1 ჰა",IF(C186="100 ც","ც",IF(C186="1 ც","ც",IF(C186="ც","ც",IF(C186="ტ","ტ",IF(C186="1 ტ","ტ",IF(C186="მ³","მ³",IF(C186="1 მ³","მ³",IF(C186="10 მ³","მ³",IF(C186="100 მ³","მ³",IF(C186="1000 მ³","მ³",IF(C186="1000 მ","მ",IF(C186="100 მ","მ",IF(C186="10 მ","მ",IF(C186="10 მ ","მ",IF(C186="მ","მ",IF(C186="1000 მ²","მ²",IF(C186="1000 მ² ","მ²",IF(C186="100 მ²","მ²",IF(C186="100 მ² ","მ²",IF(C186="10 მ²","მ²",IF(C186="მ² ","მ²",IF(C186="ლარი","ლარი",IF(C186="ხიდი","ლარი",IF(C186="100 მ","მ",IF(C186="გ.მ.","მ")))))))))))))))))))))))))))</f>
        <v>0</v>
      </c>
      <c r="F186" s="19" t="b">
        <f t="shared" ref="F186" si="59">IF(C186="კმ",D186,IF(C186="1 ჰა",D186,IF(C186="100 ც",D186*100,IF(C186="1 ც",D186,IF(C186="ც",D186,IF(C186="ტ",D186,IF(C186="1 ტ",D186,IF(C186="მ³",D186,IF(C186="1 მ³",D186,IF(C186="10 მ³",D186*10,IF(C186="100 მ³",D186*100,IF(C186="1000 მ³",D186*1000,IF(C186="1000 მ",D186*1000,IF(C186="100 მ",D186*100,IF(C186="10 მ",D186*10,IF(C186="10 მ ",D186*10,IF(C186="მ",D186,IF(C186="1000 მ²",D186*1000,IF(C186="1000 მ² ",D186*1000,IF(C186="100 მ²",D186*100,IF(C186="100 მ² ",D186*100,IF(C186="10 მ²",D186*10,IF(C186="მ² ",D186,IF(C186="ლარი",D186,IF(C186="ხიდი",D186,IF(C186="100 მ",D186*100,IF(C186="გ.მ.",D186)))))))))))))))))))))))))))</f>
        <v>0</v>
      </c>
      <c r="G186" s="19" t="e">
        <f t="shared" ref="G186" si="60">ROUND(H186/F186,2)</f>
        <v>#DIV/0!</v>
      </c>
      <c r="H186" s="20">
        <f>'3-8'!M18</f>
        <v>0</v>
      </c>
      <c r="I186" s="20">
        <f>'3-8'!B18</f>
        <v>0</v>
      </c>
    </row>
    <row r="187" spans="1:9" s="5" customFormat="1" ht="19.5">
      <c r="A187" s="16"/>
      <c r="B187" s="10" t="s">
        <v>4</v>
      </c>
      <c r="C187" s="14"/>
      <c r="D187" s="15"/>
      <c r="E187" s="15"/>
      <c r="F187" s="19"/>
      <c r="G187" s="15"/>
      <c r="H187" s="15">
        <f>ROUND(SUM(H185:H186),2)</f>
        <v>0</v>
      </c>
      <c r="I187" s="21"/>
    </row>
    <row r="188" spans="1:9" s="5" customFormat="1" ht="19.5">
      <c r="A188" s="16"/>
      <c r="B188" s="10" t="s">
        <v>10</v>
      </c>
      <c r="C188" s="14"/>
      <c r="D188" s="14"/>
      <c r="E188" s="30" t="s">
        <v>12</v>
      </c>
      <c r="F188" s="14">
        <v>10</v>
      </c>
      <c r="G188" s="14"/>
      <c r="H188" s="15">
        <f>ROUND(H187*F188%,2)</f>
        <v>0</v>
      </c>
      <c r="I188" s="21"/>
    </row>
    <row r="189" spans="1:9" s="5" customFormat="1" ht="19.5">
      <c r="A189" s="16"/>
      <c r="B189" s="10" t="s">
        <v>4</v>
      </c>
      <c r="C189" s="14"/>
      <c r="D189" s="14"/>
      <c r="E189" s="19"/>
      <c r="F189" s="14"/>
      <c r="G189" s="19"/>
      <c r="H189" s="19">
        <f>ROUND(SUM(H187:H188),2)</f>
        <v>0</v>
      </c>
      <c r="I189" s="21"/>
    </row>
    <row r="190" spans="1:9" s="5" customFormat="1" ht="19.5">
      <c r="A190" s="16"/>
      <c r="B190" s="10" t="s">
        <v>11</v>
      </c>
      <c r="C190" s="14"/>
      <c r="D190" s="14"/>
      <c r="E190" s="30" t="s">
        <v>12</v>
      </c>
      <c r="F190" s="14">
        <v>8</v>
      </c>
      <c r="G190" s="14"/>
      <c r="H190" s="15">
        <f>ROUND(H189*F190%,2)</f>
        <v>0</v>
      </c>
      <c r="I190" s="21"/>
    </row>
    <row r="191" spans="1:9" s="5" customFormat="1" ht="19.5">
      <c r="A191" s="16"/>
      <c r="B191" s="10" t="s">
        <v>4</v>
      </c>
      <c r="C191" s="14"/>
      <c r="D191" s="14"/>
      <c r="E191" s="14"/>
      <c r="F191" s="14"/>
      <c r="G191" s="14"/>
      <c r="H191" s="15">
        <f>ROUND(SUM(H189:H190),2)</f>
        <v>0</v>
      </c>
      <c r="I191" s="21"/>
    </row>
    <row r="192" spans="1:9" s="5" customFormat="1" ht="19.5">
      <c r="A192" s="10"/>
      <c r="B192" s="12" t="str">
        <f>'4-1'!C8</f>
        <v xml:space="preserve">საგზაო სამოსი </v>
      </c>
      <c r="C192" s="14"/>
      <c r="D192" s="14"/>
      <c r="E192" s="14"/>
      <c r="F192" s="14"/>
      <c r="G192" s="14"/>
      <c r="H192" s="15"/>
      <c r="I192" s="14"/>
    </row>
    <row r="193" spans="1:9" ht="19.5">
      <c r="A193" s="20">
        <f>'4-1'!A11</f>
        <v>0</v>
      </c>
      <c r="B193" s="20">
        <f>'4-1'!C11</f>
        <v>0</v>
      </c>
      <c r="C193" s="20" t="str">
        <f>'4-1'!D11</f>
        <v>100 მ3</v>
      </c>
      <c r="D193" s="20">
        <f>'4-1'!F11</f>
        <v>2.06</v>
      </c>
      <c r="E193" s="19" t="b">
        <f t="shared" ref="E193" si="61">IF(C193="კმ","კმ",IF(C193="1 ჰა","1 ჰა",IF(C193="100 ც","ც",IF(C193="1 ც","ც",IF(C193="ც","ც",IF(C193="ტ","ტ",IF(C193="1 ტ","ტ",IF(C193="მ³","მ³",IF(C193="1 მ³","მ³",IF(C193="10 მ³","მ³",IF(C193="100 მ³","მ³",IF(C193="1000 მ³","მ³",IF(C193="1000 მ","მ",IF(C193="100 მ","მ",IF(C193="10 მ","მ",IF(C193="10 მ ","მ",IF(C193="მ","მ",IF(C193="1000 მ²","მ²",IF(C193="1000 მ² ","მ²",IF(C193="100 მ²","მ²",IF(C193="100 მ² ","მ²",IF(C193="10 მ²","მ²",IF(C193="მ² ","მ²",IF(C193="ლარი","ლარი",IF(C193="ხიდი","ლარი",IF(C193="100 მ","მ",IF(C193="გ.მ.","მ")))))))))))))))))))))))))))</f>
        <v>0</v>
      </c>
      <c r="F193" s="19" t="b">
        <f t="shared" ref="F193" si="62">IF(C193="კმ",D193,IF(C193="1 ჰა",D193,IF(C193="100 ც",D193*100,IF(C193="1 ც",D193,IF(C193="ც",D193,IF(C193="ტ",D193,IF(C193="1 ტ",D193,IF(C193="მ³",D193,IF(C193="1 მ³",D193,IF(C193="10 მ³",D193*10,IF(C193="100 მ³",D193*100,IF(C193="1000 მ³",D193*1000,IF(C193="1000 მ",D193*1000,IF(C193="100 მ",D193*100,IF(C193="10 მ",D193*10,IF(C193="10 მ ",D193*10,IF(C193="მ",D193,IF(C193="1000 მ²",D193*1000,IF(C193="1000 მ² ",D193*1000,IF(C193="100 მ²",D193*100,IF(C193="100 მ² ",D193*100,IF(C193="10 მ²",D193*10,IF(C193="მ² ",D193,IF(C193="ლარი",D193,IF(C193="ხიდი",D193,IF(C193="100 მ",D193*100,IF(C193="გ.მ.",D193)))))))))))))))))))))))))))</f>
        <v>0</v>
      </c>
      <c r="G193" s="19" t="e">
        <f t="shared" ref="G193" si="63">ROUND(H193/F193,2)</f>
        <v>#DIV/0!</v>
      </c>
      <c r="H193" s="20">
        <f>'4-1'!M11</f>
        <v>0</v>
      </c>
      <c r="I193" s="20">
        <f>'4-1'!B11</f>
        <v>0</v>
      </c>
    </row>
    <row r="194" spans="1:9" ht="19.5">
      <c r="A194" s="20">
        <f>'4-1'!A20</f>
        <v>1.2</v>
      </c>
      <c r="B194" s="20">
        <f>'4-1'!C20</f>
        <v>0</v>
      </c>
      <c r="C194" s="20" t="str">
        <f>'4-1'!D20</f>
        <v>100 მ3</v>
      </c>
      <c r="D194" s="20">
        <f>'4-1'!F20</f>
        <v>0.68799999999999994</v>
      </c>
      <c r="E194" s="19" t="b">
        <f t="shared" ref="E194:E198" si="64">IF(C194="კმ","კმ",IF(C194="1 ჰა","1 ჰა",IF(C194="100 ც","ც",IF(C194="1 ც","ც",IF(C194="ც","ც",IF(C194="ტ","ტ",IF(C194="1 ტ","ტ",IF(C194="მ³","მ³",IF(C194="1 მ³","მ³",IF(C194="10 მ³","მ³",IF(C194="100 მ³","მ³",IF(C194="1000 მ³","მ³",IF(C194="1000 მ","მ",IF(C194="100 მ","მ",IF(C194="10 მ","მ",IF(C194="10 მ ","მ",IF(C194="მ","მ",IF(C194="1000 მ²","მ²",IF(C194="1000 მ² ","მ²",IF(C194="100 მ²","მ²",IF(C194="100 მ² ","მ²",IF(C194="10 მ²","მ²",IF(C194="მ² ","მ²",IF(C194="ლარი","ლარი",IF(C194="ხიდი","ლარი",IF(C194="100 მ","მ",IF(C194="გ.მ.","მ")))))))))))))))))))))))))))</f>
        <v>0</v>
      </c>
      <c r="F194" s="19" t="b">
        <f t="shared" ref="F194:F198" si="65">IF(C194="კმ",D194,IF(C194="1 ჰა",D194,IF(C194="100 ც",D194*100,IF(C194="1 ც",D194,IF(C194="ც",D194,IF(C194="ტ",D194,IF(C194="1 ტ",D194,IF(C194="მ³",D194,IF(C194="1 მ³",D194,IF(C194="10 მ³",D194*10,IF(C194="100 მ³",D194*100,IF(C194="1000 მ³",D194*1000,IF(C194="1000 მ",D194*1000,IF(C194="100 მ",D194*100,IF(C194="10 მ",D194*10,IF(C194="10 მ ",D194*10,IF(C194="მ",D194,IF(C194="1000 მ²",D194*1000,IF(C194="1000 მ² ",D194*1000,IF(C194="100 მ²",D194*100,IF(C194="100 მ² ",D194*100,IF(C194="10 მ²",D194*10,IF(C194="მ² ",D194,IF(C194="ლარი",D194,IF(C194="ხიდი",D194,IF(C194="100 მ",D194*100,IF(C194="გ.მ.",D194)))))))))))))))))))))))))))</f>
        <v>0</v>
      </c>
      <c r="G194" s="19" t="e">
        <f t="shared" ref="G194:G198" si="66">ROUND(H194/F194,2)</f>
        <v>#DIV/0!</v>
      </c>
      <c r="H194" s="20">
        <f>'4-1'!M20</f>
        <v>0</v>
      </c>
      <c r="I194" s="20">
        <f>'4-1'!B20</f>
        <v>0</v>
      </c>
    </row>
    <row r="195" spans="1:9" ht="19.5">
      <c r="A195" s="20" t="e">
        <f>'4-1'!#REF!</f>
        <v>#REF!</v>
      </c>
      <c r="B195" s="20" t="e">
        <f>'4-1'!#REF!</f>
        <v>#REF!</v>
      </c>
      <c r="C195" s="20" t="e">
        <f>'4-1'!#REF!</f>
        <v>#REF!</v>
      </c>
      <c r="D195" s="20" t="e">
        <f>'4-1'!#REF!</f>
        <v>#REF!</v>
      </c>
      <c r="E195" s="19" t="e">
        <f t="shared" si="64"/>
        <v>#REF!</v>
      </c>
      <c r="F195" s="19" t="e">
        <f t="shared" si="65"/>
        <v>#REF!</v>
      </c>
      <c r="G195" s="19" t="e">
        <f t="shared" si="66"/>
        <v>#REF!</v>
      </c>
      <c r="H195" s="20" t="e">
        <f>'4-1'!#REF!</f>
        <v>#REF!</v>
      </c>
      <c r="I195" s="20" t="e">
        <f>'4-1'!#REF!</f>
        <v>#REF!</v>
      </c>
    </row>
    <row r="196" spans="1:9" ht="19.5">
      <c r="A196" s="20">
        <f>'4-1'!A33</f>
        <v>0</v>
      </c>
      <c r="B196" s="20">
        <f>'4-1'!C33</f>
        <v>0</v>
      </c>
      <c r="C196" s="20" t="str">
        <f>'4-1'!D33</f>
        <v>100 მ3</v>
      </c>
      <c r="D196" s="20">
        <f>'4-1'!F33</f>
        <v>1.931</v>
      </c>
      <c r="E196" s="19" t="b">
        <f t="shared" si="64"/>
        <v>0</v>
      </c>
      <c r="F196" s="19" t="b">
        <f t="shared" si="65"/>
        <v>0</v>
      </c>
      <c r="G196" s="19" t="e">
        <f t="shared" si="66"/>
        <v>#DIV/0!</v>
      </c>
      <c r="H196" s="20">
        <f>'4-1'!M33</f>
        <v>0</v>
      </c>
      <c r="I196" s="20">
        <f>'4-1'!B33</f>
        <v>0</v>
      </c>
    </row>
    <row r="197" spans="1:9" ht="19.5">
      <c r="A197" s="20">
        <f>'4-1'!A43</f>
        <v>0</v>
      </c>
      <c r="B197" s="20">
        <f>'4-1'!C43</f>
        <v>0</v>
      </c>
      <c r="C197" s="20" t="str">
        <f>'4-1'!D43</f>
        <v>1000 მ2</v>
      </c>
      <c r="D197" s="20">
        <f>'4-1'!F43</f>
        <v>1.931</v>
      </c>
      <c r="E197" s="19" t="b">
        <f t="shared" si="64"/>
        <v>0</v>
      </c>
      <c r="F197" s="19" t="b">
        <f t="shared" si="65"/>
        <v>0</v>
      </c>
      <c r="G197" s="19" t="e">
        <f t="shared" si="66"/>
        <v>#DIV/0!</v>
      </c>
      <c r="H197" s="20">
        <f>'4-1'!M43</f>
        <v>0</v>
      </c>
      <c r="I197" s="20">
        <f>'4-1'!B43</f>
        <v>0</v>
      </c>
    </row>
    <row r="198" spans="1:9" ht="19.5">
      <c r="A198" s="20" t="e">
        <f>'4-1'!#REF!</f>
        <v>#REF!</v>
      </c>
      <c r="B198" s="20" t="e">
        <f>'4-1'!#REF!</f>
        <v>#REF!</v>
      </c>
      <c r="C198" s="20" t="e">
        <f>'4-1'!#REF!</f>
        <v>#REF!</v>
      </c>
      <c r="D198" s="20" t="e">
        <f>'4-1'!#REF!</f>
        <v>#REF!</v>
      </c>
      <c r="E198" s="19" t="e">
        <f t="shared" si="64"/>
        <v>#REF!</v>
      </c>
      <c r="F198" s="19" t="e">
        <f t="shared" si="65"/>
        <v>#REF!</v>
      </c>
      <c r="G198" s="19" t="e">
        <f t="shared" si="66"/>
        <v>#REF!</v>
      </c>
      <c r="H198" s="20" t="e">
        <f>'4-1'!#REF!</f>
        <v>#REF!</v>
      </c>
      <c r="I198" s="20" t="e">
        <f>'4-1'!#REF!</f>
        <v>#REF!</v>
      </c>
    </row>
    <row r="199" spans="1:9" s="5" customFormat="1" ht="19.5">
      <c r="A199" s="16"/>
      <c r="B199" s="10" t="s">
        <v>4</v>
      </c>
      <c r="C199" s="14"/>
      <c r="D199" s="15"/>
      <c r="E199" s="15"/>
      <c r="F199" s="19"/>
      <c r="G199" s="15"/>
      <c r="H199" s="15" t="e">
        <f>ROUND(SUM(H193:H198),2)</f>
        <v>#REF!</v>
      </c>
      <c r="I199" s="21"/>
    </row>
    <row r="200" spans="1:9" s="5" customFormat="1" ht="19.5">
      <c r="A200" s="16"/>
      <c r="B200" s="10" t="s">
        <v>10</v>
      </c>
      <c r="C200" s="14"/>
      <c r="D200" s="14"/>
      <c r="E200" s="30" t="s">
        <v>12</v>
      </c>
      <c r="F200" s="14">
        <v>10</v>
      </c>
      <c r="G200" s="14"/>
      <c r="H200" s="15" t="e">
        <f>ROUND(H199*F200%,2)</f>
        <v>#REF!</v>
      </c>
      <c r="I200" s="21"/>
    </row>
    <row r="201" spans="1:9" s="5" customFormat="1" ht="19.5">
      <c r="A201" s="16"/>
      <c r="B201" s="10" t="s">
        <v>4</v>
      </c>
      <c r="C201" s="14"/>
      <c r="D201" s="14"/>
      <c r="E201" s="19"/>
      <c r="F201" s="14"/>
      <c r="G201" s="19"/>
      <c r="H201" s="15" t="e">
        <f>ROUND(SUM(H199:H200),2)</f>
        <v>#REF!</v>
      </c>
      <c r="I201" s="21"/>
    </row>
    <row r="202" spans="1:9" s="5" customFormat="1" ht="19.5">
      <c r="A202" s="16"/>
      <c r="B202" s="10" t="s">
        <v>11</v>
      </c>
      <c r="C202" s="14"/>
      <c r="D202" s="14"/>
      <c r="E202" s="30" t="s">
        <v>12</v>
      </c>
      <c r="F202" s="14">
        <v>8</v>
      </c>
      <c r="G202" s="14"/>
      <c r="H202" s="15" t="e">
        <f>ROUND(H201*F202%,2)</f>
        <v>#REF!</v>
      </c>
      <c r="I202" s="21"/>
    </row>
    <row r="203" spans="1:9" s="5" customFormat="1" ht="19.5">
      <c r="A203" s="16"/>
      <c r="B203" s="10" t="s">
        <v>4</v>
      </c>
      <c r="C203" s="14"/>
      <c r="D203" s="14"/>
      <c r="E203" s="14"/>
      <c r="F203" s="14"/>
      <c r="G203" s="14"/>
      <c r="H203" s="15" t="e">
        <f>ROUND(SUM(H201:H202),2)</f>
        <v>#REF!</v>
      </c>
      <c r="I203" s="21"/>
    </row>
  </sheetData>
  <mergeCells count="27">
    <mergeCell ref="A5:B6"/>
    <mergeCell ref="E5:G6"/>
    <mergeCell ref="H5:I6"/>
    <mergeCell ref="A1:B1"/>
    <mergeCell ref="A2:B2"/>
    <mergeCell ref="A3:B4"/>
    <mergeCell ref="E3:G4"/>
    <mergeCell ref="H3:I4"/>
    <mergeCell ref="A7:B8"/>
    <mergeCell ref="E7:G8"/>
    <mergeCell ref="H7:I8"/>
    <mergeCell ref="A9:B10"/>
    <mergeCell ref="E9:G10"/>
    <mergeCell ref="H9:I10"/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A49" zoomScaleNormal="55" zoomScaleSheetLayoutView="100" workbookViewId="0">
      <selection activeCell="K70" sqref="K70"/>
    </sheetView>
  </sheetViews>
  <sheetFormatPr defaultRowHeight="12.75"/>
  <cols>
    <col min="1" max="1" width="6.5703125" style="48" customWidth="1"/>
    <col min="2" max="2" width="56.28515625" style="48" customWidth="1"/>
    <col min="3" max="3" width="9.28515625" style="48" customWidth="1"/>
    <col min="4" max="4" width="8.85546875" style="48" customWidth="1"/>
    <col min="5" max="5" width="20.5703125" style="48" customWidth="1"/>
    <col min="6" max="6" width="19.5703125" style="48" customWidth="1"/>
    <col min="7" max="7" width="20.7109375" style="48" customWidth="1"/>
    <col min="8" max="9" width="12.28515625" style="48" customWidth="1"/>
    <col min="10" max="10" width="11.85546875" style="48" customWidth="1"/>
    <col min="11" max="11" width="20.7109375" style="48" customWidth="1"/>
    <col min="12" max="12" width="15.5703125" style="48" customWidth="1"/>
    <col min="13" max="13" width="20.7109375" style="48" customWidth="1"/>
    <col min="14" max="15" width="20.7109375" style="34" customWidth="1"/>
    <col min="16" max="18" width="9.140625" style="34"/>
    <col min="19" max="20" width="20.7109375" style="44" customWidth="1"/>
    <col min="21" max="16384" width="9.140625" style="34"/>
  </cols>
  <sheetData>
    <row r="1" spans="1:220">
      <c r="A1" s="285"/>
      <c r="B1" s="285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20">
      <c r="A2" s="285"/>
      <c r="B2" s="285"/>
      <c r="C2" s="33"/>
      <c r="D2" s="33"/>
      <c r="E2" s="33"/>
      <c r="F2" s="33"/>
      <c r="G2" s="33"/>
      <c r="H2" s="33"/>
      <c r="I2" s="33"/>
      <c r="J2" s="33"/>
      <c r="K2" s="33"/>
      <c r="L2" s="33"/>
      <c r="S2" s="322" t="s">
        <v>125</v>
      </c>
      <c r="T2" s="322"/>
      <c r="U2" s="44">
        <v>1</v>
      </c>
      <c r="V2" s="44">
        <v>2</v>
      </c>
      <c r="W2" s="44">
        <v>3</v>
      </c>
      <c r="X2" s="44">
        <v>4</v>
      </c>
      <c r="Y2" s="44">
        <v>5</v>
      </c>
      <c r="Z2" s="44">
        <v>6</v>
      </c>
      <c r="AA2" s="44">
        <v>7</v>
      </c>
      <c r="AB2" s="44">
        <v>8</v>
      </c>
      <c r="AC2" s="44">
        <v>9</v>
      </c>
      <c r="AD2" s="44">
        <v>10</v>
      </c>
      <c r="AE2" s="44">
        <v>11</v>
      </c>
      <c r="AF2" s="44">
        <v>12</v>
      </c>
      <c r="AG2" s="44">
        <v>13</v>
      </c>
      <c r="AH2" s="44">
        <v>14</v>
      </c>
      <c r="AI2" s="44">
        <v>15</v>
      </c>
      <c r="AJ2" s="44">
        <v>16</v>
      </c>
      <c r="AK2" s="44">
        <v>17</v>
      </c>
      <c r="AL2" s="44">
        <v>18</v>
      </c>
      <c r="AM2" s="44">
        <v>19</v>
      </c>
      <c r="AN2" s="44">
        <v>20</v>
      </c>
      <c r="AO2" s="44">
        <v>21</v>
      </c>
      <c r="AP2" s="44">
        <v>22</v>
      </c>
      <c r="AQ2" s="44">
        <v>23</v>
      </c>
      <c r="AR2" s="44">
        <v>24</v>
      </c>
      <c r="AS2" s="44">
        <v>25</v>
      </c>
      <c r="AT2" s="44">
        <v>26</v>
      </c>
      <c r="AU2" s="44">
        <v>27</v>
      </c>
      <c r="AV2" s="44">
        <v>28</v>
      </c>
      <c r="AW2" s="44">
        <v>29</v>
      </c>
      <c r="AX2" s="44">
        <v>30</v>
      </c>
      <c r="AY2" s="44">
        <v>31</v>
      </c>
      <c r="AZ2" s="44">
        <v>32</v>
      </c>
      <c r="BA2" s="44">
        <v>33</v>
      </c>
      <c r="BB2" s="44">
        <v>34</v>
      </c>
      <c r="BC2" s="44">
        <v>35</v>
      </c>
      <c r="BD2" s="44">
        <v>36</v>
      </c>
      <c r="BE2" s="44">
        <v>37</v>
      </c>
      <c r="BF2" s="44">
        <v>38</v>
      </c>
      <c r="BG2" s="44">
        <v>39</v>
      </c>
      <c r="BH2" s="44">
        <v>40</v>
      </c>
      <c r="BI2" s="44">
        <v>41</v>
      </c>
      <c r="BJ2" s="44">
        <v>42</v>
      </c>
      <c r="BK2" s="44">
        <v>43</v>
      </c>
      <c r="BL2" s="44">
        <v>44</v>
      </c>
      <c r="BM2" s="44">
        <v>45</v>
      </c>
      <c r="BN2" s="44">
        <v>46</v>
      </c>
      <c r="BO2" s="44">
        <v>47</v>
      </c>
      <c r="BP2" s="44">
        <v>48</v>
      </c>
      <c r="BQ2" s="44">
        <v>49</v>
      </c>
      <c r="BR2" s="44">
        <v>50</v>
      </c>
      <c r="BS2" s="44">
        <v>51</v>
      </c>
      <c r="BT2" s="44">
        <v>52</v>
      </c>
      <c r="BU2" s="44">
        <v>53</v>
      </c>
      <c r="BV2" s="44">
        <v>54</v>
      </c>
      <c r="BW2" s="44">
        <v>55</v>
      </c>
      <c r="BX2" s="44">
        <v>56</v>
      </c>
      <c r="BY2" s="44">
        <v>57</v>
      </c>
      <c r="BZ2" s="44">
        <v>58</v>
      </c>
      <c r="CA2" s="44">
        <v>59</v>
      </c>
      <c r="CB2" s="44">
        <v>60</v>
      </c>
      <c r="CC2" s="44">
        <v>61</v>
      </c>
      <c r="CD2" s="44">
        <v>62</v>
      </c>
      <c r="CE2" s="44">
        <v>63</v>
      </c>
      <c r="CF2" s="44">
        <v>64</v>
      </c>
      <c r="CG2" s="44">
        <v>65</v>
      </c>
      <c r="CH2" s="44">
        <v>66</v>
      </c>
      <c r="CI2" s="44">
        <v>67</v>
      </c>
      <c r="CJ2" s="44">
        <v>68</v>
      </c>
      <c r="CK2" s="44">
        <v>69</v>
      </c>
      <c r="CL2" s="44">
        <v>70</v>
      </c>
      <c r="CM2" s="44">
        <v>71</v>
      </c>
      <c r="CN2" s="44">
        <v>72</v>
      </c>
      <c r="CO2" s="44">
        <v>73</v>
      </c>
      <c r="CP2" s="44">
        <v>74</v>
      </c>
      <c r="CQ2" s="44">
        <v>75</v>
      </c>
      <c r="CR2" s="44">
        <v>76</v>
      </c>
      <c r="CS2" s="44">
        <v>77</v>
      </c>
      <c r="CT2" s="44">
        <v>78</v>
      </c>
      <c r="CU2" s="44">
        <v>79</v>
      </c>
      <c r="CV2" s="44">
        <v>80</v>
      </c>
      <c r="CW2" s="44">
        <v>81</v>
      </c>
      <c r="CX2" s="44">
        <v>82</v>
      </c>
      <c r="CY2" s="44">
        <v>83</v>
      </c>
      <c r="CZ2" s="44">
        <v>84</v>
      </c>
      <c r="DA2" s="44">
        <v>85</v>
      </c>
      <c r="DB2" s="44">
        <v>86</v>
      </c>
      <c r="DC2" s="44">
        <v>87</v>
      </c>
      <c r="DD2" s="44">
        <v>88</v>
      </c>
      <c r="DE2" s="44">
        <v>89</v>
      </c>
      <c r="DF2" s="44">
        <v>90</v>
      </c>
      <c r="DG2" s="44">
        <v>91</v>
      </c>
      <c r="DH2" s="44">
        <v>92</v>
      </c>
      <c r="DI2" s="44">
        <v>93</v>
      </c>
      <c r="DJ2" s="44">
        <v>94</v>
      </c>
      <c r="DK2" s="44">
        <v>95</v>
      </c>
      <c r="DL2" s="44">
        <v>96</v>
      </c>
      <c r="DM2" s="44">
        <v>97</v>
      </c>
      <c r="DN2" s="44">
        <v>98</v>
      </c>
      <c r="DO2" s="44">
        <v>99</v>
      </c>
      <c r="DP2" s="44">
        <v>100</v>
      </c>
      <c r="DQ2" s="44">
        <v>101</v>
      </c>
      <c r="DR2" s="44">
        <v>102</v>
      </c>
      <c r="DS2" s="44">
        <v>103</v>
      </c>
      <c r="DT2" s="44">
        <v>104</v>
      </c>
      <c r="DU2" s="44">
        <v>105</v>
      </c>
      <c r="DV2" s="44">
        <v>106</v>
      </c>
      <c r="DW2" s="44">
        <v>107</v>
      </c>
      <c r="DX2" s="44">
        <v>108</v>
      </c>
      <c r="DY2" s="44">
        <v>109</v>
      </c>
      <c r="DZ2" s="44">
        <v>110</v>
      </c>
      <c r="EA2" s="44">
        <v>111</v>
      </c>
      <c r="EB2" s="44">
        <v>112</v>
      </c>
      <c r="EC2" s="44">
        <v>113</v>
      </c>
      <c r="ED2" s="44">
        <v>114</v>
      </c>
      <c r="EE2" s="44">
        <v>115</v>
      </c>
      <c r="EF2" s="44">
        <v>116</v>
      </c>
      <c r="EG2" s="44">
        <v>117</v>
      </c>
      <c r="EH2" s="44">
        <v>118</v>
      </c>
      <c r="EI2" s="44">
        <v>119</v>
      </c>
      <c r="EJ2" s="44">
        <v>120</v>
      </c>
      <c r="EK2" s="44">
        <v>121</v>
      </c>
      <c r="EL2" s="44">
        <v>122</v>
      </c>
      <c r="EM2" s="44">
        <v>123</v>
      </c>
      <c r="EN2" s="44">
        <v>124</v>
      </c>
      <c r="EO2" s="44">
        <v>125</v>
      </c>
      <c r="EP2" s="44">
        <v>126</v>
      </c>
      <c r="EQ2" s="44">
        <v>127</v>
      </c>
      <c r="ER2" s="44">
        <v>128</v>
      </c>
      <c r="ES2" s="44">
        <v>129</v>
      </c>
      <c r="ET2" s="44">
        <v>130</v>
      </c>
      <c r="EU2" s="44">
        <v>131</v>
      </c>
      <c r="EV2" s="44">
        <v>132</v>
      </c>
      <c r="EW2" s="44">
        <v>133</v>
      </c>
      <c r="EX2" s="44">
        <v>134</v>
      </c>
      <c r="EY2" s="44">
        <v>135</v>
      </c>
      <c r="EZ2" s="44">
        <v>136</v>
      </c>
      <c r="FA2" s="44">
        <v>137</v>
      </c>
      <c r="FB2" s="44">
        <v>138</v>
      </c>
      <c r="FC2" s="44">
        <v>139</v>
      </c>
      <c r="FD2" s="44">
        <v>140</v>
      </c>
      <c r="FE2" s="44">
        <v>141</v>
      </c>
      <c r="FF2" s="44">
        <v>142</v>
      </c>
      <c r="FG2" s="44">
        <v>143</v>
      </c>
      <c r="FH2" s="44">
        <v>144</v>
      </c>
      <c r="FI2" s="44">
        <v>145</v>
      </c>
      <c r="FJ2" s="44">
        <v>146</v>
      </c>
      <c r="FK2" s="44">
        <v>147</v>
      </c>
      <c r="FL2" s="44">
        <v>148</v>
      </c>
      <c r="FM2" s="44">
        <v>149</v>
      </c>
      <c r="FN2" s="44">
        <v>150</v>
      </c>
      <c r="FO2" s="44">
        <v>151</v>
      </c>
      <c r="FP2" s="44">
        <v>152</v>
      </c>
      <c r="FQ2" s="44">
        <v>153</v>
      </c>
      <c r="FR2" s="44">
        <v>154</v>
      </c>
      <c r="FS2" s="44">
        <v>155</v>
      </c>
      <c r="FT2" s="44">
        <v>156</v>
      </c>
      <c r="FU2" s="44">
        <v>157</v>
      </c>
      <c r="FV2" s="44">
        <v>158</v>
      </c>
      <c r="FW2" s="44">
        <v>159</v>
      </c>
      <c r="FX2" s="44">
        <v>160</v>
      </c>
      <c r="FY2" s="44">
        <v>161</v>
      </c>
      <c r="FZ2" s="44">
        <v>162</v>
      </c>
      <c r="GA2" s="44">
        <v>163</v>
      </c>
      <c r="GB2" s="44">
        <v>164</v>
      </c>
      <c r="GC2" s="44">
        <v>165</v>
      </c>
      <c r="GD2" s="44">
        <v>166</v>
      </c>
      <c r="GE2" s="44">
        <v>167</v>
      </c>
      <c r="GF2" s="44">
        <v>168</v>
      </c>
      <c r="GG2" s="44">
        <v>169</v>
      </c>
      <c r="GH2" s="44">
        <v>170</v>
      </c>
      <c r="GI2" s="44">
        <v>171</v>
      </c>
      <c r="GJ2" s="44">
        <v>172</v>
      </c>
      <c r="GK2" s="44">
        <v>173</v>
      </c>
      <c r="GL2" s="44">
        <v>174</v>
      </c>
      <c r="GM2" s="44">
        <v>175</v>
      </c>
      <c r="GN2" s="44">
        <v>176</v>
      </c>
      <c r="GO2" s="44">
        <v>177</v>
      </c>
      <c r="GP2" s="44">
        <v>178</v>
      </c>
      <c r="GQ2" s="44">
        <v>179</v>
      </c>
      <c r="GR2" s="44">
        <v>180</v>
      </c>
      <c r="GS2" s="44">
        <v>181</v>
      </c>
      <c r="GT2" s="44">
        <v>182</v>
      </c>
      <c r="GU2" s="44">
        <v>183</v>
      </c>
      <c r="GV2" s="44">
        <v>184</v>
      </c>
      <c r="GW2" s="44">
        <v>185</v>
      </c>
      <c r="GX2" s="44">
        <v>186</v>
      </c>
      <c r="GY2" s="44">
        <v>187</v>
      </c>
      <c r="GZ2" s="44">
        <v>188</v>
      </c>
      <c r="HA2" s="44">
        <v>189</v>
      </c>
      <c r="HB2" s="44">
        <v>190</v>
      </c>
      <c r="HC2" s="44">
        <v>191</v>
      </c>
      <c r="HD2" s="44">
        <v>192</v>
      </c>
      <c r="HE2" s="44">
        <v>193</v>
      </c>
      <c r="HF2" s="44">
        <v>194</v>
      </c>
      <c r="HG2" s="44">
        <v>195</v>
      </c>
      <c r="HH2" s="44">
        <v>196</v>
      </c>
      <c r="HI2" s="44">
        <v>197</v>
      </c>
      <c r="HJ2" s="44">
        <v>198</v>
      </c>
      <c r="HK2" s="44">
        <v>199</v>
      </c>
      <c r="HL2" s="44">
        <v>200</v>
      </c>
    </row>
    <row r="3" spans="1:220">
      <c r="A3" s="284">
        <f>კრებსითი!A3</f>
        <v>0</v>
      </c>
      <c r="B3" s="284"/>
      <c r="C3" s="33"/>
      <c r="D3" s="33"/>
      <c r="E3" s="33"/>
      <c r="F3" s="33"/>
      <c r="G3" s="33"/>
      <c r="H3" s="33"/>
      <c r="I3" s="33"/>
      <c r="J3" s="33"/>
      <c r="K3" s="284"/>
      <c r="L3" s="284"/>
      <c r="S3" s="322" t="s">
        <v>126</v>
      </c>
      <c r="T3" s="322"/>
      <c r="U3" s="44">
        <v>1.55</v>
      </c>
      <c r="V3" s="44">
        <v>1.93</v>
      </c>
      <c r="W3" s="44">
        <v>2.42</v>
      </c>
      <c r="X3" s="44">
        <v>2.84</v>
      </c>
      <c r="Y3" s="44">
        <v>3.32</v>
      </c>
      <c r="Z3" s="44">
        <v>3.8</v>
      </c>
      <c r="AA3" s="44">
        <v>4.26</v>
      </c>
      <c r="AB3" s="44">
        <v>4.7</v>
      </c>
      <c r="AC3" s="44">
        <v>5.17</v>
      </c>
      <c r="AD3" s="44">
        <v>5.63</v>
      </c>
      <c r="AE3" s="44">
        <v>6.27</v>
      </c>
      <c r="AF3" s="44">
        <v>6.73</v>
      </c>
      <c r="AG3" s="44">
        <v>7.24</v>
      </c>
      <c r="AH3" s="44">
        <v>7.54</v>
      </c>
      <c r="AI3" s="44">
        <v>7.82</v>
      </c>
      <c r="AJ3" s="44">
        <v>8.18</v>
      </c>
      <c r="AK3" s="44">
        <v>8.5399999999999991</v>
      </c>
      <c r="AL3" s="44">
        <v>8.94</v>
      </c>
      <c r="AM3" s="44">
        <v>9.31</v>
      </c>
      <c r="AN3" s="44">
        <v>9.75</v>
      </c>
      <c r="AO3" s="44">
        <v>10.79</v>
      </c>
      <c r="AP3" s="44">
        <v>10.79</v>
      </c>
      <c r="AQ3" s="44">
        <v>10.79</v>
      </c>
      <c r="AR3" s="44">
        <v>10.79</v>
      </c>
      <c r="AS3" s="44">
        <v>10.79</v>
      </c>
      <c r="AT3" s="44">
        <v>12.31</v>
      </c>
      <c r="AU3" s="44">
        <v>12.31</v>
      </c>
      <c r="AV3" s="44">
        <v>12.31</v>
      </c>
      <c r="AW3" s="44">
        <v>12.31</v>
      </c>
      <c r="AX3" s="44">
        <v>12.31</v>
      </c>
      <c r="AY3" s="44">
        <v>13.26</v>
      </c>
      <c r="AZ3" s="44">
        <v>13.26</v>
      </c>
      <c r="BA3" s="44">
        <v>13.26</v>
      </c>
      <c r="BB3" s="44">
        <v>13.26</v>
      </c>
      <c r="BC3" s="44">
        <v>13.26</v>
      </c>
      <c r="BD3" s="44">
        <v>14.94</v>
      </c>
      <c r="BE3" s="44">
        <v>14.94</v>
      </c>
      <c r="BF3" s="44">
        <v>14.94</v>
      </c>
      <c r="BG3" s="44">
        <v>14.94</v>
      </c>
      <c r="BH3" s="44">
        <v>14.94</v>
      </c>
      <c r="BI3" s="44">
        <v>16.41</v>
      </c>
      <c r="BJ3" s="44">
        <v>16.41</v>
      </c>
      <c r="BK3" s="44">
        <v>16.41</v>
      </c>
      <c r="BL3" s="44">
        <v>16.41</v>
      </c>
      <c r="BM3" s="44">
        <v>16.41</v>
      </c>
      <c r="BN3" s="44">
        <v>18.14</v>
      </c>
      <c r="BO3" s="44">
        <v>18.14</v>
      </c>
      <c r="BP3" s="44">
        <v>18.14</v>
      </c>
      <c r="BQ3" s="44">
        <v>18.14</v>
      </c>
      <c r="BR3" s="44">
        <v>18.14</v>
      </c>
      <c r="BS3" s="44">
        <v>19.64</v>
      </c>
      <c r="BT3" s="44">
        <v>19.64</v>
      </c>
      <c r="BU3" s="44">
        <v>19.64</v>
      </c>
      <c r="BV3" s="44">
        <v>19.64</v>
      </c>
      <c r="BW3" s="44">
        <v>19.64</v>
      </c>
      <c r="BX3" s="44">
        <v>21.44</v>
      </c>
      <c r="BY3" s="44">
        <v>21.44</v>
      </c>
      <c r="BZ3" s="44">
        <v>21.44</v>
      </c>
      <c r="CA3" s="44">
        <v>21.44</v>
      </c>
      <c r="CB3" s="44">
        <v>21.44</v>
      </c>
      <c r="CC3" s="44">
        <v>22.41</v>
      </c>
      <c r="CD3" s="44">
        <v>22.41</v>
      </c>
      <c r="CE3" s="44">
        <v>22.41</v>
      </c>
      <c r="CF3" s="44">
        <v>22.41</v>
      </c>
      <c r="CG3" s="44">
        <v>22.41</v>
      </c>
      <c r="CH3" s="44">
        <v>23.66</v>
      </c>
      <c r="CI3" s="44">
        <v>23.66</v>
      </c>
      <c r="CJ3" s="44">
        <v>23.66</v>
      </c>
      <c r="CK3" s="44">
        <v>23.66</v>
      </c>
      <c r="CL3" s="44">
        <v>23.66</v>
      </c>
      <c r="CM3" s="44">
        <v>25.25</v>
      </c>
      <c r="CN3" s="44">
        <v>25.25</v>
      </c>
      <c r="CO3" s="44">
        <v>25.25</v>
      </c>
      <c r="CP3" s="44">
        <v>25.25</v>
      </c>
      <c r="CQ3" s="44">
        <v>25.25</v>
      </c>
      <c r="CR3" s="44">
        <v>26.59</v>
      </c>
      <c r="CS3" s="44">
        <v>26.59</v>
      </c>
      <c r="CT3" s="44">
        <v>26.59</v>
      </c>
      <c r="CU3" s="44">
        <v>26.59</v>
      </c>
      <c r="CV3" s="44">
        <v>26.59</v>
      </c>
      <c r="CW3" s="44">
        <v>27.25</v>
      </c>
      <c r="CX3" s="44">
        <v>27.25</v>
      </c>
      <c r="CY3" s="44">
        <v>27.25</v>
      </c>
      <c r="CZ3" s="44">
        <v>27.25</v>
      </c>
      <c r="DA3" s="44">
        <v>27.25</v>
      </c>
      <c r="DB3" s="44">
        <v>28.38</v>
      </c>
      <c r="DC3" s="44">
        <v>28.38</v>
      </c>
      <c r="DD3" s="44">
        <v>28.38</v>
      </c>
      <c r="DE3" s="44">
        <v>28.38</v>
      </c>
      <c r="DF3" s="44">
        <v>28.38</v>
      </c>
      <c r="DG3" s="44">
        <v>29.93</v>
      </c>
      <c r="DH3" s="44">
        <v>29.93</v>
      </c>
      <c r="DI3" s="44">
        <v>29.93</v>
      </c>
      <c r="DJ3" s="44">
        <v>29.93</v>
      </c>
      <c r="DK3" s="44">
        <v>29.93</v>
      </c>
      <c r="DL3" s="44">
        <v>31.25</v>
      </c>
      <c r="DM3" s="44">
        <v>31.25</v>
      </c>
      <c r="DN3" s="44">
        <v>31.25</v>
      </c>
      <c r="DO3" s="44">
        <v>31.25</v>
      </c>
      <c r="DP3" s="44">
        <v>31.25</v>
      </c>
      <c r="DQ3" s="44">
        <v>32.340000000000003</v>
      </c>
      <c r="DR3" s="44">
        <v>32.340000000000003</v>
      </c>
      <c r="DS3" s="44">
        <v>32.340000000000003</v>
      </c>
      <c r="DT3" s="44">
        <v>32.340000000000003</v>
      </c>
      <c r="DU3" s="44">
        <v>32.340000000000003</v>
      </c>
      <c r="DV3" s="44">
        <v>33.64</v>
      </c>
      <c r="DW3" s="44">
        <v>33.64</v>
      </c>
      <c r="DX3" s="44">
        <v>33.64</v>
      </c>
      <c r="DY3" s="44">
        <v>33.64</v>
      </c>
      <c r="DZ3" s="44">
        <v>33.64</v>
      </c>
      <c r="EA3" s="44">
        <v>34.840000000000003</v>
      </c>
      <c r="EB3" s="44">
        <v>34.840000000000003</v>
      </c>
      <c r="EC3" s="44">
        <v>34.840000000000003</v>
      </c>
      <c r="ED3" s="44">
        <v>34.840000000000003</v>
      </c>
      <c r="EE3" s="44">
        <v>34.840000000000003</v>
      </c>
      <c r="EF3" s="44">
        <v>36.14</v>
      </c>
      <c r="EG3" s="44">
        <v>36.14</v>
      </c>
      <c r="EH3" s="44">
        <v>36.14</v>
      </c>
      <c r="EI3" s="44">
        <v>36.14</v>
      </c>
      <c r="EJ3" s="44">
        <v>36.14</v>
      </c>
      <c r="EK3" s="44">
        <v>36.56</v>
      </c>
      <c r="EL3" s="44">
        <v>36.56</v>
      </c>
      <c r="EM3" s="44">
        <v>36.56</v>
      </c>
      <c r="EN3" s="44">
        <v>36.56</v>
      </c>
      <c r="EO3" s="44">
        <v>36.56</v>
      </c>
      <c r="EP3" s="44">
        <v>38.54</v>
      </c>
      <c r="EQ3" s="44">
        <v>38.54</v>
      </c>
      <c r="ER3" s="44">
        <v>38.54</v>
      </c>
      <c r="ES3" s="44">
        <v>38.54</v>
      </c>
      <c r="ET3" s="44">
        <v>38.54</v>
      </c>
      <c r="EU3" s="44">
        <v>39.47</v>
      </c>
      <c r="EV3" s="44">
        <v>39.47</v>
      </c>
      <c r="EW3" s="44">
        <v>39.47</v>
      </c>
      <c r="EX3" s="44">
        <v>39.47</v>
      </c>
      <c r="EY3" s="44">
        <v>39.47</v>
      </c>
      <c r="EZ3" s="44">
        <v>40.69</v>
      </c>
      <c r="FA3" s="44">
        <v>40.69</v>
      </c>
      <c r="FB3" s="44">
        <v>40.69</v>
      </c>
      <c r="FC3" s="44">
        <v>40.69</v>
      </c>
      <c r="FD3" s="44">
        <v>40.69</v>
      </c>
      <c r="FE3" s="44">
        <v>41.88</v>
      </c>
      <c r="FF3" s="44">
        <v>41.88</v>
      </c>
      <c r="FG3" s="44">
        <v>41.88</v>
      </c>
      <c r="FH3" s="44">
        <v>41.88</v>
      </c>
      <c r="FI3" s="44">
        <v>41.88</v>
      </c>
      <c r="FJ3" s="44">
        <v>43.37</v>
      </c>
      <c r="FK3" s="44">
        <v>43.37</v>
      </c>
      <c r="FL3" s="44">
        <v>43.37</v>
      </c>
      <c r="FM3" s="44">
        <v>43.37</v>
      </c>
      <c r="FN3" s="44">
        <v>43.37</v>
      </c>
      <c r="FO3" s="44">
        <v>44.39</v>
      </c>
      <c r="FP3" s="44">
        <v>44.39</v>
      </c>
      <c r="FQ3" s="44">
        <v>44.39</v>
      </c>
      <c r="FR3" s="44">
        <v>44.39</v>
      </c>
      <c r="FS3" s="44">
        <v>44.39</v>
      </c>
      <c r="FT3" s="44">
        <v>45.49</v>
      </c>
      <c r="FU3" s="44">
        <v>45.49</v>
      </c>
      <c r="FV3" s="44">
        <v>45.49</v>
      </c>
      <c r="FW3" s="44">
        <v>45.49</v>
      </c>
      <c r="FX3" s="44">
        <v>45.49</v>
      </c>
      <c r="FY3" s="44">
        <v>46.79</v>
      </c>
      <c r="FZ3" s="44">
        <v>46.79</v>
      </c>
      <c r="GA3" s="44">
        <v>46.79</v>
      </c>
      <c r="GB3" s="44">
        <v>46.79</v>
      </c>
      <c r="GC3" s="44">
        <v>46.79</v>
      </c>
      <c r="GD3" s="44">
        <v>48.52</v>
      </c>
      <c r="GE3" s="44">
        <v>48.52</v>
      </c>
      <c r="GF3" s="44">
        <v>48.52</v>
      </c>
      <c r="GG3" s="44">
        <v>48.52</v>
      </c>
      <c r="GH3" s="44">
        <v>48.52</v>
      </c>
      <c r="GI3" s="44">
        <v>49.72</v>
      </c>
      <c r="GJ3" s="44">
        <v>49.72</v>
      </c>
      <c r="GK3" s="44">
        <v>49.72</v>
      </c>
      <c r="GL3" s="44">
        <v>49.72</v>
      </c>
      <c r="GM3" s="44">
        <v>49.72</v>
      </c>
      <c r="GN3" s="44">
        <v>50.9</v>
      </c>
      <c r="GO3" s="44">
        <v>50.9</v>
      </c>
      <c r="GP3" s="44">
        <v>50.9</v>
      </c>
      <c r="GQ3" s="44">
        <v>50.9</v>
      </c>
      <c r="GR3" s="44">
        <v>50.9</v>
      </c>
      <c r="GS3" s="44">
        <v>52.22</v>
      </c>
      <c r="GT3" s="44">
        <v>52.22</v>
      </c>
      <c r="GU3" s="44">
        <v>52.22</v>
      </c>
      <c r="GV3" s="44">
        <v>52.22</v>
      </c>
      <c r="GW3" s="44">
        <v>52.22</v>
      </c>
      <c r="GX3" s="44">
        <v>53.42</v>
      </c>
      <c r="GY3" s="44">
        <v>53.42</v>
      </c>
      <c r="GZ3" s="44">
        <v>53.42</v>
      </c>
      <c r="HA3" s="44">
        <v>53.42</v>
      </c>
      <c r="HB3" s="44">
        <v>53.42</v>
      </c>
      <c r="HC3" s="44">
        <v>54.07</v>
      </c>
      <c r="HD3" s="44">
        <v>54.07</v>
      </c>
      <c r="HE3" s="44">
        <v>54.07</v>
      </c>
      <c r="HF3" s="44">
        <v>54.07</v>
      </c>
      <c r="HG3" s="44">
        <v>54.07</v>
      </c>
      <c r="HH3" s="44">
        <v>54.71</v>
      </c>
      <c r="HI3" s="44">
        <v>54.71</v>
      </c>
      <c r="HJ3" s="44">
        <v>54.71</v>
      </c>
      <c r="HK3" s="44">
        <v>54.71</v>
      </c>
      <c r="HL3" s="44">
        <v>54.71</v>
      </c>
    </row>
    <row r="4" spans="1:220">
      <c r="A4" s="284"/>
      <c r="B4" s="284"/>
      <c r="C4" s="33"/>
      <c r="D4" s="33"/>
      <c r="E4" s="33"/>
      <c r="F4" s="33"/>
      <c r="G4" s="33"/>
      <c r="H4" s="33"/>
      <c r="I4" s="33"/>
      <c r="J4" s="33"/>
      <c r="K4" s="284"/>
      <c r="L4" s="284"/>
    </row>
    <row r="5" spans="1:220">
      <c r="A5" s="284" t="s">
        <v>28</v>
      </c>
      <c r="B5" s="284"/>
      <c r="C5" s="33"/>
      <c r="D5" s="33"/>
      <c r="E5" s="33"/>
      <c r="F5" s="33"/>
      <c r="G5" s="33"/>
      <c r="H5" s="33"/>
      <c r="I5" s="33"/>
      <c r="J5" s="33"/>
      <c r="K5" s="284"/>
      <c r="L5" s="284"/>
    </row>
    <row r="6" spans="1:220">
      <c r="A6" s="284"/>
      <c r="B6" s="284"/>
      <c r="C6" s="33"/>
      <c r="D6" s="33"/>
      <c r="E6" s="33"/>
      <c r="F6" s="33"/>
      <c r="G6" s="33"/>
      <c r="H6" s="33"/>
      <c r="I6" s="33"/>
      <c r="J6" s="33"/>
      <c r="K6" s="284"/>
      <c r="L6" s="284"/>
    </row>
    <row r="7" spans="1:220">
      <c r="A7" s="284">
        <f>კრებსითი!A5</f>
        <v>0</v>
      </c>
      <c r="B7" s="284"/>
      <c r="C7" s="33"/>
      <c r="D7" s="33"/>
      <c r="E7" s="33"/>
      <c r="F7" s="33"/>
      <c r="G7" s="33"/>
      <c r="H7" s="33"/>
      <c r="I7" s="33"/>
      <c r="J7" s="33"/>
      <c r="K7" s="284"/>
      <c r="L7" s="284"/>
      <c r="S7" s="320"/>
      <c r="T7" s="320"/>
    </row>
    <row r="8" spans="1:220">
      <c r="A8" s="284"/>
      <c r="B8" s="284"/>
      <c r="C8" s="33"/>
      <c r="D8" s="33"/>
      <c r="E8" s="33"/>
      <c r="F8" s="33"/>
      <c r="G8" s="33"/>
      <c r="H8" s="33"/>
      <c r="I8" s="33"/>
      <c r="J8" s="33"/>
      <c r="K8" s="284"/>
      <c r="L8" s="284"/>
      <c r="S8" s="320"/>
      <c r="T8" s="320"/>
    </row>
    <row r="9" spans="1:220">
      <c r="A9" s="284" t="s">
        <v>29</v>
      </c>
      <c r="B9" s="284"/>
      <c r="C9" s="33"/>
      <c r="D9" s="33"/>
      <c r="E9" s="33"/>
      <c r="F9" s="33"/>
      <c r="G9" s="33"/>
      <c r="H9" s="33"/>
      <c r="I9" s="33"/>
      <c r="J9" s="33"/>
      <c r="K9" s="284"/>
      <c r="L9" s="284"/>
      <c r="S9" s="320"/>
      <c r="T9" s="320"/>
    </row>
    <row r="10" spans="1:220">
      <c r="A10" s="284"/>
      <c r="B10" s="284"/>
      <c r="C10" s="35"/>
      <c r="D10" s="35"/>
      <c r="E10" s="35"/>
      <c r="F10" s="35"/>
      <c r="G10" s="33"/>
      <c r="H10" s="33"/>
      <c r="I10" s="33"/>
      <c r="J10" s="33"/>
      <c r="K10" s="284"/>
      <c r="L10" s="284"/>
      <c r="S10" s="320"/>
      <c r="T10" s="320"/>
    </row>
    <row r="11" spans="1:220">
      <c r="A11" s="284"/>
      <c r="B11" s="284"/>
      <c r="C11" s="33"/>
      <c r="D11" s="33"/>
      <c r="E11" s="33"/>
      <c r="F11" s="33"/>
      <c r="G11" s="33"/>
      <c r="H11" s="286"/>
      <c r="I11" s="49"/>
      <c r="J11" s="284"/>
      <c r="K11" s="284"/>
      <c r="L11" s="50"/>
      <c r="S11" s="320"/>
      <c r="T11" s="320"/>
    </row>
    <row r="12" spans="1:220">
      <c r="A12" s="284"/>
      <c r="B12" s="284"/>
      <c r="C12" s="33"/>
      <c r="D12" s="33"/>
      <c r="E12" s="33"/>
      <c r="F12" s="33"/>
      <c r="G12" s="33"/>
      <c r="H12" s="286"/>
      <c r="I12" s="49"/>
      <c r="J12" s="284"/>
      <c r="K12" s="284"/>
      <c r="L12" s="50"/>
      <c r="S12" s="320"/>
      <c r="T12" s="320"/>
    </row>
    <row r="13" spans="1:220">
      <c r="A13" s="321" t="s">
        <v>41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S13" s="320"/>
      <c r="T13" s="320"/>
    </row>
    <row r="14" spans="1:220">
      <c r="A14" s="321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S14" s="320"/>
      <c r="T14" s="320"/>
    </row>
    <row r="15" spans="1:220">
      <c r="A15" s="321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S15" s="320"/>
      <c r="T15" s="320"/>
    </row>
    <row r="16" spans="1:220" s="51" customFormat="1">
      <c r="A16" s="289" t="s">
        <v>2</v>
      </c>
      <c r="B16" s="289" t="s">
        <v>42</v>
      </c>
      <c r="C16" s="290" t="s">
        <v>7</v>
      </c>
      <c r="D16" s="290" t="s">
        <v>115</v>
      </c>
      <c r="E16" s="290" t="s">
        <v>116</v>
      </c>
      <c r="F16" s="290" t="s">
        <v>333</v>
      </c>
      <c r="G16" s="290" t="s">
        <v>127</v>
      </c>
      <c r="H16" s="290" t="s">
        <v>117</v>
      </c>
      <c r="I16" s="290"/>
      <c r="J16" s="290" t="s">
        <v>128</v>
      </c>
      <c r="K16" s="290" t="s">
        <v>134</v>
      </c>
      <c r="L16" s="317" t="s">
        <v>129</v>
      </c>
      <c r="M16" s="48"/>
      <c r="S16" s="52"/>
      <c r="T16" s="52"/>
    </row>
    <row r="17" spans="1:20" s="51" customFormat="1">
      <c r="A17" s="289"/>
      <c r="B17" s="289"/>
      <c r="C17" s="290"/>
      <c r="D17" s="290"/>
      <c r="E17" s="290"/>
      <c r="F17" s="290"/>
      <c r="G17" s="290"/>
      <c r="H17" s="290" t="s">
        <v>118</v>
      </c>
      <c r="I17" s="290" t="s">
        <v>119</v>
      </c>
      <c r="J17" s="290"/>
      <c r="K17" s="290"/>
      <c r="L17" s="318"/>
      <c r="M17" s="48"/>
      <c r="S17" s="52"/>
      <c r="T17" s="52"/>
    </row>
    <row r="18" spans="1:20" s="51" customFormat="1">
      <c r="A18" s="289"/>
      <c r="B18" s="289"/>
      <c r="C18" s="290"/>
      <c r="D18" s="290"/>
      <c r="E18" s="290"/>
      <c r="F18" s="290"/>
      <c r="G18" s="290"/>
      <c r="H18" s="290"/>
      <c r="I18" s="290"/>
      <c r="J18" s="290"/>
      <c r="K18" s="290"/>
      <c r="L18" s="319"/>
      <c r="M18" s="48"/>
      <c r="S18" s="52"/>
      <c r="T18" s="52"/>
    </row>
    <row r="19" spans="1:20" s="51" customFormat="1">
      <c r="A19" s="37">
        <v>1</v>
      </c>
      <c r="B19" s="37">
        <v>2</v>
      </c>
      <c r="C19" s="37">
        <v>3</v>
      </c>
      <c r="D19" s="37">
        <v>4</v>
      </c>
      <c r="E19" s="37">
        <v>5</v>
      </c>
      <c r="F19" s="37">
        <v>6</v>
      </c>
      <c r="G19" s="37">
        <v>7</v>
      </c>
      <c r="H19" s="37">
        <v>8</v>
      </c>
      <c r="I19" s="37">
        <v>9</v>
      </c>
      <c r="J19" s="37">
        <v>10</v>
      </c>
      <c r="K19" s="37">
        <v>11</v>
      </c>
      <c r="L19" s="37">
        <v>12</v>
      </c>
      <c r="M19" s="48"/>
      <c r="S19" s="52"/>
      <c r="T19" s="52"/>
    </row>
    <row r="20" spans="1:20" s="51" customFormat="1">
      <c r="A20" s="37" t="s">
        <v>9</v>
      </c>
      <c r="B20" s="39" t="s">
        <v>43</v>
      </c>
      <c r="C20" s="40"/>
      <c r="D20" s="40"/>
      <c r="E20" s="40"/>
      <c r="F20" s="40"/>
      <c r="G20" s="53"/>
      <c r="H20" s="40"/>
      <c r="I20" s="40"/>
      <c r="J20" s="40"/>
      <c r="K20" s="40"/>
      <c r="L20" s="40"/>
      <c r="M20" s="48"/>
      <c r="S20" s="52"/>
      <c r="T20" s="52"/>
    </row>
    <row r="21" spans="1:20">
      <c r="A21" s="54">
        <v>1.1000000000000001</v>
      </c>
      <c r="B21" s="55" t="s">
        <v>114</v>
      </c>
      <c r="C21" s="40" t="s">
        <v>100</v>
      </c>
      <c r="D21" s="41">
        <v>1.2</v>
      </c>
      <c r="E21" s="40" t="s">
        <v>156</v>
      </c>
      <c r="F21" s="40">
        <v>15</v>
      </c>
      <c r="G21" s="53">
        <f>IF(F21&lt;=200,HLOOKUP(F21,$U$2:$HL$3,2,TRUE),(((F21-200)*0.24)+54.71))</f>
        <v>7.82</v>
      </c>
      <c r="H21" s="54" t="s">
        <v>9</v>
      </c>
      <c r="I21" s="46">
        <v>1</v>
      </c>
      <c r="J21" s="40">
        <v>162</v>
      </c>
      <c r="K21" s="56">
        <f t="shared" ref="K21:K26" si="0">ROUND(D21*G21*I21,2)</f>
        <v>9.3800000000000008</v>
      </c>
      <c r="L21" s="57" t="s">
        <v>151</v>
      </c>
    </row>
    <row r="22" spans="1:20">
      <c r="A22" s="54">
        <f>A21+0.1</f>
        <v>1.2000000000000002</v>
      </c>
      <c r="B22" s="55" t="s">
        <v>102</v>
      </c>
      <c r="C22" s="40" t="s">
        <v>331</v>
      </c>
      <c r="D22" s="40">
        <v>2.2000000000000002</v>
      </c>
      <c r="E22" s="40" t="s">
        <v>156</v>
      </c>
      <c r="F22" s="40">
        <v>15</v>
      </c>
      <c r="G22" s="53">
        <f t="shared" ref="G22:G69" si="1">IF(F22&lt;=200,HLOOKUP(F22,$U$2:$HL$3,2,TRUE),(((F22-200)*0.24)+54.71))</f>
        <v>7.82</v>
      </c>
      <c r="H22" s="54" t="s">
        <v>9</v>
      </c>
      <c r="I22" s="46">
        <v>1</v>
      </c>
      <c r="J22" s="40">
        <v>95</v>
      </c>
      <c r="K22" s="56">
        <f t="shared" si="0"/>
        <v>17.2</v>
      </c>
      <c r="L22" s="40" t="s">
        <v>138</v>
      </c>
    </row>
    <row r="23" spans="1:20">
      <c r="A23" s="54">
        <v>1.3</v>
      </c>
      <c r="B23" s="55" t="s">
        <v>164</v>
      </c>
      <c r="C23" s="40" t="s">
        <v>331</v>
      </c>
      <c r="D23" s="40">
        <v>2.2000000000000002</v>
      </c>
      <c r="E23" s="40" t="s">
        <v>156</v>
      </c>
      <c r="F23" s="40">
        <v>15</v>
      </c>
      <c r="G23" s="53">
        <f t="shared" si="1"/>
        <v>7.82</v>
      </c>
      <c r="H23" s="54" t="s">
        <v>9</v>
      </c>
      <c r="I23" s="46">
        <v>1</v>
      </c>
      <c r="J23" s="40">
        <v>103</v>
      </c>
      <c r="K23" s="56">
        <f t="shared" si="0"/>
        <v>17.2</v>
      </c>
      <c r="L23" s="57" t="s">
        <v>167</v>
      </c>
    </row>
    <row r="24" spans="1:20">
      <c r="A24" s="40">
        <v>1.4</v>
      </c>
      <c r="B24" s="55" t="s">
        <v>103</v>
      </c>
      <c r="C24" s="40" t="s">
        <v>331</v>
      </c>
      <c r="D24" s="40">
        <v>2.2000000000000002</v>
      </c>
      <c r="E24" s="40" t="s">
        <v>156</v>
      </c>
      <c r="F24" s="40">
        <v>15</v>
      </c>
      <c r="G24" s="53">
        <f t="shared" si="1"/>
        <v>7.82</v>
      </c>
      <c r="H24" s="54" t="s">
        <v>9</v>
      </c>
      <c r="I24" s="46">
        <v>1</v>
      </c>
      <c r="J24" s="40">
        <v>92</v>
      </c>
      <c r="K24" s="56">
        <f t="shared" si="0"/>
        <v>17.2</v>
      </c>
      <c r="L24" s="57" t="s">
        <v>160</v>
      </c>
    </row>
    <row r="25" spans="1:20">
      <c r="A25" s="54">
        <v>1.5</v>
      </c>
      <c r="B25" s="55" t="s">
        <v>136</v>
      </c>
      <c r="C25" s="40" t="s">
        <v>331</v>
      </c>
      <c r="D25" s="40">
        <v>2.4</v>
      </c>
      <c r="E25" s="40" t="s">
        <v>156</v>
      </c>
      <c r="F25" s="40">
        <v>15</v>
      </c>
      <c r="G25" s="53">
        <f t="shared" si="1"/>
        <v>7.82</v>
      </c>
      <c r="H25" s="54" t="s">
        <v>9</v>
      </c>
      <c r="I25" s="46">
        <v>1</v>
      </c>
      <c r="J25" s="58">
        <v>89</v>
      </c>
      <c r="K25" s="56">
        <f t="shared" si="0"/>
        <v>18.77</v>
      </c>
      <c r="L25" s="56" t="s">
        <v>137</v>
      </c>
    </row>
    <row r="26" spans="1:20">
      <c r="A26" s="40">
        <v>1.6</v>
      </c>
      <c r="B26" s="55" t="s">
        <v>161</v>
      </c>
      <c r="C26" s="40" t="s">
        <v>331</v>
      </c>
      <c r="D26" s="40">
        <v>2.4</v>
      </c>
      <c r="E26" s="40" t="s">
        <v>156</v>
      </c>
      <c r="F26" s="40">
        <v>15</v>
      </c>
      <c r="G26" s="53">
        <f t="shared" si="1"/>
        <v>7.82</v>
      </c>
      <c r="H26" s="54" t="s">
        <v>9</v>
      </c>
      <c r="I26" s="46">
        <v>1</v>
      </c>
      <c r="J26" s="40">
        <v>97</v>
      </c>
      <c r="K26" s="56">
        <f t="shared" si="0"/>
        <v>18.77</v>
      </c>
      <c r="L26" s="57" t="s">
        <v>162</v>
      </c>
    </row>
    <row r="27" spans="1:20">
      <c r="A27" s="40">
        <v>1.8</v>
      </c>
      <c r="B27" s="55" t="s">
        <v>107</v>
      </c>
      <c r="C27" s="40" t="s">
        <v>331</v>
      </c>
      <c r="D27" s="40">
        <v>2.4</v>
      </c>
      <c r="E27" s="40" t="s">
        <v>156</v>
      </c>
      <c r="F27" s="40">
        <v>15</v>
      </c>
      <c r="G27" s="53">
        <f t="shared" si="1"/>
        <v>7.82</v>
      </c>
      <c r="H27" s="54" t="s">
        <v>9</v>
      </c>
      <c r="I27" s="46">
        <v>1</v>
      </c>
      <c r="J27" s="58">
        <f>106+13</f>
        <v>119</v>
      </c>
      <c r="K27" s="56">
        <f>ROUND(D27*G27*I27,2)</f>
        <v>18.77</v>
      </c>
      <c r="L27" s="56" t="s">
        <v>130</v>
      </c>
    </row>
    <row r="28" spans="1:20">
      <c r="A28" s="54">
        <v>1.7</v>
      </c>
      <c r="B28" s="55" t="s">
        <v>163</v>
      </c>
      <c r="C28" s="40" t="s">
        <v>331</v>
      </c>
      <c r="D28" s="40">
        <v>2.4</v>
      </c>
      <c r="E28" s="40" t="s">
        <v>156</v>
      </c>
      <c r="F28" s="40">
        <v>15</v>
      </c>
      <c r="G28" s="53">
        <f t="shared" si="1"/>
        <v>7.82</v>
      </c>
      <c r="H28" s="54" t="s">
        <v>9</v>
      </c>
      <c r="I28" s="46">
        <v>1</v>
      </c>
      <c r="J28" s="58">
        <f>108</f>
        <v>108</v>
      </c>
      <c r="K28" s="56">
        <f>ROUND(D28*G28*I28,2)</f>
        <v>18.77</v>
      </c>
      <c r="L28" s="56" t="s">
        <v>130</v>
      </c>
    </row>
    <row r="29" spans="1:20">
      <c r="A29" s="40">
        <v>1.8</v>
      </c>
      <c r="B29" s="55" t="s">
        <v>85</v>
      </c>
      <c r="C29" s="40" t="s">
        <v>331</v>
      </c>
      <c r="D29" s="40">
        <v>2.4</v>
      </c>
      <c r="E29" s="40" t="s">
        <v>156</v>
      </c>
      <c r="F29" s="40">
        <v>15</v>
      </c>
      <c r="G29" s="53">
        <f t="shared" si="1"/>
        <v>7.82</v>
      </c>
      <c r="H29" s="54" t="s">
        <v>9</v>
      </c>
      <c r="I29" s="46">
        <v>1</v>
      </c>
      <c r="J29" s="58">
        <f>108+13</f>
        <v>121</v>
      </c>
      <c r="K29" s="56">
        <f>ROUND(D29*G29*I29,2)</f>
        <v>18.77</v>
      </c>
      <c r="L29" s="56" t="s">
        <v>130</v>
      </c>
    </row>
    <row r="30" spans="1:20">
      <c r="A30" s="54">
        <v>1.9</v>
      </c>
      <c r="B30" s="55" t="s">
        <v>173</v>
      </c>
      <c r="C30" s="40" t="s">
        <v>331</v>
      </c>
      <c r="D30" s="40">
        <v>2.4</v>
      </c>
      <c r="E30" s="40" t="s">
        <v>156</v>
      </c>
      <c r="F30" s="40">
        <v>15</v>
      </c>
      <c r="G30" s="53">
        <f t="shared" si="1"/>
        <v>7.82</v>
      </c>
      <c r="H30" s="54" t="s">
        <v>9</v>
      </c>
      <c r="I30" s="46">
        <v>1</v>
      </c>
      <c r="J30" s="58">
        <v>113</v>
      </c>
      <c r="K30" s="56">
        <f>ROUND(D30*G30*I30,2)</f>
        <v>18.77</v>
      </c>
      <c r="L30" s="56" t="s">
        <v>130</v>
      </c>
    </row>
    <row r="31" spans="1:20">
      <c r="A31" s="41">
        <v>1.1000000000000001</v>
      </c>
      <c r="B31" s="55" t="s">
        <v>172</v>
      </c>
      <c r="C31" s="40" t="s">
        <v>331</v>
      </c>
      <c r="D31" s="40">
        <v>2.4</v>
      </c>
      <c r="E31" s="40" t="s">
        <v>156</v>
      </c>
      <c r="F31" s="40">
        <v>15</v>
      </c>
      <c r="G31" s="53">
        <f t="shared" si="1"/>
        <v>7.82</v>
      </c>
      <c r="H31" s="54" t="s">
        <v>9</v>
      </c>
      <c r="I31" s="46">
        <v>1</v>
      </c>
      <c r="J31" s="58">
        <f>113+13</f>
        <v>126</v>
      </c>
      <c r="K31" s="56">
        <f t="shared" ref="K31:K40" si="2">ROUND(D31*G31*I31,2)</f>
        <v>18.77</v>
      </c>
      <c r="L31" s="56" t="s">
        <v>130</v>
      </c>
    </row>
    <row r="32" spans="1:20">
      <c r="A32" s="41">
        <v>1.1100000000000001</v>
      </c>
      <c r="B32" s="55" t="s">
        <v>106</v>
      </c>
      <c r="C32" s="40" t="s">
        <v>141</v>
      </c>
      <c r="D32" s="40">
        <v>1</v>
      </c>
      <c r="E32" s="40" t="s">
        <v>245</v>
      </c>
      <c r="F32" s="40">
        <v>240</v>
      </c>
      <c r="G32" s="53">
        <f t="shared" si="1"/>
        <v>64.31</v>
      </c>
      <c r="H32" s="54" t="s">
        <v>9</v>
      </c>
      <c r="I32" s="46">
        <v>1</v>
      </c>
      <c r="J32" s="40">
        <v>1600</v>
      </c>
      <c r="K32" s="56">
        <f t="shared" si="2"/>
        <v>64.31</v>
      </c>
      <c r="L32" s="57" t="s">
        <v>157</v>
      </c>
    </row>
    <row r="33" spans="1:12">
      <c r="A33" s="41">
        <v>1.1200000000000001</v>
      </c>
      <c r="B33" s="55" t="s">
        <v>124</v>
      </c>
      <c r="C33" s="40" t="s">
        <v>141</v>
      </c>
      <c r="D33" s="40">
        <v>1</v>
      </c>
      <c r="E33" s="40" t="s">
        <v>245</v>
      </c>
      <c r="F33" s="40">
        <v>240</v>
      </c>
      <c r="G33" s="53">
        <f t="shared" si="1"/>
        <v>64.31</v>
      </c>
      <c r="H33" s="54" t="s">
        <v>9</v>
      </c>
      <c r="I33" s="46">
        <v>1</v>
      </c>
      <c r="J33" s="40">
        <v>1520</v>
      </c>
      <c r="K33" s="56">
        <f t="shared" si="2"/>
        <v>64.31</v>
      </c>
      <c r="L33" s="57" t="s">
        <v>142</v>
      </c>
    </row>
    <row r="34" spans="1:12">
      <c r="A34" s="41">
        <v>1.1299999999999999</v>
      </c>
      <c r="B34" s="55" t="s">
        <v>111</v>
      </c>
      <c r="C34" s="40" t="s">
        <v>100</v>
      </c>
      <c r="D34" s="40">
        <v>1</v>
      </c>
      <c r="E34" s="40" t="s">
        <v>244</v>
      </c>
      <c r="F34" s="40">
        <v>110</v>
      </c>
      <c r="G34" s="53">
        <f t="shared" si="1"/>
        <v>33.64</v>
      </c>
      <c r="H34" s="54" t="s">
        <v>9</v>
      </c>
      <c r="I34" s="46">
        <v>1</v>
      </c>
      <c r="J34" s="40">
        <v>101.7</v>
      </c>
      <c r="K34" s="56">
        <f t="shared" si="2"/>
        <v>33.64</v>
      </c>
      <c r="L34" s="57" t="s">
        <v>153</v>
      </c>
    </row>
    <row r="35" spans="1:12">
      <c r="A35" s="41">
        <v>1.1399999999999999</v>
      </c>
      <c r="B35" s="55" t="s">
        <v>112</v>
      </c>
      <c r="C35" s="40" t="s">
        <v>100</v>
      </c>
      <c r="D35" s="40">
        <v>1</v>
      </c>
      <c r="E35" s="40" t="s">
        <v>244</v>
      </c>
      <c r="F35" s="40">
        <v>110</v>
      </c>
      <c r="G35" s="53">
        <f t="shared" si="1"/>
        <v>33.64</v>
      </c>
      <c r="H35" s="54" t="s">
        <v>9</v>
      </c>
      <c r="I35" s="46">
        <v>1</v>
      </c>
      <c r="J35" s="40">
        <v>110.2</v>
      </c>
      <c r="K35" s="56">
        <f t="shared" si="2"/>
        <v>33.64</v>
      </c>
      <c r="L35" s="57" t="s">
        <v>154</v>
      </c>
    </row>
    <row r="36" spans="1:12">
      <c r="A36" s="41">
        <v>1.1499999999999999</v>
      </c>
      <c r="B36" s="55" t="s">
        <v>120</v>
      </c>
      <c r="C36" s="40" t="s">
        <v>331</v>
      </c>
      <c r="D36" s="40">
        <v>1.6</v>
      </c>
      <c r="E36" s="40" t="s">
        <v>147</v>
      </c>
      <c r="F36" s="40">
        <v>20</v>
      </c>
      <c r="G36" s="53">
        <f t="shared" si="1"/>
        <v>9.75</v>
      </c>
      <c r="H36" s="54" t="s">
        <v>9</v>
      </c>
      <c r="I36" s="46">
        <v>1</v>
      </c>
      <c r="J36" s="58">
        <v>17</v>
      </c>
      <c r="K36" s="56">
        <f t="shared" si="2"/>
        <v>15.6</v>
      </c>
      <c r="L36" s="56" t="s">
        <v>131</v>
      </c>
    </row>
    <row r="37" spans="1:12">
      <c r="A37" s="41">
        <v>1.1599999999999999</v>
      </c>
      <c r="B37" s="55" t="s">
        <v>94</v>
      </c>
      <c r="C37" s="40" t="s">
        <v>331</v>
      </c>
      <c r="D37" s="40">
        <v>1.55</v>
      </c>
      <c r="E37" s="40" t="s">
        <v>147</v>
      </c>
      <c r="F37" s="40">
        <v>20</v>
      </c>
      <c r="G37" s="53">
        <f t="shared" si="1"/>
        <v>9.75</v>
      </c>
      <c r="H37" s="54" t="s">
        <v>9</v>
      </c>
      <c r="I37" s="46">
        <v>1</v>
      </c>
      <c r="J37" s="40">
        <v>12.7</v>
      </c>
      <c r="K37" s="56">
        <f t="shared" si="2"/>
        <v>15.11</v>
      </c>
      <c r="L37" s="57" t="s">
        <v>144</v>
      </c>
    </row>
    <row r="38" spans="1:12">
      <c r="A38" s="41">
        <v>1.17</v>
      </c>
      <c r="B38" s="55" t="s">
        <v>121</v>
      </c>
      <c r="C38" s="40" t="s">
        <v>331</v>
      </c>
      <c r="D38" s="40">
        <v>1.5</v>
      </c>
      <c r="E38" s="40" t="s">
        <v>156</v>
      </c>
      <c r="F38" s="40">
        <v>15</v>
      </c>
      <c r="G38" s="53">
        <f t="shared" si="1"/>
        <v>7.82</v>
      </c>
      <c r="H38" s="54" t="s">
        <v>9</v>
      </c>
      <c r="I38" s="46">
        <v>1</v>
      </c>
      <c r="J38" s="40">
        <v>28</v>
      </c>
      <c r="K38" s="56">
        <f t="shared" si="2"/>
        <v>11.73</v>
      </c>
      <c r="L38" s="40" t="s">
        <v>135</v>
      </c>
    </row>
    <row r="39" spans="1:12">
      <c r="A39" s="41">
        <v>1.18</v>
      </c>
      <c r="B39" s="55" t="s">
        <v>165</v>
      </c>
      <c r="C39" s="40" t="s">
        <v>331</v>
      </c>
      <c r="D39" s="40">
        <v>1.5</v>
      </c>
      <c r="E39" s="40" t="s">
        <v>156</v>
      </c>
      <c r="F39" s="40">
        <v>15</v>
      </c>
      <c r="G39" s="53">
        <f t="shared" si="1"/>
        <v>7.82</v>
      </c>
      <c r="H39" s="54" t="s">
        <v>9</v>
      </c>
      <c r="I39" s="46">
        <v>1</v>
      </c>
      <c r="J39" s="40">
        <v>38</v>
      </c>
      <c r="K39" s="56">
        <f t="shared" si="2"/>
        <v>11.73</v>
      </c>
      <c r="L39" s="57" t="s">
        <v>166</v>
      </c>
    </row>
    <row r="40" spans="1:12">
      <c r="A40" s="41">
        <v>1.19</v>
      </c>
      <c r="B40" s="40" t="s">
        <v>145</v>
      </c>
      <c r="C40" s="40" t="s">
        <v>331</v>
      </c>
      <c r="D40" s="40">
        <v>2</v>
      </c>
      <c r="E40" s="40" t="s">
        <v>147</v>
      </c>
      <c r="F40" s="40">
        <v>20</v>
      </c>
      <c r="G40" s="53">
        <f t="shared" si="1"/>
        <v>9.75</v>
      </c>
      <c r="H40" s="54" t="s">
        <v>9</v>
      </c>
      <c r="I40" s="46">
        <v>1</v>
      </c>
      <c r="J40" s="40">
        <v>15</v>
      </c>
      <c r="K40" s="56">
        <f t="shared" si="2"/>
        <v>19.5</v>
      </c>
      <c r="L40" s="57" t="s">
        <v>146</v>
      </c>
    </row>
    <row r="41" spans="1:12">
      <c r="A41" s="41">
        <v>1.2</v>
      </c>
      <c r="B41" s="40" t="s">
        <v>223</v>
      </c>
      <c r="C41" s="40" t="s">
        <v>331</v>
      </c>
      <c r="D41" s="40">
        <v>2</v>
      </c>
      <c r="E41" s="40" t="s">
        <v>147</v>
      </c>
      <c r="F41" s="40">
        <v>20</v>
      </c>
      <c r="G41" s="53">
        <f t="shared" si="1"/>
        <v>9.75</v>
      </c>
      <c r="H41" s="54" t="s">
        <v>9</v>
      </c>
      <c r="I41" s="46">
        <v>1</v>
      </c>
      <c r="J41" s="40">
        <v>18</v>
      </c>
      <c r="K41" s="56">
        <f>ROUND(D41*G41*I41,2)</f>
        <v>19.5</v>
      </c>
      <c r="L41" s="57" t="s">
        <v>146</v>
      </c>
    </row>
    <row r="42" spans="1:12">
      <c r="A42" s="41">
        <v>1.21</v>
      </c>
      <c r="B42" s="55" t="s">
        <v>86</v>
      </c>
      <c r="C42" s="40" t="s">
        <v>332</v>
      </c>
      <c r="D42" s="40">
        <f>0.4*1*0.6</f>
        <v>0.24</v>
      </c>
      <c r="E42" s="40" t="s">
        <v>222</v>
      </c>
      <c r="F42" s="40">
        <v>130</v>
      </c>
      <c r="G42" s="53">
        <f t="shared" si="1"/>
        <v>38.54</v>
      </c>
      <c r="H42" s="54" t="s">
        <v>9</v>
      </c>
      <c r="I42" s="46">
        <v>1</v>
      </c>
      <c r="J42" s="58">
        <v>16</v>
      </c>
      <c r="K42" s="56">
        <f t="shared" ref="K42:K68" si="3">ROUND(D42*G42*I42,2)</f>
        <v>9.25</v>
      </c>
      <c r="L42" s="56" t="s">
        <v>132</v>
      </c>
    </row>
    <row r="43" spans="1:12">
      <c r="A43" s="41">
        <v>1.22</v>
      </c>
      <c r="B43" s="55" t="s">
        <v>123</v>
      </c>
      <c r="C43" s="40" t="s">
        <v>331</v>
      </c>
      <c r="D43" s="40">
        <v>0.6</v>
      </c>
      <c r="E43" s="40" t="s">
        <v>222</v>
      </c>
      <c r="F43" s="40">
        <v>130</v>
      </c>
      <c r="G43" s="53">
        <f t="shared" si="1"/>
        <v>38.54</v>
      </c>
      <c r="H43" s="54" t="s">
        <v>9</v>
      </c>
      <c r="I43" s="46">
        <v>1</v>
      </c>
      <c r="J43" s="58">
        <v>443</v>
      </c>
      <c r="K43" s="56">
        <f t="shared" si="3"/>
        <v>23.12</v>
      </c>
      <c r="L43" s="59" t="s">
        <v>140</v>
      </c>
    </row>
    <row r="44" spans="1:12">
      <c r="A44" s="41">
        <v>1.23</v>
      </c>
      <c r="B44" s="55" t="s">
        <v>87</v>
      </c>
      <c r="C44" s="40" t="s">
        <v>331</v>
      </c>
      <c r="D44" s="40">
        <v>0.6</v>
      </c>
      <c r="E44" s="40" t="s">
        <v>222</v>
      </c>
      <c r="F44" s="40">
        <v>130</v>
      </c>
      <c r="G44" s="53">
        <f t="shared" si="1"/>
        <v>38.54</v>
      </c>
      <c r="H44" s="54" t="s">
        <v>9</v>
      </c>
      <c r="I44" s="46">
        <v>1</v>
      </c>
      <c r="J44" s="58">
        <v>475</v>
      </c>
      <c r="K44" s="56">
        <f t="shared" si="3"/>
        <v>23.12</v>
      </c>
      <c r="L44" s="59" t="s">
        <v>133</v>
      </c>
    </row>
    <row r="45" spans="1:12">
      <c r="A45" s="41">
        <v>1.24</v>
      </c>
      <c r="B45" s="55" t="s">
        <v>171</v>
      </c>
      <c r="C45" s="40" t="s">
        <v>331</v>
      </c>
      <c r="D45" s="40">
        <v>0.6</v>
      </c>
      <c r="E45" s="40" t="s">
        <v>222</v>
      </c>
      <c r="F45" s="40">
        <v>130</v>
      </c>
      <c r="G45" s="53">
        <f t="shared" si="1"/>
        <v>38.54</v>
      </c>
      <c r="H45" s="54" t="s">
        <v>9</v>
      </c>
      <c r="I45" s="46">
        <v>1</v>
      </c>
      <c r="J45" s="54">
        <v>521</v>
      </c>
      <c r="K45" s="56">
        <f>ROUND(D45*G45*I45,2)</f>
        <v>23.12</v>
      </c>
      <c r="L45" s="59" t="s">
        <v>133</v>
      </c>
    </row>
    <row r="46" spans="1:12">
      <c r="A46" s="41">
        <v>1.25</v>
      </c>
      <c r="B46" s="40" t="s">
        <v>122</v>
      </c>
      <c r="C46" s="40" t="s">
        <v>331</v>
      </c>
      <c r="D46" s="40">
        <v>0.7</v>
      </c>
      <c r="E46" s="40" t="s">
        <v>222</v>
      </c>
      <c r="F46" s="40">
        <v>130</v>
      </c>
      <c r="G46" s="53">
        <f t="shared" si="1"/>
        <v>38.54</v>
      </c>
      <c r="H46" s="54" t="s">
        <v>9</v>
      </c>
      <c r="I46" s="46">
        <v>1</v>
      </c>
      <c r="J46" s="40">
        <v>280</v>
      </c>
      <c r="K46" s="56">
        <f t="shared" si="3"/>
        <v>26.98</v>
      </c>
      <c r="L46" s="57" t="s">
        <v>139</v>
      </c>
    </row>
    <row r="47" spans="1:12">
      <c r="A47" s="41">
        <v>1.26</v>
      </c>
      <c r="B47" s="55" t="s">
        <v>98</v>
      </c>
      <c r="C47" s="40" t="s">
        <v>141</v>
      </c>
      <c r="D47" s="40">
        <v>1</v>
      </c>
      <c r="E47" s="40" t="s">
        <v>156</v>
      </c>
      <c r="F47" s="40">
        <v>15</v>
      </c>
      <c r="G47" s="53">
        <f t="shared" si="1"/>
        <v>7.82</v>
      </c>
      <c r="H47" s="54" t="s">
        <v>9</v>
      </c>
      <c r="I47" s="46">
        <v>1</v>
      </c>
      <c r="J47" s="40">
        <v>995</v>
      </c>
      <c r="K47" s="56">
        <f>ROUND(D47*G47*I47,2)</f>
        <v>7.82</v>
      </c>
      <c r="L47" s="57" t="s">
        <v>143</v>
      </c>
    </row>
    <row r="48" spans="1:12">
      <c r="A48" s="41">
        <v>1.27</v>
      </c>
      <c r="B48" s="55" t="s">
        <v>84</v>
      </c>
      <c r="C48" s="40" t="s">
        <v>100</v>
      </c>
      <c r="D48" s="40">
        <v>1</v>
      </c>
      <c r="E48" s="40" t="s">
        <v>156</v>
      </c>
      <c r="F48" s="40">
        <v>15</v>
      </c>
      <c r="G48" s="53">
        <f t="shared" si="1"/>
        <v>7.82</v>
      </c>
      <c r="H48" s="54" t="s">
        <v>9</v>
      </c>
      <c r="I48" s="46">
        <v>1</v>
      </c>
      <c r="J48" s="40">
        <v>1250</v>
      </c>
      <c r="K48" s="56">
        <f>ROUND(D48*G48*I48,2)</f>
        <v>7.82</v>
      </c>
      <c r="L48" s="57" t="s">
        <v>152</v>
      </c>
    </row>
    <row r="49" spans="1:12">
      <c r="A49" s="41">
        <v>1.28</v>
      </c>
      <c r="B49" s="60" t="s">
        <v>113</v>
      </c>
      <c r="C49" s="40" t="s">
        <v>168</v>
      </c>
      <c r="D49" s="40">
        <v>3.5999999999999999E-3</v>
      </c>
      <c r="E49" s="40" t="s">
        <v>156</v>
      </c>
      <c r="F49" s="40">
        <v>15</v>
      </c>
      <c r="G49" s="53">
        <f t="shared" si="1"/>
        <v>7.82</v>
      </c>
      <c r="H49" s="54" t="s">
        <v>9</v>
      </c>
      <c r="I49" s="46">
        <v>1</v>
      </c>
      <c r="J49" s="40">
        <v>0.41</v>
      </c>
      <c r="K49" s="56">
        <f>ROUND(D49*G49*I49,2)</f>
        <v>0.03</v>
      </c>
      <c r="L49" s="57" t="s">
        <v>169</v>
      </c>
    </row>
    <row r="50" spans="1:12">
      <c r="A50" s="41">
        <v>1.29</v>
      </c>
      <c r="B50" s="55" t="s">
        <v>97</v>
      </c>
      <c r="C50" s="40" t="s">
        <v>100</v>
      </c>
      <c r="D50" s="40">
        <v>1</v>
      </c>
      <c r="E50" s="40" t="s">
        <v>245</v>
      </c>
      <c r="F50" s="40">
        <v>240</v>
      </c>
      <c r="G50" s="53">
        <f t="shared" si="1"/>
        <v>64.31</v>
      </c>
      <c r="H50" s="54" t="s">
        <v>9</v>
      </c>
      <c r="I50" s="46">
        <v>1</v>
      </c>
      <c r="J50" s="40">
        <v>1810</v>
      </c>
      <c r="K50" s="56">
        <f t="shared" si="3"/>
        <v>64.31</v>
      </c>
      <c r="L50" s="57" t="s">
        <v>155</v>
      </c>
    </row>
    <row r="51" spans="1:12">
      <c r="A51" s="41">
        <v>1.3</v>
      </c>
      <c r="B51" s="55" t="s">
        <v>101</v>
      </c>
      <c r="C51" s="40" t="s">
        <v>100</v>
      </c>
      <c r="D51" s="40">
        <v>1</v>
      </c>
      <c r="E51" s="40" t="s">
        <v>245</v>
      </c>
      <c r="F51" s="40">
        <v>240</v>
      </c>
      <c r="G51" s="53">
        <f t="shared" si="1"/>
        <v>64.31</v>
      </c>
      <c r="H51" s="54" t="s">
        <v>9</v>
      </c>
      <c r="I51" s="46">
        <v>1</v>
      </c>
      <c r="J51" s="40">
        <v>1830</v>
      </c>
      <c r="K51" s="56">
        <f t="shared" si="3"/>
        <v>64.31</v>
      </c>
      <c r="L51" s="57" t="s">
        <v>158</v>
      </c>
    </row>
    <row r="52" spans="1:12">
      <c r="A52" s="41">
        <v>1.31</v>
      </c>
      <c r="B52" s="55" t="s">
        <v>104</v>
      </c>
      <c r="C52" s="40" t="s">
        <v>100</v>
      </c>
      <c r="D52" s="40">
        <v>1</v>
      </c>
      <c r="E52" s="40" t="s">
        <v>245</v>
      </c>
      <c r="F52" s="40">
        <v>240</v>
      </c>
      <c r="G52" s="53">
        <f t="shared" si="1"/>
        <v>64.31</v>
      </c>
      <c r="H52" s="54" t="s">
        <v>9</v>
      </c>
      <c r="I52" s="46">
        <v>1</v>
      </c>
      <c r="J52" s="40">
        <v>2087</v>
      </c>
      <c r="K52" s="56">
        <f t="shared" si="3"/>
        <v>64.31</v>
      </c>
      <c r="L52" s="57" t="s">
        <v>155</v>
      </c>
    </row>
    <row r="53" spans="1:12">
      <c r="A53" s="41">
        <v>1.32</v>
      </c>
      <c r="B53" s="55" t="s">
        <v>105</v>
      </c>
      <c r="C53" s="40" t="s">
        <v>100</v>
      </c>
      <c r="D53" s="40">
        <v>1</v>
      </c>
      <c r="E53" s="40" t="s">
        <v>245</v>
      </c>
      <c r="F53" s="40">
        <v>240</v>
      </c>
      <c r="G53" s="53">
        <f t="shared" si="1"/>
        <v>64.31</v>
      </c>
      <c r="H53" s="54" t="s">
        <v>9</v>
      </c>
      <c r="I53" s="46">
        <v>1</v>
      </c>
      <c r="J53" s="40">
        <v>1920</v>
      </c>
      <c r="K53" s="56">
        <f t="shared" si="3"/>
        <v>64.31</v>
      </c>
      <c r="L53" s="57" t="s">
        <v>159</v>
      </c>
    </row>
    <row r="54" spans="1:12">
      <c r="A54" s="41">
        <v>1.33</v>
      </c>
      <c r="B54" s="55" t="s">
        <v>224</v>
      </c>
      <c r="C54" s="40" t="s">
        <v>168</v>
      </c>
      <c r="D54" s="40">
        <f>2.5*6.26/1000</f>
        <v>1.5649999999999997E-2</v>
      </c>
      <c r="E54" s="40" t="s">
        <v>245</v>
      </c>
      <c r="F54" s="40">
        <v>240</v>
      </c>
      <c r="G54" s="53">
        <f t="shared" si="1"/>
        <v>64.31</v>
      </c>
      <c r="H54" s="54" t="s">
        <v>9</v>
      </c>
      <c r="I54" s="46">
        <v>1</v>
      </c>
      <c r="J54" s="40">
        <f>11.6*2.5</f>
        <v>29</v>
      </c>
      <c r="K54" s="56">
        <f t="shared" si="3"/>
        <v>1.01</v>
      </c>
      <c r="L54" s="57" t="s">
        <v>170</v>
      </c>
    </row>
    <row r="55" spans="1:12">
      <c r="A55" s="41">
        <v>1.34</v>
      </c>
      <c r="B55" s="55" t="s">
        <v>225</v>
      </c>
      <c r="C55" s="40" t="s">
        <v>168</v>
      </c>
      <c r="D55" s="40">
        <f>3.5*9.77/1000</f>
        <v>3.4195000000000003E-2</v>
      </c>
      <c r="E55" s="40" t="s">
        <v>245</v>
      </c>
      <c r="F55" s="40">
        <v>240</v>
      </c>
      <c r="G55" s="53">
        <f t="shared" si="1"/>
        <v>64.31</v>
      </c>
      <c r="H55" s="54" t="s">
        <v>9</v>
      </c>
      <c r="I55" s="46">
        <v>1</v>
      </c>
      <c r="J55" s="40">
        <f>17.3*3.5</f>
        <v>60.550000000000004</v>
      </c>
      <c r="K55" s="56">
        <f t="shared" si="3"/>
        <v>2.2000000000000002</v>
      </c>
      <c r="L55" s="57" t="s">
        <v>170</v>
      </c>
    </row>
    <row r="56" spans="1:12">
      <c r="A56" s="41">
        <v>1.35</v>
      </c>
      <c r="B56" s="55" t="s">
        <v>226</v>
      </c>
      <c r="C56" s="40" t="s">
        <v>168</v>
      </c>
      <c r="D56" s="40">
        <f>4*10.85/1000</f>
        <v>4.3400000000000001E-2</v>
      </c>
      <c r="E56" s="40" t="s">
        <v>245</v>
      </c>
      <c r="F56" s="40">
        <v>240</v>
      </c>
      <c r="G56" s="53">
        <f t="shared" si="1"/>
        <v>64.31</v>
      </c>
      <c r="H56" s="54" t="s">
        <v>9</v>
      </c>
      <c r="I56" s="46">
        <v>1</v>
      </c>
      <c r="J56" s="40">
        <f>18.3*4</f>
        <v>73.2</v>
      </c>
      <c r="K56" s="56">
        <f t="shared" si="3"/>
        <v>2.79</v>
      </c>
      <c r="L56" s="57" t="s">
        <v>170</v>
      </c>
    </row>
    <row r="57" spans="1:12">
      <c r="A57" s="41">
        <v>1.36</v>
      </c>
      <c r="B57" s="55" t="s">
        <v>177</v>
      </c>
      <c r="C57" s="40" t="s">
        <v>100</v>
      </c>
      <c r="D57" s="40">
        <v>1</v>
      </c>
      <c r="E57" s="40" t="s">
        <v>245</v>
      </c>
      <c r="F57" s="40">
        <v>240</v>
      </c>
      <c r="G57" s="53">
        <f t="shared" si="1"/>
        <v>64.31</v>
      </c>
      <c r="H57" s="54" t="s">
        <v>9</v>
      </c>
      <c r="I57" s="46">
        <v>1</v>
      </c>
      <c r="J57" s="54">
        <v>1851</v>
      </c>
      <c r="K57" s="56">
        <f t="shared" si="3"/>
        <v>64.31</v>
      </c>
      <c r="L57" s="57" t="s">
        <v>170</v>
      </c>
    </row>
    <row r="58" spans="1:12">
      <c r="A58" s="41">
        <v>1.37</v>
      </c>
      <c r="B58" s="55" t="s">
        <v>227</v>
      </c>
      <c r="C58" s="40" t="s">
        <v>100</v>
      </c>
      <c r="D58" s="40">
        <v>1</v>
      </c>
      <c r="E58" s="40" t="s">
        <v>245</v>
      </c>
      <c r="F58" s="40">
        <v>240</v>
      </c>
      <c r="G58" s="53">
        <f t="shared" si="1"/>
        <v>64.31</v>
      </c>
      <c r="H58" s="54" t="s">
        <v>9</v>
      </c>
      <c r="I58" s="46">
        <v>1</v>
      </c>
      <c r="J58" s="54">
        <v>1870</v>
      </c>
      <c r="K58" s="56">
        <f t="shared" si="3"/>
        <v>64.31</v>
      </c>
      <c r="L58" s="57" t="s">
        <v>170</v>
      </c>
    </row>
    <row r="59" spans="1:12">
      <c r="A59" s="41">
        <v>1.38</v>
      </c>
      <c r="B59" s="55" t="s">
        <v>228</v>
      </c>
      <c r="C59" s="40" t="s">
        <v>100</v>
      </c>
      <c r="D59" s="40">
        <v>1</v>
      </c>
      <c r="E59" s="40" t="s">
        <v>245</v>
      </c>
      <c r="F59" s="40">
        <v>240</v>
      </c>
      <c r="G59" s="53">
        <f t="shared" si="1"/>
        <v>64.31</v>
      </c>
      <c r="H59" s="54" t="s">
        <v>9</v>
      </c>
      <c r="I59" s="46">
        <v>1</v>
      </c>
      <c r="J59" s="54">
        <v>1920</v>
      </c>
      <c r="K59" s="56">
        <f t="shared" si="3"/>
        <v>64.31</v>
      </c>
      <c r="L59" s="57" t="s">
        <v>170</v>
      </c>
    </row>
    <row r="60" spans="1:12">
      <c r="A60" s="41">
        <v>1.39</v>
      </c>
      <c r="B60" s="55" t="s">
        <v>229</v>
      </c>
      <c r="C60" s="40" t="s">
        <v>148</v>
      </c>
      <c r="D60" s="40">
        <v>1.41E-3</v>
      </c>
      <c r="E60" s="40" t="s">
        <v>245</v>
      </c>
      <c r="F60" s="40">
        <v>240</v>
      </c>
      <c r="G60" s="53">
        <f t="shared" si="1"/>
        <v>64.31</v>
      </c>
      <c r="H60" s="54" t="s">
        <v>9</v>
      </c>
      <c r="I60" s="46">
        <v>1</v>
      </c>
      <c r="J60" s="54">
        <v>4</v>
      </c>
      <c r="K60" s="56">
        <f t="shared" si="3"/>
        <v>0.09</v>
      </c>
      <c r="L60" s="57" t="s">
        <v>170</v>
      </c>
    </row>
    <row r="61" spans="1:12" ht="25.5">
      <c r="A61" s="41">
        <v>1.4</v>
      </c>
      <c r="B61" s="55" t="s">
        <v>230</v>
      </c>
      <c r="C61" s="40" t="s">
        <v>168</v>
      </c>
      <c r="D61" s="40">
        <v>1.7500000000000002E-2</v>
      </c>
      <c r="E61" s="40" t="s">
        <v>245</v>
      </c>
      <c r="F61" s="40">
        <v>240</v>
      </c>
      <c r="G61" s="53">
        <f t="shared" si="1"/>
        <v>64.31</v>
      </c>
      <c r="H61" s="54" t="s">
        <v>9</v>
      </c>
      <c r="I61" s="46">
        <v>1</v>
      </c>
      <c r="J61" s="54">
        <v>72.900000000000006</v>
      </c>
      <c r="K61" s="56">
        <f t="shared" si="3"/>
        <v>1.1299999999999999</v>
      </c>
      <c r="L61" s="57" t="s">
        <v>231</v>
      </c>
    </row>
    <row r="62" spans="1:12" ht="25.5">
      <c r="A62" s="41">
        <v>1.41</v>
      </c>
      <c r="B62" s="55" t="s">
        <v>232</v>
      </c>
      <c r="C62" s="40" t="s">
        <v>168</v>
      </c>
      <c r="D62" s="40">
        <v>1.32E-2</v>
      </c>
      <c r="E62" s="40" t="s">
        <v>245</v>
      </c>
      <c r="F62" s="40">
        <v>240</v>
      </c>
      <c r="G62" s="53">
        <f t="shared" si="1"/>
        <v>64.31</v>
      </c>
      <c r="H62" s="54" t="s">
        <v>9</v>
      </c>
      <c r="I62" s="46">
        <v>1</v>
      </c>
      <c r="J62" s="54">
        <v>56.8</v>
      </c>
      <c r="K62" s="56">
        <f t="shared" si="3"/>
        <v>0.85</v>
      </c>
      <c r="L62" s="57" t="s">
        <v>233</v>
      </c>
    </row>
    <row r="63" spans="1:12">
      <c r="A63" s="41">
        <v>1.42</v>
      </c>
      <c r="B63" s="55" t="s">
        <v>174</v>
      </c>
      <c r="C63" s="40" t="s">
        <v>100</v>
      </c>
      <c r="D63" s="40">
        <v>1</v>
      </c>
      <c r="E63" s="40" t="s">
        <v>245</v>
      </c>
      <c r="F63" s="40">
        <v>240</v>
      </c>
      <c r="G63" s="53">
        <f t="shared" si="1"/>
        <v>64.31</v>
      </c>
      <c r="H63" s="54" t="s">
        <v>9</v>
      </c>
      <c r="I63" s="46">
        <v>1</v>
      </c>
      <c r="J63" s="40">
        <v>3200</v>
      </c>
      <c r="K63" s="56">
        <f t="shared" si="3"/>
        <v>64.31</v>
      </c>
      <c r="L63" s="57" t="s">
        <v>170</v>
      </c>
    </row>
    <row r="64" spans="1:12">
      <c r="A64" s="41">
        <v>1.43</v>
      </c>
      <c r="B64" s="55" t="s">
        <v>175</v>
      </c>
      <c r="C64" s="40" t="s">
        <v>148</v>
      </c>
      <c r="D64" s="40">
        <f>(0.3*0.3*2400)/1000</f>
        <v>0.216</v>
      </c>
      <c r="E64" s="40" t="s">
        <v>245</v>
      </c>
      <c r="F64" s="40">
        <v>240</v>
      </c>
      <c r="G64" s="53">
        <f t="shared" si="1"/>
        <v>64.31</v>
      </c>
      <c r="H64" s="54" t="s">
        <v>9</v>
      </c>
      <c r="I64" s="46">
        <v>1</v>
      </c>
      <c r="J64" s="54">
        <v>97</v>
      </c>
      <c r="K64" s="56">
        <f t="shared" si="3"/>
        <v>13.89</v>
      </c>
      <c r="L64" s="57" t="s">
        <v>170</v>
      </c>
    </row>
    <row r="65" spans="1:12">
      <c r="A65" s="41">
        <v>1.44</v>
      </c>
      <c r="B65" s="55" t="s">
        <v>176</v>
      </c>
      <c r="C65" s="40" t="s">
        <v>331</v>
      </c>
      <c r="D65" s="40">
        <v>2.4</v>
      </c>
      <c r="E65" s="40" t="s">
        <v>156</v>
      </c>
      <c r="F65" s="40">
        <v>15</v>
      </c>
      <c r="G65" s="53">
        <f t="shared" si="1"/>
        <v>7.82</v>
      </c>
      <c r="H65" s="54" t="s">
        <v>9</v>
      </c>
      <c r="I65" s="46">
        <v>1</v>
      </c>
      <c r="J65" s="54">
        <v>308.8</v>
      </c>
      <c r="K65" s="56">
        <f t="shared" si="3"/>
        <v>18.77</v>
      </c>
      <c r="L65" s="57" t="s">
        <v>170</v>
      </c>
    </row>
    <row r="66" spans="1:12">
      <c r="A66" s="41">
        <v>1.45</v>
      </c>
      <c r="B66" s="55" t="s">
        <v>95</v>
      </c>
      <c r="C66" s="40" t="s">
        <v>148</v>
      </c>
      <c r="D66" s="41">
        <f>0.1*2.5</f>
        <v>0.25</v>
      </c>
      <c r="E66" s="40" t="s">
        <v>222</v>
      </c>
      <c r="F66" s="40">
        <v>130</v>
      </c>
      <c r="G66" s="53">
        <f t="shared" si="1"/>
        <v>38.54</v>
      </c>
      <c r="H66" s="54" t="s">
        <v>16</v>
      </c>
      <c r="I66" s="46">
        <v>1.25</v>
      </c>
      <c r="J66" s="40">
        <v>78.900000000000006</v>
      </c>
      <c r="K66" s="56">
        <f t="shared" si="3"/>
        <v>12.04</v>
      </c>
      <c r="L66" s="57" t="s">
        <v>149</v>
      </c>
    </row>
    <row r="67" spans="1:12">
      <c r="A67" s="41">
        <v>1.46</v>
      </c>
      <c r="B67" s="55" t="s">
        <v>234</v>
      </c>
      <c r="C67" s="40" t="s">
        <v>168</v>
      </c>
      <c r="D67" s="41">
        <f>1.75*2</f>
        <v>3.5</v>
      </c>
      <c r="E67" s="40" t="s">
        <v>222</v>
      </c>
      <c r="F67" s="40">
        <v>130</v>
      </c>
      <c r="G67" s="53">
        <f t="shared" si="1"/>
        <v>38.54</v>
      </c>
      <c r="H67" s="54" t="s">
        <v>16</v>
      </c>
      <c r="I67" s="46">
        <v>1.25</v>
      </c>
      <c r="J67" s="40">
        <f>136*2</f>
        <v>272</v>
      </c>
      <c r="K67" s="56">
        <f t="shared" si="3"/>
        <v>168.61</v>
      </c>
      <c r="L67" s="57" t="s">
        <v>149</v>
      </c>
    </row>
    <row r="68" spans="1:12">
      <c r="A68" s="41">
        <v>1.47</v>
      </c>
      <c r="B68" s="55" t="s">
        <v>235</v>
      </c>
      <c r="C68" s="40" t="s">
        <v>168</v>
      </c>
      <c r="D68" s="41">
        <v>1.75</v>
      </c>
      <c r="E68" s="40" t="s">
        <v>222</v>
      </c>
      <c r="F68" s="40">
        <v>130</v>
      </c>
      <c r="G68" s="53">
        <f t="shared" si="1"/>
        <v>38.54</v>
      </c>
      <c r="H68" s="54" t="s">
        <v>16</v>
      </c>
      <c r="I68" s="46">
        <v>1.25</v>
      </c>
      <c r="J68" s="40">
        <f>136</f>
        <v>136</v>
      </c>
      <c r="K68" s="56">
        <f t="shared" si="3"/>
        <v>84.31</v>
      </c>
      <c r="L68" s="57" t="s">
        <v>149</v>
      </c>
    </row>
    <row r="69" spans="1:12">
      <c r="A69" s="41">
        <v>1.48</v>
      </c>
      <c r="B69" s="55" t="s">
        <v>240</v>
      </c>
      <c r="C69" s="40" t="s">
        <v>168</v>
      </c>
      <c r="D69" s="54">
        <v>2.5</v>
      </c>
      <c r="E69" s="40" t="s">
        <v>222</v>
      </c>
      <c r="F69" s="40">
        <v>130</v>
      </c>
      <c r="G69" s="53">
        <f t="shared" si="1"/>
        <v>38.54</v>
      </c>
      <c r="H69" s="54" t="s">
        <v>16</v>
      </c>
      <c r="I69" s="46">
        <v>1.25</v>
      </c>
      <c r="J69" s="40">
        <v>153</v>
      </c>
      <c r="K69" s="56">
        <f t="shared" ref="K69" si="4">ROUND(D69*G69*I69,2)</f>
        <v>120.44</v>
      </c>
      <c r="L69" s="57" t="s">
        <v>149</v>
      </c>
    </row>
    <row r="70" spans="1:12">
      <c r="A70" s="41">
        <v>1.49</v>
      </c>
      <c r="B70" s="55" t="s">
        <v>273</v>
      </c>
      <c r="C70" s="40" t="s">
        <v>168</v>
      </c>
      <c r="D70" s="54">
        <v>5.0000000000000001E-3</v>
      </c>
      <c r="E70" s="40" t="s">
        <v>222</v>
      </c>
      <c r="F70" s="40">
        <v>130</v>
      </c>
      <c r="G70" s="53">
        <f t="shared" ref="G70" si="5">IF(F70&lt;=200,HLOOKUP(F70,$U$2:$HL$3,2,TRUE),(((F70-200)*0.24)+54.71))</f>
        <v>38.54</v>
      </c>
      <c r="H70" s="54" t="s">
        <v>9</v>
      </c>
      <c r="I70" s="46">
        <v>1</v>
      </c>
      <c r="J70" s="40">
        <v>17</v>
      </c>
      <c r="K70" s="56">
        <f t="shared" ref="K70" si="6">ROUND(D70*G70*I70,2)</f>
        <v>0.19</v>
      </c>
      <c r="L70" s="57" t="s">
        <v>149</v>
      </c>
    </row>
    <row r="71" spans="1:12"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2:12"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2:1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2:1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2:1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2:1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2:1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2:1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2:1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</row>
    <row r="89" spans="2:1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2:1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</row>
    <row r="91" spans="2:1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</row>
    <row r="92" spans="2:1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</row>
    <row r="93" spans="2:1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</row>
    <row r="94" spans="2:1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</row>
    <row r="241" spans="3:211">
      <c r="C241" s="62"/>
      <c r="D241" s="62"/>
      <c r="E241" s="62"/>
      <c r="F241" s="62"/>
      <c r="G241" s="62"/>
      <c r="H241" s="62"/>
      <c r="I241" s="62"/>
      <c r="J241" s="62"/>
      <c r="K241" s="62"/>
      <c r="L241" s="60"/>
      <c r="M241" s="60"/>
      <c r="N241" s="44"/>
      <c r="O241" s="44"/>
      <c r="P241" s="44"/>
      <c r="Q241" s="44"/>
      <c r="R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</row>
    <row r="242" spans="3:211">
      <c r="C242" s="62"/>
      <c r="D242" s="62"/>
      <c r="E242" s="62"/>
      <c r="F242" s="62"/>
      <c r="G242" s="62"/>
      <c r="H242" s="62"/>
      <c r="I242" s="62"/>
      <c r="J242" s="62"/>
      <c r="K242" s="62"/>
      <c r="L242" s="60"/>
      <c r="M242" s="60"/>
      <c r="N242" s="44"/>
      <c r="O242" s="44"/>
      <c r="P242" s="44"/>
      <c r="Q242" s="44"/>
      <c r="R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</row>
  </sheetData>
  <mergeCells count="31">
    <mergeCell ref="A1:B1"/>
    <mergeCell ref="A2:B2"/>
    <mergeCell ref="S2:T2"/>
    <mergeCell ref="A3:B4"/>
    <mergeCell ref="K3:L4"/>
    <mergeCell ref="S3:T3"/>
    <mergeCell ref="T7:T15"/>
    <mergeCell ref="A9:B10"/>
    <mergeCell ref="K9:L10"/>
    <mergeCell ref="A11:B12"/>
    <mergeCell ref="H11:H12"/>
    <mergeCell ref="A5:B6"/>
    <mergeCell ref="K5:L6"/>
    <mergeCell ref="A7:B8"/>
    <mergeCell ref="K7:L8"/>
    <mergeCell ref="S7:S15"/>
    <mergeCell ref="J11:K12"/>
    <mergeCell ref="A13:L15"/>
    <mergeCell ref="A16:A18"/>
    <mergeCell ref="B16:B18"/>
    <mergeCell ref="C16:C18"/>
    <mergeCell ref="D16:D18"/>
    <mergeCell ref="E16:E18"/>
    <mergeCell ref="L16:L18"/>
    <mergeCell ref="H17:H18"/>
    <mergeCell ref="I17:I18"/>
    <mergeCell ref="F16:F18"/>
    <mergeCell ref="G16:G18"/>
    <mergeCell ref="H16:I16"/>
    <mergeCell ref="J16:J18"/>
    <mergeCell ref="K16:K18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  <ignoredErrors>
    <ignoredError sqref="L43:L7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85"/>
  <sheetViews>
    <sheetView view="pageBreakPreview" topLeftCell="A13" zoomScaleNormal="60" zoomScaleSheetLayoutView="100" workbookViewId="0">
      <selection activeCell="L27" sqref="L27"/>
    </sheetView>
  </sheetViews>
  <sheetFormatPr defaultRowHeight="12.75"/>
  <cols>
    <col min="1" max="1" width="5.28515625" style="67" bestFit="1" customWidth="1"/>
    <col min="2" max="2" width="13.140625" style="48" customWidth="1"/>
    <col min="3" max="3" width="59.85546875" style="48" customWidth="1"/>
    <col min="4" max="4" width="9.85546875" style="48" customWidth="1"/>
    <col min="5" max="12" width="8.85546875" style="48" customWidth="1"/>
    <col min="13" max="13" width="11.7109375" style="70" customWidth="1"/>
    <col min="14" max="16" width="20.7109375" style="34" customWidth="1"/>
    <col min="17" max="16384" width="9.140625" style="34"/>
  </cols>
  <sheetData>
    <row r="1" spans="1:13">
      <c r="A1" s="72"/>
      <c r="B1" s="72" t="s">
        <v>346</v>
      </c>
      <c r="C1" s="72"/>
      <c r="D1" s="33"/>
      <c r="E1" s="33"/>
      <c r="F1" s="33"/>
      <c r="G1" s="33"/>
      <c r="H1" s="33"/>
      <c r="I1" s="72" t="s">
        <v>17</v>
      </c>
      <c r="J1" s="72"/>
      <c r="K1" s="72"/>
      <c r="L1" s="72"/>
      <c r="M1" s="72"/>
    </row>
    <row r="2" spans="1:13">
      <c r="A2" s="72"/>
      <c r="B2" s="72" t="s">
        <v>345</v>
      </c>
      <c r="C2" s="72"/>
      <c r="D2" s="33"/>
      <c r="E2" s="33"/>
      <c r="F2" s="33"/>
      <c r="G2" s="33"/>
      <c r="H2" s="33"/>
      <c r="I2" s="72" t="s">
        <v>18</v>
      </c>
      <c r="J2" s="72"/>
      <c r="K2" s="72"/>
      <c r="L2" s="72"/>
      <c r="M2" s="72"/>
    </row>
    <row r="3" spans="1:13">
      <c r="A3" s="72"/>
      <c r="B3" s="72" t="s">
        <v>344</v>
      </c>
      <c r="C3" s="72"/>
      <c r="D3" s="33"/>
      <c r="E3" s="33"/>
      <c r="F3" s="33"/>
      <c r="G3" s="33"/>
      <c r="H3" s="33"/>
      <c r="I3" s="72" t="s">
        <v>56</v>
      </c>
      <c r="J3" s="72"/>
      <c r="K3" s="72"/>
      <c r="L3" s="72" t="s">
        <v>20</v>
      </c>
      <c r="M3" s="72"/>
    </row>
    <row r="4" spans="1:13">
      <c r="A4" s="72"/>
      <c r="B4" s="72" t="s">
        <v>347</v>
      </c>
      <c r="C4" s="72"/>
      <c r="D4" s="33"/>
      <c r="E4" s="33"/>
      <c r="F4" s="33"/>
      <c r="G4" s="33"/>
      <c r="H4" s="33"/>
      <c r="I4" s="72" t="s">
        <v>19</v>
      </c>
      <c r="J4" s="72"/>
      <c r="K4" s="72"/>
      <c r="L4" s="72"/>
      <c r="M4" s="72"/>
    </row>
    <row r="5" spans="1:13">
      <c r="A5" s="294" t="s">
        <v>309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</row>
    <row r="6" spans="1:1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s="51" customFormat="1" ht="26.25" customHeight="1">
      <c r="A7" s="296" t="s">
        <v>336</v>
      </c>
      <c r="B7" s="295" t="s">
        <v>337</v>
      </c>
      <c r="C7" s="295" t="s">
        <v>338</v>
      </c>
      <c r="D7" s="295" t="s">
        <v>339</v>
      </c>
      <c r="E7" s="296" t="s">
        <v>340</v>
      </c>
      <c r="F7" s="296"/>
      <c r="G7" s="295" t="s">
        <v>341</v>
      </c>
      <c r="H7" s="295"/>
      <c r="I7" s="295" t="s">
        <v>6</v>
      </c>
      <c r="J7" s="295"/>
      <c r="K7" s="296" t="s">
        <v>342</v>
      </c>
      <c r="L7" s="296"/>
      <c r="M7" s="296" t="s">
        <v>4</v>
      </c>
    </row>
    <row r="8" spans="1:13" s="51" customFormat="1">
      <c r="A8" s="296"/>
      <c r="B8" s="295"/>
      <c r="C8" s="295"/>
      <c r="D8" s="295"/>
      <c r="E8" s="75" t="s">
        <v>343</v>
      </c>
      <c r="F8" s="75" t="s">
        <v>243</v>
      </c>
      <c r="G8" s="75" t="s">
        <v>343</v>
      </c>
      <c r="H8" s="75" t="s">
        <v>243</v>
      </c>
      <c r="I8" s="75" t="s">
        <v>343</v>
      </c>
      <c r="J8" s="75" t="s">
        <v>243</v>
      </c>
      <c r="K8" s="75" t="s">
        <v>343</v>
      </c>
      <c r="L8" s="75" t="s">
        <v>243</v>
      </c>
      <c r="M8" s="296"/>
    </row>
    <row r="9" spans="1:13" s="51" customFormat="1">
      <c r="A9" s="75">
        <v>1</v>
      </c>
      <c r="B9" s="75">
        <v>2</v>
      </c>
      <c r="C9" s="76">
        <v>3</v>
      </c>
      <c r="D9" s="75">
        <v>4</v>
      </c>
      <c r="E9" s="75">
        <v>5</v>
      </c>
      <c r="F9" s="75">
        <v>6</v>
      </c>
      <c r="G9" s="75">
        <v>7</v>
      </c>
      <c r="H9" s="77">
        <v>8</v>
      </c>
      <c r="I9" s="75">
        <v>9</v>
      </c>
      <c r="J9" s="77">
        <v>10</v>
      </c>
      <c r="K9" s="75">
        <v>11</v>
      </c>
      <c r="L9" s="77">
        <v>12</v>
      </c>
      <c r="M9" s="77">
        <v>13</v>
      </c>
    </row>
    <row r="10" spans="1:13" s="51" customForma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4"/>
    </row>
    <row r="11" spans="1:13" s="51" customFormat="1">
      <c r="A11" s="37"/>
      <c r="B11" s="40"/>
      <c r="C11" s="39" t="s">
        <v>32</v>
      </c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3" s="51" customFormat="1" ht="15" customHeight="1">
      <c r="A12" s="37"/>
      <c r="B12" s="291" t="s">
        <v>494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ht="12.75" customHeight="1">
      <c r="A13" s="40">
        <v>1.1000000000000001</v>
      </c>
      <c r="B13" s="292"/>
      <c r="C13" s="65" t="s">
        <v>33</v>
      </c>
      <c r="D13" s="40" t="s">
        <v>34</v>
      </c>
      <c r="E13" s="46"/>
      <c r="F13" s="46">
        <v>0.2</v>
      </c>
      <c r="G13" s="46"/>
      <c r="H13" s="46"/>
      <c r="I13" s="46"/>
      <c r="J13" s="46"/>
      <c r="K13" s="46"/>
      <c r="L13" s="46"/>
      <c r="M13" s="46"/>
    </row>
    <row r="14" spans="1:13" ht="12.75" customHeight="1">
      <c r="A14" s="40"/>
      <c r="B14" s="292"/>
      <c r="C14" s="65"/>
      <c r="D14" s="40"/>
      <c r="E14" s="46"/>
      <c r="F14" s="46"/>
      <c r="G14" s="46"/>
      <c r="H14" s="46"/>
      <c r="I14" s="46"/>
      <c r="J14" s="46"/>
      <c r="K14" s="46"/>
      <c r="L14" s="46"/>
      <c r="M14" s="46"/>
    </row>
    <row r="15" spans="1:13">
      <c r="A15" s="40" t="s">
        <v>0</v>
      </c>
      <c r="B15" s="293"/>
      <c r="C15" s="65" t="s">
        <v>15</v>
      </c>
      <c r="D15" s="40" t="s">
        <v>1</v>
      </c>
      <c r="E15" s="84">
        <f>1.1*1.13*(127+67)</f>
        <v>241.14199999999997</v>
      </c>
      <c r="F15" s="84">
        <f>E15*F13</f>
        <v>48.228399999999993</v>
      </c>
      <c r="G15" s="46"/>
      <c r="H15" s="46"/>
      <c r="I15" s="84"/>
      <c r="J15" s="46">
        <f>ROUND(F15*I15,2)</f>
        <v>0</v>
      </c>
      <c r="K15" s="46"/>
      <c r="L15" s="46"/>
      <c r="M15" s="46">
        <f>H15+J15+L15</f>
        <v>0</v>
      </c>
    </row>
    <row r="16" spans="1:13">
      <c r="A16" s="40"/>
      <c r="B16" s="74"/>
      <c r="C16" s="65"/>
      <c r="D16" s="40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25.5">
      <c r="A17" s="40">
        <v>1.2</v>
      </c>
      <c r="B17" s="81" t="s">
        <v>351</v>
      </c>
      <c r="C17" s="65" t="s">
        <v>310</v>
      </c>
      <c r="D17" s="40" t="s">
        <v>349</v>
      </c>
      <c r="E17" s="46"/>
      <c r="F17" s="46">
        <v>145</v>
      </c>
      <c r="G17" s="46"/>
      <c r="H17" s="46"/>
      <c r="I17" s="46"/>
      <c r="J17" s="46"/>
      <c r="K17" s="46"/>
      <c r="L17" s="46"/>
      <c r="M17" s="46"/>
    </row>
    <row r="18" spans="1:13">
      <c r="A18" s="40"/>
      <c r="B18" s="57"/>
      <c r="C18" s="65"/>
      <c r="D18" s="40" t="s">
        <v>350</v>
      </c>
      <c r="E18" s="46"/>
      <c r="F18" s="80">
        <f>F17/1000</f>
        <v>0.14499999999999999</v>
      </c>
      <c r="G18" s="46"/>
      <c r="H18" s="46"/>
      <c r="I18" s="46"/>
      <c r="J18" s="46"/>
      <c r="K18" s="46"/>
      <c r="L18" s="46"/>
      <c r="M18" s="46"/>
    </row>
    <row r="19" spans="1:13">
      <c r="A19" s="40" t="s">
        <v>21</v>
      </c>
      <c r="B19" s="57"/>
      <c r="C19" s="79" t="s">
        <v>15</v>
      </c>
      <c r="D19" s="40" t="s">
        <v>1</v>
      </c>
      <c r="E19" s="84">
        <v>16.8</v>
      </c>
      <c r="F19" s="46">
        <f>E19*F18</f>
        <v>2.4359999999999999</v>
      </c>
      <c r="G19" s="46"/>
      <c r="H19" s="46"/>
      <c r="I19" s="46"/>
      <c r="J19" s="46"/>
      <c r="K19" s="46"/>
      <c r="L19" s="46"/>
      <c r="M19" s="46">
        <f t="shared" ref="M19:M21" si="0">H19+J19+L19</f>
        <v>0</v>
      </c>
    </row>
    <row r="20" spans="1:13">
      <c r="A20" s="40" t="s">
        <v>36</v>
      </c>
      <c r="B20" s="81" t="s">
        <v>355</v>
      </c>
      <c r="C20" s="79" t="s">
        <v>354</v>
      </c>
      <c r="D20" s="40" t="s">
        <v>24</v>
      </c>
      <c r="E20" s="84">
        <v>37.6</v>
      </c>
      <c r="F20" s="46">
        <f>E20*F18</f>
        <v>5.452</v>
      </c>
      <c r="G20" s="46"/>
      <c r="H20" s="46"/>
      <c r="I20" s="46"/>
      <c r="J20" s="46"/>
      <c r="K20" s="84"/>
      <c r="L20" s="46"/>
      <c r="M20" s="46"/>
    </row>
    <row r="21" spans="1:13">
      <c r="A21" s="40" t="s">
        <v>38</v>
      </c>
      <c r="B21" s="81"/>
      <c r="C21" s="82" t="s">
        <v>13</v>
      </c>
      <c r="D21" s="83" t="s">
        <v>25</v>
      </c>
      <c r="E21" s="84">
        <v>2.2400000000000002</v>
      </c>
      <c r="F21" s="84">
        <f>E21*F18</f>
        <v>0.32480000000000003</v>
      </c>
      <c r="G21" s="84"/>
      <c r="H21" s="84"/>
      <c r="I21" s="84"/>
      <c r="J21" s="84"/>
      <c r="K21" s="84"/>
      <c r="L21" s="84"/>
      <c r="M21" s="84"/>
    </row>
    <row r="22" spans="1:13">
      <c r="A22" s="40"/>
      <c r="B22" s="73"/>
      <c r="C22" s="40"/>
      <c r="D22" s="40"/>
      <c r="E22" s="46"/>
      <c r="F22" s="46"/>
      <c r="G22" s="46"/>
      <c r="H22" s="46"/>
      <c r="I22" s="46"/>
      <c r="J22" s="46"/>
      <c r="K22" s="46"/>
      <c r="L22" s="46"/>
      <c r="M22" s="46"/>
    </row>
    <row r="23" spans="1:13">
      <c r="A23" s="40">
        <v>1.3</v>
      </c>
      <c r="B23" s="81" t="s">
        <v>348</v>
      </c>
      <c r="C23" s="65" t="s">
        <v>31</v>
      </c>
      <c r="D23" s="40" t="s">
        <v>23</v>
      </c>
      <c r="E23" s="46"/>
      <c r="F23" s="46">
        <f>F18*1000*2.1</f>
        <v>304.5</v>
      </c>
      <c r="G23" s="46"/>
      <c r="H23" s="46"/>
      <c r="I23" s="46"/>
      <c r="J23" s="46"/>
      <c r="K23" s="84"/>
      <c r="L23" s="46"/>
      <c r="M23" s="46"/>
    </row>
    <row r="24" spans="1:13">
      <c r="A24" s="40"/>
      <c r="B24" s="57"/>
      <c r="C24" s="65"/>
      <c r="D24" s="40"/>
      <c r="E24" s="46"/>
      <c r="F24" s="46"/>
      <c r="G24" s="46"/>
      <c r="H24" s="46"/>
      <c r="I24" s="46"/>
      <c r="J24" s="46"/>
      <c r="K24" s="46"/>
      <c r="L24" s="46"/>
      <c r="M24" s="46"/>
    </row>
    <row r="25" spans="1:13" s="86" customFormat="1">
      <c r="A25" s="37"/>
      <c r="B25" s="85"/>
      <c r="C25" s="37" t="s">
        <v>4</v>
      </c>
      <c r="D25" s="37"/>
      <c r="E25" s="47"/>
      <c r="F25" s="47"/>
      <c r="G25" s="47"/>
      <c r="H25" s="47">
        <f t="shared" ref="H25:L25" si="1">SUM(H12:H24)</f>
        <v>0</v>
      </c>
      <c r="I25" s="47"/>
      <c r="J25" s="47">
        <f t="shared" si="1"/>
        <v>0</v>
      </c>
      <c r="K25" s="47"/>
      <c r="L25" s="47"/>
      <c r="M25" s="47"/>
    </row>
    <row r="26" spans="1:13" s="66" customFormat="1">
      <c r="A26" s="40"/>
      <c r="B26" s="57"/>
      <c r="C26" s="40"/>
      <c r="D26" s="40"/>
      <c r="E26" s="46"/>
      <c r="F26" s="46"/>
      <c r="G26" s="46"/>
      <c r="H26" s="46"/>
      <c r="I26" s="46"/>
      <c r="J26" s="46"/>
      <c r="K26" s="46"/>
      <c r="L26" s="46"/>
      <c r="M26" s="46"/>
    </row>
    <row r="27" spans="1:13" s="66" customFormat="1">
      <c r="A27" s="40"/>
      <c r="B27" s="57"/>
      <c r="C27" s="40" t="s">
        <v>10</v>
      </c>
      <c r="D27" s="78">
        <v>0.1</v>
      </c>
      <c r="E27" s="46"/>
      <c r="F27" s="46"/>
      <c r="G27" s="46"/>
      <c r="H27" s="46"/>
      <c r="I27" s="46"/>
      <c r="J27" s="46"/>
      <c r="K27" s="46"/>
      <c r="L27" s="46"/>
      <c r="M27" s="46"/>
    </row>
    <row r="28" spans="1:13" s="66" customFormat="1">
      <c r="A28" s="40"/>
      <c r="B28" s="57"/>
      <c r="C28" s="40" t="s">
        <v>4</v>
      </c>
      <c r="D28" s="78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66" customFormat="1">
      <c r="A29" s="40"/>
      <c r="B29" s="57"/>
      <c r="C29" s="40" t="s">
        <v>11</v>
      </c>
      <c r="D29" s="78">
        <v>0.08</v>
      </c>
      <c r="E29" s="46"/>
      <c r="F29" s="46"/>
      <c r="G29" s="46"/>
      <c r="H29" s="46"/>
      <c r="I29" s="46"/>
      <c r="J29" s="46"/>
      <c r="K29" s="46"/>
      <c r="L29" s="46"/>
      <c r="M29" s="46"/>
    </row>
    <row r="30" spans="1:13" s="66" customFormat="1">
      <c r="A30" s="40"/>
      <c r="B30" s="57"/>
      <c r="C30" s="40"/>
      <c r="D30" s="78"/>
      <c r="E30" s="46"/>
      <c r="F30" s="46"/>
      <c r="G30" s="46"/>
      <c r="H30" s="46"/>
      <c r="I30" s="46"/>
      <c r="J30" s="46"/>
      <c r="K30" s="46"/>
      <c r="L30" s="46"/>
      <c r="M30" s="46"/>
    </row>
    <row r="31" spans="1:13" s="86" customFormat="1">
      <c r="A31" s="37"/>
      <c r="B31" s="85"/>
      <c r="C31" s="37" t="s">
        <v>4</v>
      </c>
      <c r="D31" s="37"/>
      <c r="E31" s="47"/>
      <c r="F31" s="47"/>
      <c r="G31" s="47"/>
      <c r="H31" s="47"/>
      <c r="I31" s="47"/>
      <c r="J31" s="47"/>
      <c r="K31" s="47"/>
      <c r="L31" s="47"/>
      <c r="M31" s="47"/>
    </row>
    <row r="32" spans="1:13">
      <c r="B32" s="60"/>
      <c r="C32" s="61"/>
      <c r="D32" s="60"/>
      <c r="E32" s="60"/>
      <c r="F32" s="60"/>
      <c r="G32" s="60"/>
      <c r="H32" s="60"/>
      <c r="I32" s="60"/>
      <c r="J32" s="60"/>
      <c r="K32" s="60"/>
      <c r="L32" s="60"/>
      <c r="M32" s="68"/>
    </row>
    <row r="33" spans="2:13">
      <c r="B33" s="60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8"/>
    </row>
    <row r="34" spans="2:13">
      <c r="B34" s="60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8"/>
    </row>
    <row r="35" spans="2:13">
      <c r="B35" s="60"/>
      <c r="C35" s="61"/>
      <c r="D35" s="60"/>
      <c r="E35" s="60"/>
      <c r="F35" s="60"/>
      <c r="G35" s="60"/>
      <c r="H35" s="60"/>
      <c r="I35" s="60"/>
      <c r="J35" s="60"/>
      <c r="K35" s="60"/>
      <c r="L35" s="60"/>
      <c r="M35" s="68"/>
    </row>
    <row r="36" spans="2:13">
      <c r="B36" s="60"/>
      <c r="C36" s="61"/>
      <c r="D36" s="60"/>
      <c r="E36" s="60"/>
      <c r="F36" s="60"/>
      <c r="G36" s="60"/>
      <c r="H36" s="60"/>
      <c r="I36" s="60"/>
      <c r="J36" s="60"/>
      <c r="K36" s="60"/>
      <c r="L36" s="60"/>
      <c r="M36" s="68"/>
    </row>
    <row r="37" spans="2:13">
      <c r="B37" s="60"/>
      <c r="C37" s="61"/>
      <c r="D37" s="60"/>
      <c r="E37" s="60"/>
      <c r="F37" s="60"/>
      <c r="G37" s="60"/>
      <c r="H37" s="60"/>
      <c r="I37" s="60"/>
      <c r="J37" s="60"/>
      <c r="K37" s="60"/>
      <c r="L37" s="60"/>
      <c r="M37" s="68"/>
    </row>
    <row r="38" spans="2:13">
      <c r="B38" s="60"/>
      <c r="C38" s="61"/>
      <c r="D38" s="60"/>
      <c r="E38" s="60"/>
      <c r="F38" s="60"/>
      <c r="G38" s="60"/>
      <c r="H38" s="60"/>
      <c r="I38" s="60"/>
      <c r="J38" s="60"/>
      <c r="K38" s="60"/>
      <c r="L38" s="60"/>
      <c r="M38" s="68"/>
    </row>
    <row r="39" spans="2:13">
      <c r="B39" s="60"/>
      <c r="C39" s="61"/>
      <c r="D39" s="60"/>
      <c r="E39" s="60"/>
      <c r="F39" s="60"/>
      <c r="G39" s="60"/>
      <c r="H39" s="60"/>
      <c r="I39" s="60"/>
      <c r="J39" s="60"/>
      <c r="K39" s="60"/>
      <c r="L39" s="60"/>
      <c r="M39" s="68"/>
    </row>
    <row r="40" spans="2:13">
      <c r="B40" s="60"/>
      <c r="C40" s="61"/>
      <c r="D40" s="60"/>
      <c r="E40" s="60"/>
      <c r="F40" s="60"/>
      <c r="G40" s="60"/>
      <c r="H40" s="60"/>
      <c r="I40" s="60"/>
      <c r="J40" s="60"/>
      <c r="K40" s="60"/>
      <c r="L40" s="60"/>
      <c r="M40" s="68"/>
    </row>
    <row r="41" spans="2:13">
      <c r="B41" s="60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8"/>
    </row>
    <row r="42" spans="2:13">
      <c r="B42" s="60"/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8"/>
    </row>
    <row r="43" spans="2:13">
      <c r="B43" s="60"/>
      <c r="C43" s="61"/>
      <c r="D43" s="60"/>
      <c r="E43" s="60"/>
      <c r="F43" s="60"/>
      <c r="G43" s="60"/>
      <c r="H43" s="60"/>
      <c r="I43" s="60"/>
      <c r="J43" s="60"/>
      <c r="K43" s="60"/>
      <c r="L43" s="60"/>
      <c r="M43" s="68"/>
    </row>
    <row r="44" spans="2:13">
      <c r="B44" s="60"/>
      <c r="C44" s="61"/>
      <c r="D44" s="60"/>
      <c r="E44" s="60"/>
      <c r="F44" s="60"/>
      <c r="G44" s="60"/>
      <c r="H44" s="60"/>
      <c r="I44" s="60"/>
      <c r="J44" s="60"/>
      <c r="K44" s="60"/>
      <c r="L44" s="60"/>
      <c r="M44" s="68"/>
    </row>
    <row r="45" spans="2:13">
      <c r="B45" s="60"/>
      <c r="C45" s="61"/>
      <c r="D45" s="60"/>
      <c r="E45" s="60"/>
      <c r="F45" s="60"/>
      <c r="G45" s="60"/>
      <c r="H45" s="60"/>
      <c r="I45" s="60"/>
      <c r="J45" s="60"/>
      <c r="K45" s="60"/>
      <c r="L45" s="60"/>
      <c r="M45" s="68"/>
    </row>
    <row r="46" spans="2:13">
      <c r="B46" s="60"/>
      <c r="C46" s="61"/>
      <c r="D46" s="60"/>
      <c r="E46" s="60"/>
      <c r="F46" s="60"/>
      <c r="G46" s="60"/>
      <c r="H46" s="60"/>
      <c r="I46" s="60"/>
      <c r="J46" s="60"/>
      <c r="K46" s="60"/>
      <c r="L46" s="60"/>
      <c r="M46" s="68"/>
    </row>
    <row r="47" spans="2:13">
      <c r="B47" s="60"/>
      <c r="C47" s="61"/>
      <c r="D47" s="60"/>
      <c r="E47" s="60"/>
      <c r="F47" s="60"/>
      <c r="G47" s="60"/>
      <c r="H47" s="60"/>
      <c r="I47" s="60"/>
      <c r="J47" s="60"/>
      <c r="K47" s="60"/>
      <c r="L47" s="60"/>
      <c r="M47" s="68"/>
    </row>
    <row r="48" spans="2:13">
      <c r="B48" s="60"/>
      <c r="C48" s="61"/>
      <c r="D48" s="60"/>
      <c r="E48" s="60"/>
      <c r="F48" s="60"/>
      <c r="G48" s="60"/>
      <c r="H48" s="60"/>
      <c r="I48" s="60"/>
      <c r="J48" s="60"/>
      <c r="K48" s="60"/>
      <c r="L48" s="60"/>
      <c r="M48" s="68"/>
    </row>
    <row r="49" spans="2:13">
      <c r="B49" s="60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8"/>
    </row>
    <row r="50" spans="2:13">
      <c r="B50" s="60"/>
      <c r="C50" s="61"/>
      <c r="D50" s="60"/>
      <c r="E50" s="60"/>
      <c r="F50" s="60"/>
      <c r="G50" s="60"/>
      <c r="H50" s="60"/>
      <c r="I50" s="60"/>
      <c r="J50" s="60"/>
      <c r="K50" s="60"/>
      <c r="L50" s="60"/>
      <c r="M50" s="68"/>
    </row>
    <row r="51" spans="2:13">
      <c r="B51" s="60"/>
      <c r="C51" s="61"/>
      <c r="D51" s="60"/>
      <c r="E51" s="60"/>
      <c r="F51" s="60"/>
      <c r="G51" s="60"/>
      <c r="H51" s="60"/>
      <c r="I51" s="60"/>
      <c r="J51" s="60"/>
      <c r="K51" s="60"/>
      <c r="L51" s="60"/>
      <c r="M51" s="68"/>
    </row>
    <row r="52" spans="2:13">
      <c r="B52" s="60"/>
      <c r="C52" s="61"/>
      <c r="D52" s="60"/>
      <c r="E52" s="60"/>
      <c r="F52" s="60"/>
      <c r="G52" s="60"/>
      <c r="H52" s="60"/>
      <c r="I52" s="60"/>
      <c r="J52" s="60"/>
      <c r="K52" s="60"/>
      <c r="L52" s="60"/>
      <c r="M52" s="68"/>
    </row>
    <row r="53" spans="2:13">
      <c r="B53" s="60"/>
      <c r="C53" s="61"/>
      <c r="D53" s="60"/>
      <c r="E53" s="60"/>
      <c r="F53" s="60"/>
      <c r="G53" s="60"/>
      <c r="H53" s="60"/>
      <c r="I53" s="60"/>
      <c r="J53" s="60"/>
      <c r="K53" s="60"/>
      <c r="L53" s="60"/>
      <c r="M53" s="68"/>
    </row>
    <row r="54" spans="2:13">
      <c r="B54" s="60"/>
      <c r="C54" s="61"/>
      <c r="D54" s="60"/>
      <c r="E54" s="60"/>
      <c r="F54" s="60"/>
      <c r="G54" s="60"/>
      <c r="H54" s="60"/>
      <c r="I54" s="60"/>
      <c r="J54" s="60"/>
      <c r="K54" s="60"/>
      <c r="L54" s="60"/>
      <c r="M54" s="68"/>
    </row>
    <row r="55" spans="2:13">
      <c r="B55" s="60"/>
      <c r="C55" s="61"/>
      <c r="D55" s="60"/>
      <c r="E55" s="60"/>
      <c r="F55" s="60"/>
      <c r="G55" s="60"/>
      <c r="H55" s="60"/>
      <c r="I55" s="60"/>
      <c r="J55" s="60"/>
      <c r="K55" s="60"/>
      <c r="L55" s="60"/>
      <c r="M55" s="68"/>
    </row>
    <row r="56" spans="2:13">
      <c r="B56" s="60"/>
      <c r="C56" s="61"/>
      <c r="D56" s="60"/>
      <c r="E56" s="60"/>
      <c r="F56" s="60"/>
      <c r="G56" s="60"/>
      <c r="H56" s="60"/>
      <c r="I56" s="60"/>
      <c r="J56" s="60"/>
      <c r="K56" s="60"/>
      <c r="L56" s="60"/>
      <c r="M56" s="68"/>
    </row>
    <row r="57" spans="2:13">
      <c r="B57" s="60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8"/>
    </row>
    <row r="58" spans="2:13">
      <c r="B58" s="60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8"/>
    </row>
    <row r="59" spans="2:13">
      <c r="B59" s="60"/>
      <c r="C59" s="61"/>
      <c r="D59" s="60"/>
      <c r="E59" s="60"/>
      <c r="F59" s="60"/>
      <c r="G59" s="60"/>
      <c r="H59" s="60"/>
      <c r="I59" s="60"/>
      <c r="J59" s="60"/>
      <c r="K59" s="60"/>
      <c r="L59" s="60"/>
      <c r="M59" s="68"/>
    </row>
    <row r="60" spans="2:13">
      <c r="B60" s="60"/>
      <c r="C60" s="61"/>
      <c r="D60" s="60"/>
      <c r="E60" s="60"/>
      <c r="F60" s="60"/>
      <c r="G60" s="60"/>
      <c r="H60" s="60"/>
      <c r="I60" s="60"/>
      <c r="J60" s="60"/>
      <c r="K60" s="60"/>
      <c r="L60" s="60"/>
      <c r="M60" s="68"/>
    </row>
    <row r="61" spans="2:13">
      <c r="B61" s="60"/>
      <c r="C61" s="61"/>
      <c r="D61" s="60"/>
      <c r="E61" s="60"/>
      <c r="F61" s="60"/>
      <c r="G61" s="60"/>
      <c r="H61" s="60"/>
      <c r="I61" s="60"/>
      <c r="J61" s="60"/>
      <c r="K61" s="60"/>
      <c r="L61" s="60"/>
      <c r="M61" s="68"/>
    </row>
    <row r="62" spans="2:13">
      <c r="B62" s="60"/>
      <c r="C62" s="61"/>
      <c r="D62" s="60"/>
      <c r="E62" s="60"/>
      <c r="F62" s="60"/>
      <c r="G62" s="60"/>
      <c r="H62" s="60"/>
      <c r="I62" s="60"/>
      <c r="J62" s="60"/>
      <c r="K62" s="60"/>
      <c r="L62" s="60"/>
      <c r="M62" s="68"/>
    </row>
    <row r="63" spans="2:13">
      <c r="B63" s="60"/>
      <c r="C63" s="61"/>
      <c r="D63" s="60"/>
      <c r="E63" s="60"/>
      <c r="F63" s="60"/>
      <c r="G63" s="60"/>
      <c r="H63" s="60"/>
      <c r="I63" s="60"/>
      <c r="J63" s="60"/>
      <c r="K63" s="60"/>
      <c r="L63" s="60"/>
      <c r="M63" s="68"/>
    </row>
    <row r="64" spans="2:13">
      <c r="B64" s="60"/>
      <c r="C64" s="61"/>
      <c r="D64" s="60"/>
      <c r="E64" s="60"/>
      <c r="F64" s="60"/>
      <c r="G64" s="60"/>
      <c r="H64" s="60"/>
      <c r="I64" s="60"/>
      <c r="J64" s="60"/>
      <c r="K64" s="60"/>
      <c r="L64" s="60"/>
      <c r="M64" s="68"/>
    </row>
    <row r="65" spans="2:13">
      <c r="B65" s="60"/>
      <c r="C65" s="61"/>
      <c r="D65" s="60"/>
      <c r="E65" s="60"/>
      <c r="F65" s="60"/>
      <c r="G65" s="60"/>
      <c r="H65" s="60"/>
      <c r="I65" s="60"/>
      <c r="J65" s="60"/>
      <c r="K65" s="60"/>
      <c r="L65" s="60"/>
      <c r="M65" s="68"/>
    </row>
    <row r="66" spans="2:13">
      <c r="B66" s="60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8"/>
    </row>
    <row r="67" spans="2:13">
      <c r="B67" s="60"/>
      <c r="C67" s="61"/>
      <c r="D67" s="60"/>
      <c r="E67" s="60"/>
      <c r="F67" s="60"/>
      <c r="G67" s="60"/>
      <c r="H67" s="60"/>
      <c r="I67" s="60"/>
      <c r="J67" s="60"/>
      <c r="K67" s="60"/>
      <c r="L67" s="60"/>
      <c r="M67" s="68"/>
    </row>
    <row r="68" spans="2:13">
      <c r="B68" s="60"/>
      <c r="C68" s="61"/>
      <c r="D68" s="60"/>
      <c r="E68" s="60"/>
      <c r="F68" s="60"/>
      <c r="G68" s="60"/>
      <c r="H68" s="60"/>
      <c r="I68" s="60"/>
      <c r="J68" s="60"/>
      <c r="K68" s="60"/>
      <c r="L68" s="60"/>
      <c r="M68" s="68"/>
    </row>
    <row r="69" spans="2:13">
      <c r="B69" s="60"/>
      <c r="C69" s="61"/>
      <c r="D69" s="60"/>
      <c r="E69" s="60"/>
      <c r="F69" s="60"/>
      <c r="G69" s="60"/>
      <c r="H69" s="60"/>
      <c r="I69" s="60"/>
      <c r="J69" s="60"/>
      <c r="K69" s="60"/>
      <c r="L69" s="60"/>
      <c r="M69" s="68"/>
    </row>
    <row r="70" spans="2:13">
      <c r="B70" s="60"/>
      <c r="C70" s="61"/>
      <c r="D70" s="60"/>
      <c r="E70" s="60"/>
      <c r="F70" s="60"/>
      <c r="G70" s="60"/>
      <c r="H70" s="60"/>
      <c r="I70" s="60"/>
      <c r="J70" s="60"/>
      <c r="K70" s="60"/>
      <c r="L70" s="60"/>
      <c r="M70" s="68"/>
    </row>
    <row r="71" spans="2:13">
      <c r="B71" s="60"/>
      <c r="C71" s="61"/>
      <c r="D71" s="60"/>
      <c r="E71" s="60"/>
      <c r="F71" s="60"/>
      <c r="G71" s="60"/>
      <c r="H71" s="60"/>
      <c r="I71" s="60"/>
      <c r="J71" s="60"/>
      <c r="K71" s="60"/>
      <c r="L71" s="60"/>
      <c r="M71" s="68"/>
    </row>
    <row r="72" spans="2:13">
      <c r="B72" s="60"/>
      <c r="C72" s="61"/>
      <c r="D72" s="60"/>
      <c r="E72" s="60"/>
      <c r="F72" s="60"/>
      <c r="G72" s="60"/>
      <c r="H72" s="60"/>
      <c r="I72" s="60"/>
      <c r="J72" s="60"/>
      <c r="K72" s="60"/>
      <c r="L72" s="60"/>
      <c r="M72" s="68"/>
    </row>
    <row r="73" spans="2:13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9"/>
    </row>
    <row r="74" spans="2:13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9"/>
    </row>
    <row r="75" spans="2:13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9"/>
    </row>
    <row r="76" spans="2:13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9"/>
    </row>
    <row r="77" spans="2:13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9"/>
    </row>
    <row r="78" spans="2:13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9"/>
    </row>
    <row r="79" spans="2:13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9"/>
    </row>
    <row r="80" spans="2:13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9"/>
    </row>
    <row r="81" spans="2:13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9"/>
    </row>
    <row r="82" spans="2:13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9"/>
    </row>
    <row r="83" spans="2:13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9"/>
    </row>
    <row r="84" spans="2:13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9"/>
    </row>
    <row r="85" spans="2:13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9"/>
    </row>
  </sheetData>
  <mergeCells count="11">
    <mergeCell ref="B12:B15"/>
    <mergeCell ref="A5:M5"/>
    <mergeCell ref="D7:D8"/>
    <mergeCell ref="E7:F7"/>
    <mergeCell ref="G7:H7"/>
    <mergeCell ref="I7:J7"/>
    <mergeCell ref="K7:L7"/>
    <mergeCell ref="A7:A8"/>
    <mergeCell ref="B7:B8"/>
    <mergeCell ref="C7:C8"/>
    <mergeCell ref="M7:M8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N90"/>
  <sheetViews>
    <sheetView tabSelected="1" view="pageBreakPreview" zoomScaleNormal="60" zoomScaleSheetLayoutView="100" workbookViewId="0">
      <selection activeCell="L17" sqref="L17"/>
    </sheetView>
  </sheetViews>
  <sheetFormatPr defaultRowHeight="12.75"/>
  <cols>
    <col min="1" max="1" width="5.7109375" style="67" customWidth="1"/>
    <col min="2" max="2" width="12.7109375" style="48" customWidth="1"/>
    <col min="3" max="3" width="51.28515625" style="48" customWidth="1"/>
    <col min="4" max="4" width="9.42578125" style="48" customWidth="1"/>
    <col min="5" max="12" width="9.28515625" style="48" customWidth="1"/>
    <col min="13" max="13" width="11.7109375" style="70" customWidth="1"/>
    <col min="14" max="14" width="8.7109375" style="34" bestFit="1" customWidth="1"/>
    <col min="15" max="15" width="20.7109375" style="34" customWidth="1"/>
    <col min="16" max="16384" width="9.140625" style="34"/>
  </cols>
  <sheetData>
    <row r="1" spans="1:13" s="88" customFormat="1">
      <c r="A1" s="297" t="s">
        <v>309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s="88" customFormat="1">
      <c r="A2" s="90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51" customFormat="1" ht="25.5" customHeight="1">
      <c r="A3" s="296" t="s">
        <v>336</v>
      </c>
      <c r="B3" s="295" t="s">
        <v>337</v>
      </c>
      <c r="C3" s="295" t="s">
        <v>338</v>
      </c>
      <c r="D3" s="295" t="s">
        <v>339</v>
      </c>
      <c r="E3" s="296" t="s">
        <v>340</v>
      </c>
      <c r="F3" s="296"/>
      <c r="G3" s="295" t="s">
        <v>341</v>
      </c>
      <c r="H3" s="295"/>
      <c r="I3" s="295" t="s">
        <v>6</v>
      </c>
      <c r="J3" s="295"/>
      <c r="K3" s="296" t="s">
        <v>342</v>
      </c>
      <c r="L3" s="296"/>
      <c r="M3" s="296" t="s">
        <v>4</v>
      </c>
    </row>
    <row r="4" spans="1:13" s="51" customFormat="1">
      <c r="A4" s="296"/>
      <c r="B4" s="295"/>
      <c r="C4" s="295"/>
      <c r="D4" s="295"/>
      <c r="E4" s="75" t="s">
        <v>343</v>
      </c>
      <c r="F4" s="75" t="s">
        <v>243</v>
      </c>
      <c r="G4" s="75" t="s">
        <v>343</v>
      </c>
      <c r="H4" s="75" t="s">
        <v>243</v>
      </c>
      <c r="I4" s="75" t="s">
        <v>343</v>
      </c>
      <c r="J4" s="75" t="s">
        <v>243</v>
      </c>
      <c r="K4" s="75" t="s">
        <v>343</v>
      </c>
      <c r="L4" s="75" t="s">
        <v>243</v>
      </c>
      <c r="M4" s="296"/>
    </row>
    <row r="5" spans="1:13" s="51" customFormat="1">
      <c r="A5" s="75">
        <v>1</v>
      </c>
      <c r="B5" s="75">
        <v>2</v>
      </c>
      <c r="C5" s="76">
        <v>3</v>
      </c>
      <c r="D5" s="75">
        <v>4</v>
      </c>
      <c r="E5" s="75">
        <v>5</v>
      </c>
      <c r="F5" s="75">
        <v>6</v>
      </c>
      <c r="G5" s="75">
        <v>7</v>
      </c>
      <c r="H5" s="77">
        <v>8</v>
      </c>
      <c r="I5" s="75">
        <v>9</v>
      </c>
      <c r="J5" s="77">
        <v>10</v>
      </c>
      <c r="K5" s="75">
        <v>11</v>
      </c>
      <c r="L5" s="77">
        <v>12</v>
      </c>
      <c r="M5" s="77">
        <v>13</v>
      </c>
    </row>
    <row r="6" spans="1:13" s="51" customFormat="1">
      <c r="A6" s="75"/>
      <c r="B6" s="75"/>
      <c r="C6" s="76"/>
      <c r="D6" s="75"/>
      <c r="E6" s="75"/>
      <c r="F6" s="75"/>
      <c r="G6" s="75"/>
      <c r="H6" s="77"/>
      <c r="I6" s="75"/>
      <c r="J6" s="77"/>
      <c r="K6" s="75"/>
      <c r="L6" s="77"/>
      <c r="M6" s="77"/>
    </row>
    <row r="7" spans="1:13" s="51" customFormat="1">
      <c r="A7" s="37"/>
      <c r="B7" s="40"/>
      <c r="C7" s="39" t="s">
        <v>55</v>
      </c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3" s="51" customFormat="1">
      <c r="A8" s="37"/>
      <c r="B8" s="40"/>
      <c r="C8" s="39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3" ht="25.5">
      <c r="A9" s="40">
        <v>1.1000000000000001</v>
      </c>
      <c r="B9" s="57" t="s">
        <v>79</v>
      </c>
      <c r="C9" s="89" t="s">
        <v>78</v>
      </c>
      <c r="D9" s="40" t="s">
        <v>349</v>
      </c>
      <c r="E9" s="46"/>
      <c r="F9" s="46">
        <v>282</v>
      </c>
      <c r="G9" s="46"/>
      <c r="H9" s="46"/>
      <c r="I9" s="46"/>
      <c r="J9" s="46"/>
      <c r="K9" s="46"/>
      <c r="L9" s="46"/>
      <c r="M9" s="46"/>
    </row>
    <row r="10" spans="1:13">
      <c r="A10" s="40"/>
      <c r="B10" s="57"/>
      <c r="C10" s="89"/>
      <c r="D10" s="40" t="s">
        <v>350</v>
      </c>
      <c r="E10" s="46"/>
      <c r="F10" s="80">
        <f>F9/1000</f>
        <v>0.28199999999999997</v>
      </c>
      <c r="G10" s="46"/>
      <c r="H10" s="46"/>
      <c r="I10" s="46"/>
      <c r="J10" s="46"/>
      <c r="K10" s="46"/>
      <c r="L10" s="46"/>
      <c r="M10" s="46"/>
    </row>
    <row r="11" spans="1:13">
      <c r="A11" s="40" t="s">
        <v>0</v>
      </c>
      <c r="B11" s="57"/>
      <c r="C11" s="89" t="s">
        <v>15</v>
      </c>
      <c r="D11" s="40" t="s">
        <v>1</v>
      </c>
      <c r="E11" s="46">
        <v>20</v>
      </c>
      <c r="F11" s="46">
        <f>E11*F10</f>
        <v>5.64</v>
      </c>
      <c r="G11" s="46"/>
      <c r="H11" s="46"/>
      <c r="I11" s="46"/>
      <c r="J11" s="46"/>
      <c r="K11" s="46"/>
      <c r="L11" s="46"/>
      <c r="M11" s="46"/>
    </row>
    <row r="12" spans="1:13">
      <c r="A12" s="40" t="s">
        <v>185</v>
      </c>
      <c r="B12" s="81" t="s">
        <v>357</v>
      </c>
      <c r="C12" s="79" t="s">
        <v>356</v>
      </c>
      <c r="D12" s="40" t="s">
        <v>24</v>
      </c>
      <c r="E12" s="46">
        <v>44.8</v>
      </c>
      <c r="F12" s="46">
        <f>E12*F10</f>
        <v>12.633599999999998</v>
      </c>
      <c r="G12" s="46"/>
      <c r="H12" s="46"/>
      <c r="I12" s="46"/>
      <c r="J12" s="46"/>
      <c r="K12" s="46"/>
      <c r="L12" s="46"/>
      <c r="M12" s="46"/>
    </row>
    <row r="13" spans="1:13">
      <c r="A13" s="40" t="s">
        <v>186</v>
      </c>
      <c r="B13" s="57"/>
      <c r="C13" s="89" t="s">
        <v>13</v>
      </c>
      <c r="D13" s="40" t="s">
        <v>25</v>
      </c>
      <c r="E13" s="46">
        <v>2.1</v>
      </c>
      <c r="F13" s="46">
        <f>E13*F10</f>
        <v>0.59219999999999995</v>
      </c>
      <c r="G13" s="46"/>
      <c r="H13" s="46"/>
      <c r="I13" s="46"/>
      <c r="J13" s="46"/>
      <c r="K13" s="46"/>
      <c r="L13" s="46"/>
      <c r="M13" s="46"/>
    </row>
    <row r="14" spans="1:13">
      <c r="A14" s="40" t="s">
        <v>187</v>
      </c>
      <c r="B14" s="81" t="s">
        <v>353</v>
      </c>
      <c r="C14" s="82" t="s">
        <v>352</v>
      </c>
      <c r="D14" s="40" t="s">
        <v>349</v>
      </c>
      <c r="E14" s="46">
        <v>0.05</v>
      </c>
      <c r="F14" s="46">
        <f>E14*F10</f>
        <v>1.41E-2</v>
      </c>
      <c r="G14" s="84"/>
      <c r="H14" s="46"/>
      <c r="I14" s="46"/>
      <c r="J14" s="46"/>
      <c r="K14" s="46"/>
      <c r="L14" s="46"/>
      <c r="M14" s="46"/>
    </row>
    <row r="15" spans="1:13">
      <c r="A15" s="40"/>
      <c r="B15" s="57"/>
      <c r="C15" s="89"/>
      <c r="D15" s="40"/>
      <c r="E15" s="46"/>
      <c r="F15" s="46"/>
      <c r="G15" s="46"/>
      <c r="H15" s="46"/>
      <c r="I15" s="46"/>
      <c r="J15" s="46"/>
      <c r="K15" s="46"/>
      <c r="L15" s="46"/>
      <c r="M15" s="46"/>
    </row>
    <row r="16" spans="1:13">
      <c r="A16" s="40">
        <v>1.2</v>
      </c>
      <c r="B16" s="57" t="s">
        <v>348</v>
      </c>
      <c r="C16" s="89" t="s">
        <v>31</v>
      </c>
      <c r="D16" s="40" t="s">
        <v>23</v>
      </c>
      <c r="E16" s="46"/>
      <c r="F16" s="46">
        <f>F10*1000*1.95</f>
        <v>549.9</v>
      </c>
      <c r="G16" s="46"/>
      <c r="H16" s="46"/>
      <c r="I16" s="46"/>
      <c r="J16" s="46"/>
      <c r="K16" s="84"/>
      <c r="L16" s="46"/>
      <c r="M16" s="46"/>
    </row>
    <row r="17" spans="1:14">
      <c r="A17" s="40"/>
      <c r="B17" s="57"/>
      <c r="C17" s="89"/>
      <c r="D17" s="40"/>
      <c r="E17" s="46"/>
      <c r="F17" s="46"/>
      <c r="G17" s="46"/>
      <c r="H17" s="46"/>
      <c r="I17" s="46"/>
      <c r="J17" s="46"/>
      <c r="K17" s="46"/>
      <c r="L17" s="46"/>
      <c r="M17" s="46"/>
    </row>
    <row r="18" spans="1:14">
      <c r="A18" s="40">
        <v>1.3</v>
      </c>
      <c r="B18" s="57" t="s">
        <v>81</v>
      </c>
      <c r="C18" s="89" t="s">
        <v>80</v>
      </c>
      <c r="D18" s="40" t="s">
        <v>349</v>
      </c>
      <c r="E18" s="46"/>
      <c r="F18" s="46">
        <f>F9</f>
        <v>282</v>
      </c>
      <c r="G18" s="46"/>
      <c r="H18" s="46"/>
      <c r="I18" s="46"/>
      <c r="J18" s="46"/>
      <c r="K18" s="46"/>
      <c r="L18" s="46"/>
      <c r="M18" s="46"/>
    </row>
    <row r="19" spans="1:14">
      <c r="A19" s="40"/>
      <c r="B19" s="57"/>
      <c r="C19" s="89"/>
      <c r="D19" s="40" t="s">
        <v>350</v>
      </c>
      <c r="E19" s="46"/>
      <c r="F19" s="80">
        <f>F18/1000</f>
        <v>0.28199999999999997</v>
      </c>
      <c r="G19" s="46"/>
      <c r="H19" s="46"/>
      <c r="I19" s="46"/>
      <c r="J19" s="46"/>
      <c r="K19" s="46"/>
      <c r="L19" s="46"/>
      <c r="M19" s="46"/>
    </row>
    <row r="20" spans="1:14">
      <c r="A20" s="40" t="s">
        <v>30</v>
      </c>
      <c r="B20" s="57"/>
      <c r="C20" s="89" t="s">
        <v>15</v>
      </c>
      <c r="D20" s="40" t="s">
        <v>1</v>
      </c>
      <c r="E20" s="46">
        <v>3.23</v>
      </c>
      <c r="F20" s="46">
        <f>E20*F19</f>
        <v>0.91085999999999989</v>
      </c>
      <c r="G20" s="46"/>
      <c r="H20" s="46"/>
      <c r="I20" s="46"/>
      <c r="J20" s="46"/>
      <c r="K20" s="46"/>
      <c r="L20" s="46"/>
      <c r="M20" s="46"/>
    </row>
    <row r="21" spans="1:14">
      <c r="A21" s="40" t="s">
        <v>44</v>
      </c>
      <c r="B21" s="81" t="s">
        <v>358</v>
      </c>
      <c r="C21" s="89" t="s">
        <v>82</v>
      </c>
      <c r="D21" s="40" t="s">
        <v>24</v>
      </c>
      <c r="E21" s="46">
        <v>3.62</v>
      </c>
      <c r="F21" s="46">
        <f>E21*F19</f>
        <v>1.02084</v>
      </c>
      <c r="G21" s="46"/>
      <c r="H21" s="46"/>
      <c r="I21" s="46"/>
      <c r="J21" s="46"/>
      <c r="K21" s="84"/>
      <c r="L21" s="46"/>
      <c r="M21" s="46"/>
    </row>
    <row r="22" spans="1:14">
      <c r="A22" s="40" t="s">
        <v>45</v>
      </c>
      <c r="B22" s="57"/>
      <c r="C22" s="89" t="s">
        <v>13</v>
      </c>
      <c r="D22" s="40" t="s">
        <v>25</v>
      </c>
      <c r="E22" s="46">
        <v>0.18</v>
      </c>
      <c r="F22" s="46">
        <f>E22*F19</f>
        <v>5.0759999999999993E-2</v>
      </c>
      <c r="G22" s="46"/>
      <c r="H22" s="46"/>
      <c r="I22" s="46"/>
      <c r="J22" s="46"/>
      <c r="K22" s="46"/>
      <c r="L22" s="46"/>
      <c r="M22" s="46"/>
    </row>
    <row r="23" spans="1:14">
      <c r="A23" s="40" t="s">
        <v>46</v>
      </c>
      <c r="B23" s="81" t="s">
        <v>353</v>
      </c>
      <c r="C23" s="82" t="s">
        <v>352</v>
      </c>
      <c r="D23" s="40" t="s">
        <v>349</v>
      </c>
      <c r="E23" s="46">
        <v>0.04</v>
      </c>
      <c r="F23" s="46">
        <f>E23*F19</f>
        <v>1.1279999999999998E-2</v>
      </c>
      <c r="G23" s="84"/>
      <c r="H23" s="46"/>
      <c r="I23" s="46"/>
      <c r="J23" s="46"/>
      <c r="K23" s="46"/>
      <c r="L23" s="46"/>
      <c r="M23" s="46"/>
    </row>
    <row r="24" spans="1:14">
      <c r="A24" s="40"/>
      <c r="B24" s="57"/>
      <c r="C24" s="89"/>
      <c r="D24" s="40"/>
      <c r="E24" s="46"/>
      <c r="F24" s="46"/>
      <c r="G24" s="46"/>
      <c r="H24" s="46"/>
      <c r="I24" s="46"/>
      <c r="J24" s="46"/>
      <c r="K24" s="46"/>
      <c r="L24" s="46"/>
      <c r="M24" s="46"/>
    </row>
    <row r="25" spans="1:14">
      <c r="A25" s="54">
        <v>1.4</v>
      </c>
      <c r="B25" s="57" t="s">
        <v>108</v>
      </c>
      <c r="C25" s="89" t="s">
        <v>110</v>
      </c>
      <c r="D25" s="40" t="s">
        <v>359</v>
      </c>
      <c r="E25" s="46"/>
      <c r="F25" s="84">
        <v>15600</v>
      </c>
      <c r="G25" s="46"/>
      <c r="H25" s="46"/>
      <c r="I25" s="46"/>
      <c r="J25" s="46"/>
      <c r="K25" s="46"/>
      <c r="L25" s="46"/>
      <c r="M25" s="46"/>
      <c r="N25" s="44"/>
    </row>
    <row r="26" spans="1:14">
      <c r="A26" s="54"/>
      <c r="B26" s="57"/>
      <c r="C26" s="89"/>
      <c r="D26" s="83" t="s">
        <v>360</v>
      </c>
      <c r="E26" s="84"/>
      <c r="F26" s="91">
        <f>F25/10000</f>
        <v>1.56</v>
      </c>
      <c r="G26" s="46"/>
      <c r="H26" s="46"/>
      <c r="I26" s="46"/>
      <c r="J26" s="46"/>
      <c r="K26" s="46"/>
      <c r="L26" s="46"/>
      <c r="M26" s="46"/>
      <c r="N26" s="44"/>
    </row>
    <row r="27" spans="1:14">
      <c r="A27" s="40" t="s">
        <v>22</v>
      </c>
      <c r="B27" s="57"/>
      <c r="C27" s="89" t="s">
        <v>15</v>
      </c>
      <c r="D27" s="40" t="s">
        <v>1</v>
      </c>
      <c r="E27" s="46">
        <v>0.31</v>
      </c>
      <c r="F27" s="46">
        <f>E27*F26</f>
        <v>0.48360000000000003</v>
      </c>
      <c r="G27" s="46"/>
      <c r="H27" s="46"/>
      <c r="I27" s="46"/>
      <c r="J27" s="46"/>
      <c r="K27" s="46"/>
      <c r="L27" s="46"/>
      <c r="M27" s="46"/>
    </row>
    <row r="28" spans="1:14">
      <c r="A28" s="40" t="s">
        <v>213</v>
      </c>
      <c r="B28" s="81" t="s">
        <v>361</v>
      </c>
      <c r="C28" s="89" t="s">
        <v>109</v>
      </c>
      <c r="D28" s="40" t="s">
        <v>24</v>
      </c>
      <c r="E28" s="46">
        <v>1.1200000000000001</v>
      </c>
      <c r="F28" s="46">
        <f>E28*F26</f>
        <v>1.7472000000000003</v>
      </c>
      <c r="G28" s="46"/>
      <c r="H28" s="46"/>
      <c r="I28" s="46"/>
      <c r="J28" s="46"/>
      <c r="K28" s="84"/>
      <c r="L28" s="46"/>
      <c r="M28" s="46"/>
    </row>
    <row r="29" spans="1:14">
      <c r="A29" s="40"/>
      <c r="B29" s="57"/>
      <c r="C29" s="89"/>
      <c r="D29" s="40"/>
      <c r="E29" s="46"/>
      <c r="F29" s="46"/>
      <c r="G29" s="46"/>
      <c r="H29" s="46"/>
      <c r="I29" s="46"/>
      <c r="J29" s="46"/>
      <c r="K29" s="46"/>
      <c r="L29" s="46"/>
      <c r="M29" s="46"/>
    </row>
    <row r="30" spans="1:14" s="86" customFormat="1">
      <c r="A30" s="37"/>
      <c r="B30" s="85"/>
      <c r="C30" s="37" t="s">
        <v>4</v>
      </c>
      <c r="D30" s="37"/>
      <c r="E30" s="47"/>
      <c r="F30" s="47"/>
      <c r="G30" s="47"/>
      <c r="H30" s="47"/>
      <c r="I30" s="47"/>
      <c r="J30" s="47"/>
      <c r="K30" s="47"/>
      <c r="L30" s="47"/>
      <c r="M30" s="47"/>
    </row>
    <row r="31" spans="1:14" s="66" customFormat="1">
      <c r="A31" s="40"/>
      <c r="B31" s="57"/>
      <c r="C31" s="40"/>
      <c r="D31" s="40"/>
      <c r="E31" s="46"/>
      <c r="F31" s="46"/>
      <c r="G31" s="46"/>
      <c r="H31" s="46"/>
      <c r="I31" s="46"/>
      <c r="J31" s="46"/>
      <c r="K31" s="46"/>
      <c r="L31" s="46"/>
      <c r="M31" s="46"/>
    </row>
    <row r="32" spans="1:14" s="66" customFormat="1">
      <c r="A32" s="40"/>
      <c r="B32" s="57"/>
      <c r="C32" s="40" t="s">
        <v>10</v>
      </c>
      <c r="D32" s="78">
        <v>0.1</v>
      </c>
      <c r="E32" s="46"/>
      <c r="F32" s="46"/>
      <c r="G32" s="46"/>
      <c r="H32" s="46"/>
      <c r="I32" s="46"/>
      <c r="J32" s="46"/>
      <c r="K32" s="46"/>
      <c r="L32" s="46"/>
      <c r="M32" s="46"/>
    </row>
    <row r="33" spans="1:13" s="66" customFormat="1">
      <c r="A33" s="40"/>
      <c r="B33" s="57"/>
      <c r="C33" s="40" t="s">
        <v>4</v>
      </c>
      <c r="D33" s="78"/>
      <c r="E33" s="46"/>
      <c r="F33" s="46"/>
      <c r="G33" s="46"/>
      <c r="H33" s="46"/>
      <c r="I33" s="46"/>
      <c r="J33" s="46"/>
      <c r="K33" s="46"/>
      <c r="L33" s="46"/>
      <c r="M33" s="46"/>
    </row>
    <row r="34" spans="1:13" s="66" customFormat="1">
      <c r="A34" s="40"/>
      <c r="B34" s="57"/>
      <c r="C34" s="40" t="s">
        <v>11</v>
      </c>
      <c r="D34" s="78">
        <v>0.08</v>
      </c>
      <c r="E34" s="46"/>
      <c r="F34" s="46"/>
      <c r="G34" s="46"/>
      <c r="H34" s="46"/>
      <c r="I34" s="46"/>
      <c r="J34" s="46"/>
      <c r="K34" s="46"/>
      <c r="L34" s="46"/>
      <c r="M34" s="46"/>
    </row>
    <row r="35" spans="1:13" s="66" customFormat="1">
      <c r="A35" s="40"/>
      <c r="B35" s="57"/>
      <c r="C35" s="40"/>
      <c r="D35" s="78"/>
      <c r="E35" s="46"/>
      <c r="F35" s="46"/>
      <c r="G35" s="46"/>
      <c r="H35" s="46"/>
      <c r="I35" s="46"/>
      <c r="J35" s="46"/>
      <c r="K35" s="46"/>
      <c r="L35" s="46"/>
      <c r="M35" s="46"/>
    </row>
    <row r="36" spans="1:13" s="66" customFormat="1">
      <c r="A36" s="37"/>
      <c r="B36" s="57"/>
      <c r="C36" s="37" t="s">
        <v>4</v>
      </c>
      <c r="D36" s="37"/>
      <c r="E36" s="47"/>
      <c r="F36" s="47"/>
      <c r="G36" s="47"/>
      <c r="H36" s="47"/>
      <c r="I36" s="47"/>
      <c r="J36" s="47"/>
      <c r="K36" s="47"/>
      <c r="L36" s="47"/>
      <c r="M36" s="47"/>
    </row>
    <row r="37" spans="1:13">
      <c r="B37" s="60"/>
      <c r="C37" s="61"/>
      <c r="D37" s="60"/>
      <c r="E37" s="60"/>
      <c r="F37" s="60"/>
      <c r="G37" s="60"/>
      <c r="H37" s="60"/>
      <c r="I37" s="60"/>
      <c r="J37" s="60"/>
      <c r="K37" s="60"/>
      <c r="L37" s="60"/>
      <c r="M37" s="68"/>
    </row>
    <row r="38" spans="1:13">
      <c r="B38" s="60"/>
      <c r="C38" s="61"/>
      <c r="D38" s="60"/>
      <c r="E38" s="60"/>
      <c r="F38" s="60"/>
      <c r="G38" s="60"/>
      <c r="H38" s="60"/>
      <c r="I38" s="60"/>
      <c r="J38" s="60"/>
      <c r="K38" s="60"/>
      <c r="L38" s="60"/>
      <c r="M38" s="68"/>
    </row>
    <row r="39" spans="1:13">
      <c r="B39" s="60"/>
      <c r="C39" s="61"/>
      <c r="D39" s="60"/>
      <c r="E39" s="60"/>
      <c r="F39" s="60"/>
      <c r="G39" s="60"/>
      <c r="H39" s="60"/>
      <c r="I39" s="60"/>
      <c r="J39" s="60"/>
      <c r="K39" s="60"/>
      <c r="L39" s="60"/>
      <c r="M39" s="68"/>
    </row>
    <row r="40" spans="1:13">
      <c r="B40" s="60"/>
      <c r="C40" s="61"/>
      <c r="D40" s="60"/>
      <c r="E40" s="60"/>
      <c r="F40" s="60"/>
      <c r="G40" s="60"/>
      <c r="H40" s="60"/>
      <c r="I40" s="60"/>
      <c r="J40" s="60"/>
      <c r="K40" s="60"/>
      <c r="L40" s="60"/>
      <c r="M40" s="68"/>
    </row>
    <row r="41" spans="1:13">
      <c r="B41" s="60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8"/>
    </row>
    <row r="42" spans="1:13">
      <c r="B42" s="60"/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8"/>
    </row>
    <row r="43" spans="1:13">
      <c r="B43" s="60"/>
      <c r="C43" s="61"/>
      <c r="D43" s="60"/>
      <c r="E43" s="60"/>
      <c r="F43" s="60"/>
      <c r="G43" s="60"/>
      <c r="H43" s="60"/>
      <c r="I43" s="60"/>
      <c r="J43" s="60"/>
      <c r="K43" s="60"/>
      <c r="L43" s="60"/>
      <c r="M43" s="68"/>
    </row>
    <row r="44" spans="1:13">
      <c r="B44" s="60"/>
      <c r="C44" s="61"/>
      <c r="D44" s="60"/>
      <c r="E44" s="60"/>
      <c r="F44" s="60"/>
      <c r="G44" s="60"/>
      <c r="H44" s="60"/>
      <c r="I44" s="60"/>
      <c r="J44" s="60"/>
      <c r="K44" s="60"/>
      <c r="L44" s="60"/>
      <c r="M44" s="68"/>
    </row>
    <row r="45" spans="1:13">
      <c r="B45" s="60"/>
      <c r="C45" s="61"/>
      <c r="D45" s="60"/>
      <c r="E45" s="60"/>
      <c r="F45" s="60"/>
      <c r="G45" s="60"/>
      <c r="H45" s="60"/>
      <c r="I45" s="60"/>
      <c r="J45" s="60"/>
      <c r="K45" s="60"/>
      <c r="L45" s="60"/>
      <c r="M45" s="68"/>
    </row>
    <row r="46" spans="1:13">
      <c r="B46" s="60"/>
      <c r="C46" s="61"/>
      <c r="D46" s="60"/>
      <c r="E46" s="60"/>
      <c r="F46" s="60"/>
      <c r="G46" s="60"/>
      <c r="H46" s="60"/>
      <c r="I46" s="60"/>
      <c r="J46" s="60"/>
      <c r="K46" s="60"/>
      <c r="L46" s="60"/>
      <c r="M46" s="68"/>
    </row>
    <row r="47" spans="1:13">
      <c r="B47" s="60"/>
      <c r="C47" s="61"/>
      <c r="D47" s="60"/>
      <c r="E47" s="60"/>
      <c r="F47" s="60"/>
      <c r="G47" s="60"/>
      <c r="H47" s="60"/>
      <c r="I47" s="60"/>
      <c r="J47" s="60"/>
      <c r="K47" s="60"/>
      <c r="L47" s="60"/>
      <c r="M47" s="68"/>
    </row>
    <row r="48" spans="1:13">
      <c r="B48" s="60"/>
      <c r="C48" s="61"/>
      <c r="D48" s="60"/>
      <c r="E48" s="60"/>
      <c r="F48" s="60"/>
      <c r="G48" s="60"/>
      <c r="H48" s="60"/>
      <c r="I48" s="60"/>
      <c r="J48" s="60"/>
      <c r="K48" s="60"/>
      <c r="L48" s="60"/>
      <c r="M48" s="68"/>
    </row>
    <row r="49" spans="2:13">
      <c r="B49" s="60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8"/>
    </row>
    <row r="50" spans="2:13">
      <c r="B50" s="60"/>
      <c r="C50" s="61"/>
      <c r="D50" s="60"/>
      <c r="E50" s="60"/>
      <c r="F50" s="60"/>
      <c r="G50" s="60"/>
      <c r="H50" s="60"/>
      <c r="I50" s="60"/>
      <c r="J50" s="60"/>
      <c r="K50" s="60"/>
      <c r="L50" s="60"/>
      <c r="M50" s="68"/>
    </row>
    <row r="51" spans="2:13">
      <c r="B51" s="60"/>
      <c r="C51" s="61"/>
      <c r="D51" s="60"/>
      <c r="E51" s="60"/>
      <c r="F51" s="60"/>
      <c r="G51" s="60"/>
      <c r="H51" s="60"/>
      <c r="I51" s="60"/>
      <c r="J51" s="60"/>
      <c r="K51" s="60"/>
      <c r="L51" s="60"/>
      <c r="M51" s="68"/>
    </row>
    <row r="52" spans="2:13">
      <c r="B52" s="60"/>
      <c r="C52" s="61"/>
      <c r="D52" s="60"/>
      <c r="E52" s="60"/>
      <c r="F52" s="60"/>
      <c r="G52" s="60"/>
      <c r="H52" s="60"/>
      <c r="I52" s="60"/>
      <c r="J52" s="60"/>
      <c r="K52" s="60"/>
      <c r="L52" s="60"/>
      <c r="M52" s="68"/>
    </row>
    <row r="53" spans="2:13">
      <c r="B53" s="60"/>
      <c r="C53" s="61"/>
      <c r="D53" s="60"/>
      <c r="E53" s="60"/>
      <c r="F53" s="60"/>
      <c r="G53" s="60"/>
      <c r="H53" s="60"/>
      <c r="I53" s="60"/>
      <c r="J53" s="60"/>
      <c r="K53" s="60"/>
      <c r="L53" s="60"/>
      <c r="M53" s="68"/>
    </row>
    <row r="54" spans="2:13">
      <c r="B54" s="60"/>
      <c r="C54" s="61"/>
      <c r="D54" s="60"/>
      <c r="E54" s="60"/>
      <c r="F54" s="60"/>
      <c r="G54" s="60"/>
      <c r="H54" s="60"/>
      <c r="I54" s="60"/>
      <c r="J54" s="60"/>
      <c r="K54" s="60"/>
      <c r="L54" s="60"/>
      <c r="M54" s="68"/>
    </row>
    <row r="55" spans="2:13">
      <c r="B55" s="60"/>
      <c r="C55" s="61"/>
      <c r="D55" s="60"/>
      <c r="E55" s="60"/>
      <c r="F55" s="60"/>
      <c r="G55" s="60"/>
      <c r="H55" s="60"/>
      <c r="I55" s="60"/>
      <c r="J55" s="60"/>
      <c r="K55" s="60"/>
      <c r="L55" s="60"/>
      <c r="M55" s="68"/>
    </row>
    <row r="56" spans="2:13">
      <c r="B56" s="60"/>
      <c r="C56" s="61"/>
      <c r="D56" s="60"/>
      <c r="E56" s="60"/>
      <c r="F56" s="60"/>
      <c r="G56" s="60"/>
      <c r="H56" s="60"/>
      <c r="I56" s="60"/>
      <c r="J56" s="60"/>
      <c r="K56" s="60"/>
      <c r="L56" s="60"/>
      <c r="M56" s="68"/>
    </row>
    <row r="57" spans="2:13">
      <c r="B57" s="60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8"/>
    </row>
    <row r="58" spans="2:13">
      <c r="B58" s="60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8"/>
    </row>
    <row r="59" spans="2:13">
      <c r="B59" s="60"/>
      <c r="C59" s="61"/>
      <c r="D59" s="60"/>
      <c r="E59" s="60"/>
      <c r="F59" s="60"/>
      <c r="G59" s="60"/>
      <c r="H59" s="60"/>
      <c r="I59" s="60"/>
      <c r="J59" s="60"/>
      <c r="K59" s="60"/>
      <c r="L59" s="60"/>
      <c r="M59" s="68"/>
    </row>
    <row r="60" spans="2:13">
      <c r="B60" s="60"/>
      <c r="C60" s="61"/>
      <c r="D60" s="60"/>
      <c r="E60" s="60"/>
      <c r="F60" s="60"/>
      <c r="G60" s="60"/>
      <c r="H60" s="60"/>
      <c r="I60" s="60"/>
      <c r="J60" s="60"/>
      <c r="K60" s="60"/>
      <c r="L60" s="60"/>
      <c r="M60" s="68"/>
    </row>
    <row r="61" spans="2:13">
      <c r="B61" s="60"/>
      <c r="C61" s="61"/>
      <c r="D61" s="60"/>
      <c r="E61" s="60"/>
      <c r="F61" s="60"/>
      <c r="G61" s="60"/>
      <c r="H61" s="60"/>
      <c r="I61" s="60"/>
      <c r="J61" s="60"/>
      <c r="K61" s="60"/>
      <c r="L61" s="60"/>
      <c r="M61" s="68"/>
    </row>
    <row r="62" spans="2:13">
      <c r="B62" s="60"/>
      <c r="C62" s="61"/>
      <c r="D62" s="60"/>
      <c r="E62" s="60"/>
      <c r="F62" s="60"/>
      <c r="G62" s="60"/>
      <c r="H62" s="60"/>
      <c r="I62" s="60"/>
      <c r="J62" s="60"/>
      <c r="K62" s="60"/>
      <c r="L62" s="60"/>
      <c r="M62" s="68"/>
    </row>
    <row r="63" spans="2:13">
      <c r="B63" s="60"/>
      <c r="C63" s="61"/>
      <c r="D63" s="60"/>
      <c r="E63" s="60"/>
      <c r="F63" s="60"/>
      <c r="G63" s="60"/>
      <c r="H63" s="60"/>
      <c r="I63" s="60"/>
      <c r="J63" s="60"/>
      <c r="K63" s="60"/>
      <c r="L63" s="60"/>
      <c r="M63" s="68"/>
    </row>
    <row r="64" spans="2:13">
      <c r="B64" s="60"/>
      <c r="C64" s="61"/>
      <c r="D64" s="60"/>
      <c r="E64" s="60"/>
      <c r="F64" s="60"/>
      <c r="G64" s="60"/>
      <c r="H64" s="60"/>
      <c r="I64" s="60"/>
      <c r="J64" s="60"/>
      <c r="K64" s="60"/>
      <c r="L64" s="60"/>
      <c r="M64" s="68"/>
    </row>
    <row r="65" spans="2:13">
      <c r="B65" s="60"/>
      <c r="C65" s="61"/>
      <c r="D65" s="60"/>
      <c r="E65" s="60"/>
      <c r="F65" s="60"/>
      <c r="G65" s="60"/>
      <c r="H65" s="60"/>
      <c r="I65" s="60"/>
      <c r="J65" s="60"/>
      <c r="K65" s="60"/>
      <c r="L65" s="60"/>
      <c r="M65" s="68"/>
    </row>
    <row r="66" spans="2:13">
      <c r="B66" s="60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8"/>
    </row>
    <row r="67" spans="2:13">
      <c r="B67" s="60"/>
      <c r="C67" s="61"/>
      <c r="D67" s="60"/>
      <c r="E67" s="60"/>
      <c r="F67" s="60"/>
      <c r="G67" s="60"/>
      <c r="H67" s="60"/>
      <c r="I67" s="60"/>
      <c r="J67" s="60"/>
      <c r="K67" s="60"/>
      <c r="L67" s="60"/>
      <c r="M67" s="68"/>
    </row>
    <row r="68" spans="2:13">
      <c r="B68" s="60"/>
      <c r="C68" s="61"/>
      <c r="D68" s="60"/>
      <c r="E68" s="60"/>
      <c r="F68" s="60"/>
      <c r="G68" s="60"/>
      <c r="H68" s="60"/>
      <c r="I68" s="60"/>
      <c r="J68" s="60"/>
      <c r="K68" s="60"/>
      <c r="L68" s="60"/>
      <c r="M68" s="68"/>
    </row>
    <row r="69" spans="2:13">
      <c r="B69" s="60"/>
      <c r="C69" s="61"/>
      <c r="D69" s="60"/>
      <c r="E69" s="60"/>
      <c r="F69" s="60"/>
      <c r="G69" s="60"/>
      <c r="H69" s="60"/>
      <c r="I69" s="60"/>
      <c r="J69" s="60"/>
      <c r="K69" s="60"/>
      <c r="L69" s="60"/>
      <c r="M69" s="68"/>
    </row>
    <row r="70" spans="2:13">
      <c r="B70" s="60"/>
      <c r="C70" s="61"/>
      <c r="D70" s="60"/>
      <c r="E70" s="60"/>
      <c r="F70" s="60"/>
      <c r="G70" s="60"/>
      <c r="H70" s="60"/>
      <c r="I70" s="60"/>
      <c r="J70" s="60"/>
      <c r="K70" s="60"/>
      <c r="L70" s="60"/>
      <c r="M70" s="68"/>
    </row>
    <row r="71" spans="2:13">
      <c r="B71" s="60"/>
      <c r="C71" s="61"/>
      <c r="D71" s="60"/>
      <c r="E71" s="60"/>
      <c r="F71" s="60"/>
      <c r="G71" s="60"/>
      <c r="H71" s="60"/>
      <c r="I71" s="60"/>
      <c r="J71" s="60"/>
      <c r="K71" s="60"/>
      <c r="L71" s="60"/>
      <c r="M71" s="68"/>
    </row>
    <row r="72" spans="2:13">
      <c r="B72" s="60"/>
      <c r="C72" s="61"/>
      <c r="D72" s="60"/>
      <c r="E72" s="60"/>
      <c r="F72" s="60"/>
      <c r="G72" s="60"/>
      <c r="H72" s="60"/>
      <c r="I72" s="60"/>
      <c r="J72" s="60"/>
      <c r="K72" s="60"/>
      <c r="L72" s="60"/>
      <c r="M72" s="68"/>
    </row>
    <row r="73" spans="2:13">
      <c r="B73" s="60"/>
      <c r="C73" s="61"/>
      <c r="D73" s="60"/>
      <c r="E73" s="60"/>
      <c r="F73" s="60"/>
      <c r="G73" s="60"/>
      <c r="H73" s="60"/>
      <c r="I73" s="60"/>
      <c r="J73" s="60"/>
      <c r="K73" s="60"/>
      <c r="L73" s="60"/>
      <c r="M73" s="68"/>
    </row>
    <row r="74" spans="2:13">
      <c r="B74" s="60"/>
      <c r="C74" s="61"/>
      <c r="D74" s="60"/>
      <c r="E74" s="60"/>
      <c r="F74" s="60"/>
      <c r="G74" s="60"/>
      <c r="H74" s="60"/>
      <c r="I74" s="60"/>
      <c r="J74" s="60"/>
      <c r="K74" s="60"/>
      <c r="L74" s="60"/>
      <c r="M74" s="68"/>
    </row>
    <row r="75" spans="2:13">
      <c r="B75" s="60"/>
      <c r="C75" s="61"/>
      <c r="D75" s="60"/>
      <c r="E75" s="60"/>
      <c r="F75" s="60"/>
      <c r="G75" s="60"/>
      <c r="H75" s="60"/>
      <c r="I75" s="60"/>
      <c r="J75" s="60"/>
      <c r="K75" s="60"/>
      <c r="L75" s="60"/>
      <c r="M75" s="68"/>
    </row>
    <row r="76" spans="2:13">
      <c r="B76" s="60"/>
      <c r="C76" s="61"/>
      <c r="D76" s="60"/>
      <c r="E76" s="60"/>
      <c r="F76" s="60"/>
      <c r="G76" s="60"/>
      <c r="H76" s="60"/>
      <c r="I76" s="60"/>
      <c r="J76" s="60"/>
      <c r="K76" s="60"/>
      <c r="L76" s="60"/>
      <c r="M76" s="68"/>
    </row>
    <row r="77" spans="2:13">
      <c r="B77" s="60"/>
      <c r="C77" s="61"/>
      <c r="D77" s="60"/>
      <c r="E77" s="60"/>
      <c r="F77" s="60"/>
      <c r="G77" s="60"/>
      <c r="H77" s="60"/>
      <c r="I77" s="60"/>
      <c r="J77" s="60"/>
      <c r="K77" s="60"/>
      <c r="L77" s="60"/>
      <c r="M77" s="68"/>
    </row>
    <row r="78" spans="2:13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9"/>
    </row>
    <row r="79" spans="2:13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9"/>
    </row>
    <row r="80" spans="2:13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9"/>
    </row>
    <row r="81" spans="2:13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9"/>
    </row>
    <row r="82" spans="2:13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9"/>
    </row>
    <row r="83" spans="2:13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9"/>
    </row>
    <row r="84" spans="2:13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9"/>
    </row>
    <row r="85" spans="2:13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9"/>
    </row>
    <row r="86" spans="2:13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9"/>
    </row>
    <row r="87" spans="2:13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9"/>
    </row>
    <row r="88" spans="2:13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9"/>
    </row>
    <row r="89" spans="2:13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9"/>
    </row>
    <row r="90" spans="2:13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9"/>
    </row>
  </sheetData>
  <mergeCells count="10">
    <mergeCell ref="I3:J3"/>
    <mergeCell ref="A1:M1"/>
    <mergeCell ref="K3:L3"/>
    <mergeCell ref="M3:M4"/>
    <mergeCell ref="B3:B4"/>
    <mergeCell ref="A3:A4"/>
    <mergeCell ref="C3:C4"/>
    <mergeCell ref="D3:D4"/>
    <mergeCell ref="E3:F3"/>
    <mergeCell ref="G3:H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193"/>
  <sheetViews>
    <sheetView view="pageBreakPreview" topLeftCell="A112" zoomScaleNormal="60" zoomScaleSheetLayoutView="100" workbookViewId="0">
      <selection activeCell="A132" sqref="A132:XFD132"/>
    </sheetView>
  </sheetViews>
  <sheetFormatPr defaultRowHeight="12.75"/>
  <cols>
    <col min="1" max="1" width="6.42578125" style="110" bestFit="1" customWidth="1"/>
    <col min="2" max="2" width="16.5703125" style="110" customWidth="1"/>
    <col min="3" max="3" width="65.28515625" style="110" customWidth="1"/>
    <col min="4" max="12" width="9.28515625" style="110" customWidth="1"/>
    <col min="13" max="13" width="11.28515625" style="115" customWidth="1"/>
    <col min="14" max="14" width="8.7109375" style="97" bestFit="1" customWidth="1"/>
    <col min="15" max="16" width="20.7109375" style="97" customWidth="1"/>
    <col min="17" max="16384" width="9.140625" style="97"/>
  </cols>
  <sheetData>
    <row r="1" spans="1:14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>
      <c r="A2" s="297" t="s">
        <v>309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98" customFormat="1" ht="24.75" customHeight="1">
      <c r="A4" s="296" t="s">
        <v>336</v>
      </c>
      <c r="B4" s="295" t="s">
        <v>337</v>
      </c>
      <c r="C4" s="295" t="s">
        <v>338</v>
      </c>
      <c r="D4" s="295" t="s">
        <v>339</v>
      </c>
      <c r="E4" s="296" t="s">
        <v>340</v>
      </c>
      <c r="F4" s="296"/>
      <c r="G4" s="295" t="s">
        <v>341</v>
      </c>
      <c r="H4" s="295"/>
      <c r="I4" s="295" t="s">
        <v>6</v>
      </c>
      <c r="J4" s="295"/>
      <c r="K4" s="296" t="s">
        <v>342</v>
      </c>
      <c r="L4" s="296"/>
      <c r="M4" s="296" t="s">
        <v>4</v>
      </c>
    </row>
    <row r="5" spans="1:14" s="98" customFormat="1">
      <c r="A5" s="296"/>
      <c r="B5" s="295"/>
      <c r="C5" s="295"/>
      <c r="D5" s="295"/>
      <c r="E5" s="75" t="s">
        <v>343</v>
      </c>
      <c r="F5" s="75" t="s">
        <v>243</v>
      </c>
      <c r="G5" s="75" t="s">
        <v>343</v>
      </c>
      <c r="H5" s="75" t="s">
        <v>243</v>
      </c>
      <c r="I5" s="75" t="s">
        <v>343</v>
      </c>
      <c r="J5" s="75" t="s">
        <v>243</v>
      </c>
      <c r="K5" s="75" t="s">
        <v>343</v>
      </c>
      <c r="L5" s="75" t="s">
        <v>243</v>
      </c>
      <c r="M5" s="296"/>
    </row>
    <row r="6" spans="1:14" s="98" customFormat="1">
      <c r="A6" s="75">
        <v>1</v>
      </c>
      <c r="B6" s="75">
        <v>2</v>
      </c>
      <c r="C6" s="76">
        <v>3</v>
      </c>
      <c r="D6" s="75">
        <v>4</v>
      </c>
      <c r="E6" s="75">
        <v>5</v>
      </c>
      <c r="F6" s="75">
        <v>6</v>
      </c>
      <c r="G6" s="75">
        <v>7</v>
      </c>
      <c r="H6" s="77">
        <v>8</v>
      </c>
      <c r="I6" s="75">
        <v>9</v>
      </c>
      <c r="J6" s="77">
        <v>10</v>
      </c>
      <c r="K6" s="75">
        <v>11</v>
      </c>
      <c r="L6" s="77">
        <v>12</v>
      </c>
      <c r="M6" s="77">
        <v>13</v>
      </c>
    </row>
    <row r="7" spans="1:14" s="98" customForma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64"/>
    </row>
    <row r="8" spans="1:14" s="98" customFormat="1">
      <c r="A8" s="37"/>
      <c r="B8" s="99"/>
      <c r="C8" s="39" t="s">
        <v>314</v>
      </c>
      <c r="D8" s="99"/>
      <c r="E8" s="120"/>
      <c r="F8" s="120"/>
      <c r="G8" s="120"/>
      <c r="H8" s="120"/>
      <c r="I8" s="120"/>
      <c r="J8" s="120"/>
      <c r="K8" s="120"/>
      <c r="L8" s="120"/>
      <c r="M8" s="120"/>
    </row>
    <row r="9" spans="1:14" s="98" customFormat="1">
      <c r="A9" s="37"/>
      <c r="B9" s="99"/>
      <c r="C9" s="39"/>
      <c r="D9" s="99"/>
      <c r="E9" s="120"/>
      <c r="F9" s="120"/>
      <c r="G9" s="120"/>
      <c r="H9" s="120"/>
      <c r="I9" s="120"/>
      <c r="J9" s="120"/>
      <c r="K9" s="120"/>
      <c r="L9" s="120"/>
      <c r="M9" s="120"/>
    </row>
    <row r="10" spans="1:14" ht="25.5">
      <c r="A10" s="99">
        <v>1.1000000000000001</v>
      </c>
      <c r="B10" s="109" t="s">
        <v>241</v>
      </c>
      <c r="C10" s="102" t="s">
        <v>246</v>
      </c>
      <c r="D10" s="99" t="s">
        <v>349</v>
      </c>
      <c r="E10" s="120"/>
      <c r="F10" s="120">
        <v>1550</v>
      </c>
      <c r="G10" s="120"/>
      <c r="H10" s="120"/>
      <c r="I10" s="120"/>
      <c r="J10" s="120"/>
      <c r="K10" s="120"/>
      <c r="L10" s="120"/>
      <c r="M10" s="120"/>
      <c r="N10" s="103"/>
    </row>
    <row r="11" spans="1:14">
      <c r="A11" s="99"/>
      <c r="B11" s="109"/>
      <c r="C11" s="102"/>
      <c r="D11" s="99" t="s">
        <v>350</v>
      </c>
      <c r="E11" s="120"/>
      <c r="F11" s="125">
        <f>F10/1000</f>
        <v>1.55</v>
      </c>
      <c r="G11" s="120"/>
      <c r="H11" s="120"/>
      <c r="I11" s="120"/>
      <c r="J11" s="120"/>
      <c r="K11" s="120"/>
      <c r="L11" s="120"/>
      <c r="M11" s="120"/>
      <c r="N11" s="103"/>
    </row>
    <row r="12" spans="1:14">
      <c r="A12" s="99" t="s">
        <v>0</v>
      </c>
      <c r="B12" s="109"/>
      <c r="C12" s="102" t="s">
        <v>15</v>
      </c>
      <c r="D12" s="99" t="s">
        <v>1</v>
      </c>
      <c r="E12" s="120">
        <v>27</v>
      </c>
      <c r="F12" s="120">
        <f>E12*F11</f>
        <v>41.85</v>
      </c>
      <c r="G12" s="120"/>
      <c r="H12" s="120"/>
      <c r="I12" s="120"/>
      <c r="J12" s="120"/>
      <c r="K12" s="120"/>
      <c r="L12" s="120"/>
      <c r="M12" s="120"/>
    </row>
    <row r="13" spans="1:14">
      <c r="A13" s="99" t="s">
        <v>185</v>
      </c>
      <c r="B13" s="81" t="s">
        <v>357</v>
      </c>
      <c r="C13" s="79" t="s">
        <v>356</v>
      </c>
      <c r="D13" s="99" t="s">
        <v>24</v>
      </c>
      <c r="E13" s="120">
        <v>60.5</v>
      </c>
      <c r="F13" s="120">
        <f>E13*F11</f>
        <v>93.775000000000006</v>
      </c>
      <c r="G13" s="120"/>
      <c r="H13" s="120"/>
      <c r="I13" s="120"/>
      <c r="J13" s="120"/>
      <c r="K13" s="120"/>
      <c r="L13" s="120"/>
      <c r="M13" s="120"/>
    </row>
    <row r="14" spans="1:14">
      <c r="A14" s="99" t="s">
        <v>186</v>
      </c>
      <c r="B14" s="109"/>
      <c r="C14" s="102" t="s">
        <v>13</v>
      </c>
      <c r="D14" s="99" t="s">
        <v>25</v>
      </c>
      <c r="E14" s="120">
        <v>2.21</v>
      </c>
      <c r="F14" s="120">
        <f>E14*F11</f>
        <v>3.4255</v>
      </c>
      <c r="G14" s="120"/>
      <c r="H14" s="120"/>
      <c r="I14" s="120"/>
      <c r="J14" s="120"/>
      <c r="K14" s="120"/>
      <c r="L14" s="120"/>
      <c r="M14" s="120"/>
    </row>
    <row r="15" spans="1:14">
      <c r="A15" s="99" t="s">
        <v>187</v>
      </c>
      <c r="B15" s="81" t="s">
        <v>353</v>
      </c>
      <c r="C15" s="82" t="s">
        <v>352</v>
      </c>
      <c r="D15" s="99" t="s">
        <v>349</v>
      </c>
      <c r="E15" s="120">
        <v>0.06</v>
      </c>
      <c r="F15" s="120">
        <f>E15*F11</f>
        <v>9.2999999999999999E-2</v>
      </c>
      <c r="G15" s="126"/>
      <c r="H15" s="120"/>
      <c r="I15" s="120"/>
      <c r="J15" s="120"/>
      <c r="K15" s="120"/>
      <c r="L15" s="120"/>
      <c r="M15" s="120"/>
    </row>
    <row r="16" spans="1:14">
      <c r="A16" s="99"/>
      <c r="B16" s="109"/>
      <c r="C16" s="102"/>
      <c r="D16" s="99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4">
      <c r="A17" s="99">
        <v>1.2</v>
      </c>
      <c r="B17" s="116" t="s">
        <v>368</v>
      </c>
      <c r="C17" s="101" t="s">
        <v>247</v>
      </c>
      <c r="D17" s="99" t="s">
        <v>349</v>
      </c>
      <c r="E17" s="120"/>
      <c r="F17" s="120">
        <v>16</v>
      </c>
      <c r="G17" s="120"/>
      <c r="H17" s="120"/>
      <c r="I17" s="120"/>
      <c r="J17" s="120"/>
      <c r="K17" s="120"/>
      <c r="L17" s="120"/>
      <c r="M17" s="120"/>
      <c r="N17" s="103"/>
    </row>
    <row r="18" spans="1:14">
      <c r="A18" s="99"/>
      <c r="B18" s="109" t="s">
        <v>369</v>
      </c>
      <c r="C18" s="101"/>
      <c r="D18" s="99" t="s">
        <v>362</v>
      </c>
      <c r="E18" s="120"/>
      <c r="F18" s="120">
        <v>0.16</v>
      </c>
      <c r="G18" s="120"/>
      <c r="H18" s="120"/>
      <c r="I18" s="120"/>
      <c r="J18" s="120"/>
      <c r="K18" s="120"/>
      <c r="L18" s="120"/>
      <c r="M18" s="120"/>
      <c r="N18" s="103"/>
    </row>
    <row r="19" spans="1:14">
      <c r="A19" s="99" t="s">
        <v>21</v>
      </c>
      <c r="B19" s="116"/>
      <c r="C19" s="102" t="s">
        <v>15</v>
      </c>
      <c r="D19" s="99" t="s">
        <v>1</v>
      </c>
      <c r="E19" s="126">
        <f>1.2*299</f>
        <v>358.8</v>
      </c>
      <c r="F19" s="120">
        <f>E19*F18</f>
        <v>57.408000000000001</v>
      </c>
      <c r="G19" s="120"/>
      <c r="H19" s="120"/>
      <c r="I19" s="120"/>
      <c r="J19" s="120"/>
      <c r="K19" s="120"/>
      <c r="L19" s="120"/>
      <c r="M19" s="120"/>
    </row>
    <row r="20" spans="1:14">
      <c r="A20" s="99"/>
      <c r="B20" s="116"/>
      <c r="C20" s="102"/>
      <c r="D20" s="99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4">
      <c r="A21" s="99">
        <v>1.3</v>
      </c>
      <c r="B21" s="123" t="s">
        <v>366</v>
      </c>
      <c r="C21" s="102" t="s">
        <v>93</v>
      </c>
      <c r="D21" s="99" t="s">
        <v>23</v>
      </c>
      <c r="E21" s="120">
        <v>1.95</v>
      </c>
      <c r="F21" s="120">
        <f>E21*F17</f>
        <v>31.2</v>
      </c>
      <c r="G21" s="120"/>
      <c r="H21" s="120"/>
      <c r="I21" s="120"/>
      <c r="J21" s="120"/>
      <c r="K21" s="120"/>
      <c r="L21" s="120"/>
      <c r="M21" s="120"/>
      <c r="N21" s="103"/>
    </row>
    <row r="22" spans="1:14">
      <c r="A22" s="99" t="s">
        <v>30</v>
      </c>
      <c r="B22" s="124" t="s">
        <v>367</v>
      </c>
      <c r="C22" s="102" t="s">
        <v>15</v>
      </c>
      <c r="D22" s="99" t="s">
        <v>1</v>
      </c>
      <c r="E22" s="120">
        <v>0.53</v>
      </c>
      <c r="F22" s="120">
        <f>E22*F21</f>
        <v>16.536000000000001</v>
      </c>
      <c r="G22" s="120"/>
      <c r="H22" s="120"/>
      <c r="I22" s="120"/>
      <c r="J22" s="120"/>
      <c r="K22" s="120"/>
      <c r="L22" s="120"/>
      <c r="M22" s="120"/>
      <c r="N22" s="103"/>
    </row>
    <row r="23" spans="1:14">
      <c r="A23" s="99"/>
      <c r="B23" s="109"/>
      <c r="C23" s="101"/>
      <c r="D23" s="99"/>
      <c r="E23" s="120"/>
      <c r="F23" s="120"/>
      <c r="G23" s="120"/>
      <c r="H23" s="120"/>
      <c r="I23" s="120"/>
      <c r="J23" s="120"/>
      <c r="K23" s="120"/>
      <c r="L23" s="120"/>
      <c r="M23" s="120"/>
      <c r="N23" s="103"/>
    </row>
    <row r="24" spans="1:14">
      <c r="A24" s="99">
        <v>1.4</v>
      </c>
      <c r="B24" s="127" t="s">
        <v>348</v>
      </c>
      <c r="C24" s="102" t="s">
        <v>31</v>
      </c>
      <c r="D24" s="99" t="s">
        <v>23</v>
      </c>
      <c r="E24" s="120">
        <v>1.95</v>
      </c>
      <c r="F24" s="126">
        <f>E24*(F10+F17)</f>
        <v>3053.7</v>
      </c>
      <c r="G24" s="120"/>
      <c r="H24" s="120"/>
      <c r="I24" s="120"/>
      <c r="J24" s="120"/>
      <c r="K24" s="126"/>
      <c r="L24" s="120"/>
      <c r="M24" s="120"/>
    </row>
    <row r="25" spans="1:14">
      <c r="A25" s="99"/>
      <c r="B25" s="109"/>
      <c r="C25" s="102"/>
      <c r="D25" s="99"/>
      <c r="E25" s="120"/>
      <c r="F25" s="120"/>
      <c r="G25" s="120"/>
      <c r="H25" s="120"/>
      <c r="I25" s="120"/>
      <c r="J25" s="120"/>
      <c r="K25" s="120"/>
      <c r="L25" s="120"/>
      <c r="M25" s="120"/>
    </row>
    <row r="26" spans="1:14">
      <c r="A26" s="99">
        <v>1.5</v>
      </c>
      <c r="B26" s="127" t="s">
        <v>81</v>
      </c>
      <c r="C26" s="102" t="s">
        <v>370</v>
      </c>
      <c r="D26" s="99" t="s">
        <v>349</v>
      </c>
      <c r="E26" s="120"/>
      <c r="F26" s="120">
        <f>F10+F17</f>
        <v>1566</v>
      </c>
      <c r="G26" s="120"/>
      <c r="H26" s="120"/>
      <c r="I26" s="120"/>
      <c r="J26" s="120"/>
      <c r="K26" s="120"/>
      <c r="L26" s="120"/>
      <c r="M26" s="120"/>
      <c r="N26" s="103"/>
    </row>
    <row r="27" spans="1:14">
      <c r="A27" s="99"/>
      <c r="B27" s="57"/>
      <c r="C27" s="89"/>
      <c r="D27" s="40" t="s">
        <v>350</v>
      </c>
      <c r="E27" s="46"/>
      <c r="F27" s="80">
        <f>F26/1000</f>
        <v>1.5660000000000001</v>
      </c>
      <c r="G27" s="46"/>
      <c r="H27" s="46"/>
      <c r="I27" s="46"/>
      <c r="J27" s="46"/>
      <c r="K27" s="46"/>
      <c r="L27" s="46"/>
      <c r="M27" s="46"/>
      <c r="N27" s="103"/>
    </row>
    <row r="28" spans="1:14">
      <c r="A28" s="99" t="s">
        <v>188</v>
      </c>
      <c r="B28" s="57"/>
      <c r="C28" s="89" t="s">
        <v>15</v>
      </c>
      <c r="D28" s="40" t="s">
        <v>1</v>
      </c>
      <c r="E28" s="46">
        <v>3.23</v>
      </c>
      <c r="F28" s="46">
        <f>E28*F27</f>
        <v>5.0581800000000001</v>
      </c>
      <c r="G28" s="46"/>
      <c r="H28" s="46"/>
      <c r="I28" s="46"/>
      <c r="J28" s="46"/>
      <c r="K28" s="46"/>
      <c r="L28" s="46"/>
      <c r="M28" s="46"/>
    </row>
    <row r="29" spans="1:14">
      <c r="A29" s="99" t="s">
        <v>189</v>
      </c>
      <c r="B29" s="81" t="s">
        <v>358</v>
      </c>
      <c r="C29" s="89" t="s">
        <v>82</v>
      </c>
      <c r="D29" s="40" t="s">
        <v>24</v>
      </c>
      <c r="E29" s="46">
        <v>3.62</v>
      </c>
      <c r="F29" s="46">
        <f>E29*F27</f>
        <v>5.66892</v>
      </c>
      <c r="G29" s="46"/>
      <c r="H29" s="46"/>
      <c r="I29" s="46"/>
      <c r="J29" s="46"/>
      <c r="K29" s="84"/>
      <c r="L29" s="46"/>
      <c r="M29" s="46"/>
    </row>
    <row r="30" spans="1:14">
      <c r="A30" s="99" t="s">
        <v>190</v>
      </c>
      <c r="B30" s="57"/>
      <c r="C30" s="89" t="s">
        <v>13</v>
      </c>
      <c r="D30" s="40" t="s">
        <v>25</v>
      </c>
      <c r="E30" s="46">
        <v>0.18</v>
      </c>
      <c r="F30" s="46">
        <f>E30*F27</f>
        <v>0.28188000000000002</v>
      </c>
      <c r="G30" s="46"/>
      <c r="H30" s="46"/>
      <c r="I30" s="46"/>
      <c r="J30" s="46"/>
      <c r="K30" s="46"/>
      <c r="L30" s="46"/>
      <c r="M30" s="46"/>
    </row>
    <row r="31" spans="1:14">
      <c r="A31" s="99" t="s">
        <v>191</v>
      </c>
      <c r="B31" s="81" t="s">
        <v>353</v>
      </c>
      <c r="C31" s="82" t="s">
        <v>352</v>
      </c>
      <c r="D31" s="40" t="s">
        <v>349</v>
      </c>
      <c r="E31" s="46">
        <v>0.04</v>
      </c>
      <c r="F31" s="46">
        <f>E31*F27</f>
        <v>6.2640000000000001E-2</v>
      </c>
      <c r="G31" s="84"/>
      <c r="H31" s="46"/>
      <c r="I31" s="46"/>
      <c r="J31" s="46"/>
      <c r="K31" s="46"/>
      <c r="L31" s="46"/>
      <c r="M31" s="46"/>
    </row>
    <row r="32" spans="1:14">
      <c r="A32" s="99"/>
      <c r="B32" s="109"/>
      <c r="C32" s="102"/>
      <c r="D32" s="99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4">
      <c r="A33" s="99">
        <v>1.6</v>
      </c>
      <c r="B33" s="109" t="s">
        <v>249</v>
      </c>
      <c r="C33" s="102" t="s">
        <v>275</v>
      </c>
      <c r="D33" s="128" t="s">
        <v>359</v>
      </c>
      <c r="E33" s="120"/>
      <c r="F33" s="120">
        <v>220</v>
      </c>
      <c r="G33" s="120"/>
      <c r="H33" s="120"/>
      <c r="I33" s="120"/>
      <c r="J33" s="120"/>
      <c r="K33" s="120"/>
      <c r="L33" s="120"/>
      <c r="M33" s="120"/>
      <c r="N33" s="103"/>
    </row>
    <row r="34" spans="1:14">
      <c r="A34" s="99"/>
      <c r="B34" s="109"/>
      <c r="C34" s="102"/>
      <c r="D34" s="128" t="s">
        <v>365</v>
      </c>
      <c r="E34" s="120"/>
      <c r="F34" s="120">
        <v>0.22</v>
      </c>
      <c r="G34" s="120"/>
      <c r="H34" s="120"/>
      <c r="I34" s="120"/>
      <c r="J34" s="120"/>
      <c r="K34" s="120"/>
      <c r="L34" s="120"/>
      <c r="M34" s="120"/>
      <c r="N34" s="103"/>
    </row>
    <row r="35" spans="1:14">
      <c r="A35" s="99" t="s">
        <v>57</v>
      </c>
      <c r="B35" s="109"/>
      <c r="C35" s="102" t="s">
        <v>15</v>
      </c>
      <c r="D35" s="99" t="s">
        <v>1</v>
      </c>
      <c r="E35" s="120">
        <v>91</v>
      </c>
      <c r="F35" s="120">
        <f>E35*F34</f>
        <v>20.02</v>
      </c>
      <c r="G35" s="120"/>
      <c r="H35" s="120"/>
      <c r="I35" s="120"/>
      <c r="J35" s="120"/>
      <c r="K35" s="120"/>
      <c r="L35" s="120"/>
      <c r="M35" s="120"/>
    </row>
    <row r="36" spans="1:14">
      <c r="A36" s="99"/>
      <c r="B36" s="109"/>
      <c r="C36" s="102"/>
      <c r="D36" s="99"/>
      <c r="E36" s="120"/>
      <c r="F36" s="120"/>
      <c r="G36" s="120"/>
      <c r="H36" s="120"/>
      <c r="I36" s="120"/>
      <c r="J36" s="120"/>
      <c r="K36" s="120"/>
      <c r="L36" s="120"/>
      <c r="M36" s="120"/>
    </row>
    <row r="37" spans="1:14">
      <c r="A37" s="99">
        <v>1.7</v>
      </c>
      <c r="B37" s="127" t="s">
        <v>371</v>
      </c>
      <c r="C37" s="102" t="s">
        <v>236</v>
      </c>
      <c r="D37" s="99" t="s">
        <v>349</v>
      </c>
      <c r="E37" s="120"/>
      <c r="F37" s="120">
        <v>100</v>
      </c>
      <c r="G37" s="120"/>
      <c r="H37" s="120"/>
      <c r="I37" s="120"/>
      <c r="J37" s="120"/>
      <c r="K37" s="120"/>
      <c r="L37" s="120"/>
      <c r="M37" s="120"/>
      <c r="N37" s="103"/>
    </row>
    <row r="38" spans="1:14">
      <c r="A38" s="128"/>
      <c r="B38" s="129"/>
      <c r="C38" s="130"/>
      <c r="D38" s="99" t="s">
        <v>372</v>
      </c>
      <c r="E38" s="120"/>
      <c r="F38" s="120">
        <f>F37</f>
        <v>100</v>
      </c>
      <c r="G38" s="120"/>
      <c r="H38" s="120"/>
      <c r="I38" s="120"/>
      <c r="J38" s="120"/>
      <c r="K38" s="120"/>
      <c r="L38" s="120"/>
      <c r="M38" s="120"/>
      <c r="N38" s="103"/>
    </row>
    <row r="39" spans="1:14">
      <c r="A39" s="99" t="s">
        <v>59</v>
      </c>
      <c r="B39" s="109"/>
      <c r="C39" s="102" t="s">
        <v>15</v>
      </c>
      <c r="D39" s="99" t="s">
        <v>1</v>
      </c>
      <c r="E39" s="126">
        <v>0.89</v>
      </c>
      <c r="F39" s="120">
        <f>E39*F38</f>
        <v>89</v>
      </c>
      <c r="G39" s="120"/>
      <c r="H39" s="120"/>
      <c r="I39" s="126"/>
      <c r="J39" s="120"/>
      <c r="K39" s="120"/>
      <c r="L39" s="120"/>
      <c r="M39" s="120"/>
    </row>
    <row r="40" spans="1:14">
      <c r="A40" s="99" t="s">
        <v>60</v>
      </c>
      <c r="B40" s="127" t="s">
        <v>373</v>
      </c>
      <c r="C40" s="102" t="s">
        <v>94</v>
      </c>
      <c r="D40" s="99" t="s">
        <v>349</v>
      </c>
      <c r="E40" s="126">
        <v>1.1499999999999999</v>
      </c>
      <c r="F40" s="120">
        <f>E40*F38</f>
        <v>114.99999999999999</v>
      </c>
      <c r="G40" s="120"/>
      <c r="H40" s="120"/>
      <c r="I40" s="120"/>
      <c r="J40" s="120"/>
      <c r="K40" s="120"/>
      <c r="L40" s="120"/>
      <c r="M40" s="120"/>
    </row>
    <row r="41" spans="1:14">
      <c r="A41" s="118" t="s">
        <v>194</v>
      </c>
      <c r="B41" s="81"/>
      <c r="C41" s="131" t="s">
        <v>13</v>
      </c>
      <c r="D41" s="83" t="s">
        <v>25</v>
      </c>
      <c r="E41" s="84">
        <v>0.37</v>
      </c>
      <c r="F41" s="84">
        <f>E41*F38</f>
        <v>37</v>
      </c>
      <c r="G41" s="84"/>
      <c r="H41" s="84"/>
      <c r="I41" s="84"/>
      <c r="J41" s="84"/>
      <c r="K41" s="84"/>
      <c r="L41" s="84"/>
      <c r="M41" s="84"/>
    </row>
    <row r="42" spans="1:14">
      <c r="A42" s="118" t="s">
        <v>195</v>
      </c>
      <c r="B42" s="132"/>
      <c r="C42" s="133" t="s">
        <v>14</v>
      </c>
      <c r="D42" s="118" t="s">
        <v>25</v>
      </c>
      <c r="E42" s="126">
        <v>0.02</v>
      </c>
      <c r="F42" s="126">
        <f>E42*F38</f>
        <v>2</v>
      </c>
      <c r="G42" s="126"/>
      <c r="H42" s="126"/>
      <c r="I42" s="126"/>
      <c r="J42" s="126"/>
      <c r="K42" s="126"/>
      <c r="L42" s="126"/>
      <c r="M42" s="126"/>
    </row>
    <row r="43" spans="1:14">
      <c r="A43" s="99"/>
      <c r="B43" s="109"/>
      <c r="C43" s="102"/>
      <c r="D43" s="99"/>
      <c r="E43" s="120"/>
      <c r="F43" s="120"/>
      <c r="G43" s="120"/>
      <c r="H43" s="120"/>
      <c r="I43" s="120"/>
      <c r="J43" s="120"/>
      <c r="K43" s="120"/>
      <c r="L43" s="120"/>
      <c r="M43" s="120"/>
    </row>
    <row r="44" spans="1:14">
      <c r="A44" s="99">
        <v>1.8</v>
      </c>
      <c r="B44" s="116" t="s">
        <v>374</v>
      </c>
      <c r="C44" s="102" t="s">
        <v>237</v>
      </c>
      <c r="D44" s="99" t="s">
        <v>349</v>
      </c>
      <c r="E44" s="120"/>
      <c r="F44" s="120">
        <v>20</v>
      </c>
      <c r="G44" s="120"/>
      <c r="H44" s="120"/>
      <c r="I44" s="120"/>
      <c r="J44" s="120"/>
      <c r="K44" s="120"/>
      <c r="L44" s="120"/>
      <c r="M44" s="120"/>
    </row>
    <row r="45" spans="1:14">
      <c r="A45" s="99"/>
      <c r="B45" s="116"/>
      <c r="C45" s="102"/>
      <c r="D45" s="99" t="s">
        <v>362</v>
      </c>
      <c r="E45" s="120"/>
      <c r="F45" s="125">
        <f>F44/100</f>
        <v>0.2</v>
      </c>
      <c r="G45" s="120"/>
      <c r="H45" s="120"/>
      <c r="I45" s="120"/>
      <c r="J45" s="120"/>
      <c r="K45" s="120"/>
      <c r="L45" s="120"/>
      <c r="M45" s="120"/>
    </row>
    <row r="46" spans="1:14">
      <c r="A46" s="99" t="s">
        <v>61</v>
      </c>
      <c r="B46" s="116"/>
      <c r="C46" s="102" t="s">
        <v>15</v>
      </c>
      <c r="D46" s="99" t="s">
        <v>1</v>
      </c>
      <c r="E46" s="120">
        <v>137</v>
      </c>
      <c r="F46" s="120">
        <f>E46*F45</f>
        <v>27.400000000000002</v>
      </c>
      <c r="G46" s="120"/>
      <c r="H46" s="120"/>
      <c r="I46" s="120"/>
      <c r="J46" s="120"/>
      <c r="K46" s="120"/>
      <c r="L46" s="120"/>
      <c r="M46" s="120"/>
    </row>
    <row r="47" spans="1:14">
      <c r="A47" s="99" t="s">
        <v>62</v>
      </c>
      <c r="B47" s="116"/>
      <c r="C47" s="102" t="s">
        <v>13</v>
      </c>
      <c r="D47" s="99" t="s">
        <v>25</v>
      </c>
      <c r="E47" s="120">
        <v>28.3</v>
      </c>
      <c r="F47" s="120">
        <f>E47*F45</f>
        <v>5.66</v>
      </c>
      <c r="G47" s="120"/>
      <c r="H47" s="120"/>
      <c r="I47" s="120"/>
      <c r="J47" s="120"/>
      <c r="K47" s="120"/>
      <c r="L47" s="120"/>
      <c r="M47" s="120"/>
    </row>
    <row r="48" spans="1:14">
      <c r="A48" s="99" t="s">
        <v>203</v>
      </c>
      <c r="B48" s="132" t="s">
        <v>375</v>
      </c>
      <c r="C48" s="102" t="s">
        <v>161</v>
      </c>
      <c r="D48" s="99" t="s">
        <v>349</v>
      </c>
      <c r="E48" s="126">
        <v>102</v>
      </c>
      <c r="F48" s="120">
        <f>E48*F45</f>
        <v>20.400000000000002</v>
      </c>
      <c r="G48" s="120"/>
      <c r="H48" s="120"/>
      <c r="I48" s="120"/>
      <c r="J48" s="120"/>
      <c r="K48" s="120"/>
      <c r="L48" s="120"/>
      <c r="M48" s="120"/>
    </row>
    <row r="49" spans="1:14">
      <c r="A49" s="99" t="s">
        <v>204</v>
      </c>
      <c r="B49" s="116"/>
      <c r="C49" s="102" t="s">
        <v>14</v>
      </c>
      <c r="D49" s="99" t="s">
        <v>25</v>
      </c>
      <c r="E49" s="120">
        <v>62</v>
      </c>
      <c r="F49" s="120">
        <f>E49*F45</f>
        <v>12.4</v>
      </c>
      <c r="G49" s="120"/>
      <c r="H49" s="120"/>
      <c r="I49" s="120"/>
      <c r="J49" s="120"/>
      <c r="K49" s="120"/>
      <c r="L49" s="120"/>
      <c r="M49" s="120"/>
    </row>
    <row r="50" spans="1:14">
      <c r="A50" s="99"/>
      <c r="B50" s="116"/>
      <c r="C50" s="102"/>
      <c r="D50" s="99"/>
      <c r="E50" s="120"/>
      <c r="F50" s="120"/>
      <c r="G50" s="120"/>
      <c r="H50" s="120"/>
      <c r="I50" s="120"/>
      <c r="J50" s="120"/>
      <c r="K50" s="120"/>
      <c r="L50" s="120"/>
      <c r="M50" s="120"/>
    </row>
    <row r="51" spans="1:14">
      <c r="A51" s="99">
        <v>1.9</v>
      </c>
      <c r="B51" s="116" t="s">
        <v>376</v>
      </c>
      <c r="C51" s="102" t="s">
        <v>277</v>
      </c>
      <c r="D51" s="99" t="s">
        <v>349</v>
      </c>
      <c r="E51" s="120"/>
      <c r="F51" s="120">
        <v>74.5</v>
      </c>
      <c r="G51" s="120"/>
      <c r="H51" s="120"/>
      <c r="I51" s="120"/>
      <c r="J51" s="120"/>
      <c r="K51" s="120"/>
      <c r="L51" s="120"/>
      <c r="M51" s="120"/>
      <c r="N51" s="103"/>
    </row>
    <row r="52" spans="1:14">
      <c r="A52" s="99"/>
      <c r="B52" s="116"/>
      <c r="C52" s="102"/>
      <c r="D52" s="99" t="s">
        <v>362</v>
      </c>
      <c r="E52" s="120"/>
      <c r="F52" s="125">
        <f>F51/100</f>
        <v>0.745</v>
      </c>
      <c r="G52" s="120"/>
      <c r="H52" s="120"/>
      <c r="I52" s="120"/>
      <c r="J52" s="120"/>
      <c r="K52" s="120"/>
      <c r="L52" s="120"/>
      <c r="M52" s="120"/>
      <c r="N52" s="103"/>
    </row>
    <row r="53" spans="1:14">
      <c r="A53" s="99" t="s">
        <v>63</v>
      </c>
      <c r="B53" s="116"/>
      <c r="C53" s="102" t="s">
        <v>15</v>
      </c>
      <c r="D53" s="99" t="s">
        <v>1</v>
      </c>
      <c r="E53" s="120">
        <v>187</v>
      </c>
      <c r="F53" s="120">
        <f>E53*F52</f>
        <v>139.315</v>
      </c>
      <c r="G53" s="120"/>
      <c r="H53" s="120"/>
      <c r="I53" s="120"/>
      <c r="J53" s="120"/>
      <c r="K53" s="120"/>
      <c r="L53" s="120"/>
      <c r="M53" s="120"/>
    </row>
    <row r="54" spans="1:14">
      <c r="A54" s="99" t="s">
        <v>64</v>
      </c>
      <c r="B54" s="116"/>
      <c r="C54" s="102" t="s">
        <v>13</v>
      </c>
      <c r="D54" s="99" t="s">
        <v>25</v>
      </c>
      <c r="E54" s="120">
        <v>77</v>
      </c>
      <c r="F54" s="120">
        <f>E54*F52</f>
        <v>57.365000000000002</v>
      </c>
      <c r="G54" s="120"/>
      <c r="H54" s="120"/>
      <c r="I54" s="120"/>
      <c r="J54" s="120"/>
      <c r="K54" s="120"/>
      <c r="L54" s="120"/>
      <c r="M54" s="120"/>
    </row>
    <row r="55" spans="1:14">
      <c r="A55" s="99" t="s">
        <v>205</v>
      </c>
      <c r="B55" s="132" t="s">
        <v>380</v>
      </c>
      <c r="C55" s="102" t="s">
        <v>172</v>
      </c>
      <c r="D55" s="99" t="s">
        <v>349</v>
      </c>
      <c r="E55" s="120">
        <v>101.5</v>
      </c>
      <c r="F55" s="120">
        <f>E55*F52</f>
        <v>75.617499999999993</v>
      </c>
      <c r="G55" s="126"/>
      <c r="H55" s="120"/>
      <c r="I55" s="120"/>
      <c r="J55" s="120"/>
      <c r="K55" s="120"/>
      <c r="L55" s="120"/>
      <c r="M55" s="120"/>
    </row>
    <row r="56" spans="1:14">
      <c r="A56" s="99" t="s">
        <v>206</v>
      </c>
      <c r="B56" s="132" t="s">
        <v>379</v>
      </c>
      <c r="C56" s="102" t="s">
        <v>124</v>
      </c>
      <c r="D56" s="99" t="s">
        <v>23</v>
      </c>
      <c r="E56" s="120" t="s">
        <v>89</v>
      </c>
      <c r="F56" s="125">
        <v>7.3760000000000003</v>
      </c>
      <c r="G56" s="126"/>
      <c r="H56" s="120"/>
      <c r="I56" s="120"/>
      <c r="J56" s="120"/>
      <c r="K56" s="104"/>
      <c r="L56" s="120"/>
      <c r="M56" s="120"/>
    </row>
    <row r="57" spans="1:14">
      <c r="A57" s="99" t="s">
        <v>207</v>
      </c>
      <c r="B57" s="132" t="s">
        <v>378</v>
      </c>
      <c r="C57" s="133" t="s">
        <v>377</v>
      </c>
      <c r="D57" s="99" t="s">
        <v>359</v>
      </c>
      <c r="E57" s="120">
        <v>7.54</v>
      </c>
      <c r="F57" s="120">
        <f>E57*F52</f>
        <v>5.6173000000000002</v>
      </c>
      <c r="G57" s="120"/>
      <c r="H57" s="120"/>
      <c r="I57" s="120"/>
      <c r="J57" s="120"/>
      <c r="K57" s="120"/>
      <c r="L57" s="120"/>
      <c r="M57" s="120"/>
    </row>
    <row r="58" spans="1:14">
      <c r="A58" s="99" t="s">
        <v>208</v>
      </c>
      <c r="B58" s="132" t="s">
        <v>382</v>
      </c>
      <c r="C58" s="102" t="s">
        <v>381</v>
      </c>
      <c r="D58" s="99" t="s">
        <v>349</v>
      </c>
      <c r="E58" s="120">
        <v>0.08</v>
      </c>
      <c r="F58" s="120">
        <f>E58*F52</f>
        <v>5.96E-2</v>
      </c>
      <c r="G58" s="126"/>
      <c r="H58" s="120"/>
      <c r="I58" s="120"/>
      <c r="J58" s="120"/>
      <c r="K58" s="120"/>
      <c r="L58" s="120"/>
      <c r="M58" s="120"/>
    </row>
    <row r="59" spans="1:14">
      <c r="A59" s="99" t="s">
        <v>221</v>
      </c>
      <c r="B59" s="116"/>
      <c r="C59" s="102" t="s">
        <v>14</v>
      </c>
      <c r="D59" s="99" t="s">
        <v>25</v>
      </c>
      <c r="E59" s="120">
        <v>7</v>
      </c>
      <c r="F59" s="120">
        <f>E59*F52</f>
        <v>5.2149999999999999</v>
      </c>
      <c r="G59" s="120"/>
      <c r="H59" s="120"/>
      <c r="I59" s="120"/>
      <c r="J59" s="120"/>
      <c r="K59" s="120"/>
      <c r="L59" s="120"/>
      <c r="M59" s="120"/>
    </row>
    <row r="60" spans="1:14">
      <c r="A60" s="99"/>
      <c r="B60" s="116"/>
      <c r="C60" s="102"/>
      <c r="D60" s="99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4">
      <c r="A61" s="100">
        <v>1.1000000000000001</v>
      </c>
      <c r="B61" s="132" t="s">
        <v>386</v>
      </c>
      <c r="C61" s="102" t="s">
        <v>391</v>
      </c>
      <c r="D61" s="99" t="s">
        <v>349</v>
      </c>
      <c r="E61" s="120"/>
      <c r="F61" s="120">
        <v>87.5</v>
      </c>
      <c r="G61" s="120"/>
      <c r="H61" s="120"/>
      <c r="I61" s="120"/>
      <c r="J61" s="120"/>
      <c r="K61" s="120"/>
      <c r="L61" s="120"/>
      <c r="M61" s="120"/>
      <c r="N61" s="103"/>
    </row>
    <row r="62" spans="1:14">
      <c r="A62" s="100"/>
      <c r="B62" s="116"/>
      <c r="C62" s="102"/>
      <c r="D62" s="99" t="s">
        <v>362</v>
      </c>
      <c r="E62" s="120"/>
      <c r="F62" s="125">
        <f>F61/100</f>
        <v>0.875</v>
      </c>
      <c r="G62" s="120"/>
      <c r="H62" s="120"/>
      <c r="I62" s="120"/>
      <c r="J62" s="120"/>
      <c r="K62" s="120"/>
      <c r="L62" s="120"/>
      <c r="M62" s="120"/>
      <c r="N62" s="103"/>
    </row>
    <row r="63" spans="1:14">
      <c r="A63" s="99" t="s">
        <v>65</v>
      </c>
      <c r="B63" s="116"/>
      <c r="C63" s="102" t="s">
        <v>40</v>
      </c>
      <c r="D63" s="99" t="s">
        <v>1</v>
      </c>
      <c r="E63" s="126">
        <v>599</v>
      </c>
      <c r="F63" s="120">
        <f>E63*F62</f>
        <v>524.125</v>
      </c>
      <c r="G63" s="120"/>
      <c r="H63" s="120"/>
      <c r="I63" s="120"/>
      <c r="J63" s="120"/>
      <c r="K63" s="120"/>
      <c r="L63" s="120"/>
      <c r="M63" s="120"/>
    </row>
    <row r="64" spans="1:14">
      <c r="A64" s="99" t="s">
        <v>209</v>
      </c>
      <c r="B64" s="116"/>
      <c r="C64" s="133" t="s">
        <v>385</v>
      </c>
      <c r="D64" s="99" t="s">
        <v>25</v>
      </c>
      <c r="E64" s="126">
        <v>109</v>
      </c>
      <c r="F64" s="120">
        <f>E64*F62</f>
        <v>95.375</v>
      </c>
      <c r="G64" s="120"/>
      <c r="H64" s="120"/>
      <c r="I64" s="120"/>
      <c r="J64" s="120"/>
      <c r="K64" s="120"/>
      <c r="L64" s="120"/>
      <c r="M64" s="120"/>
    </row>
    <row r="65" spans="1:14">
      <c r="A65" s="99" t="s">
        <v>210</v>
      </c>
      <c r="B65" s="132" t="s">
        <v>380</v>
      </c>
      <c r="C65" s="102" t="s">
        <v>172</v>
      </c>
      <c r="D65" s="99" t="s">
        <v>349</v>
      </c>
      <c r="E65" s="126">
        <v>101.5</v>
      </c>
      <c r="F65" s="120">
        <f>E65*F62</f>
        <v>88.8125</v>
      </c>
      <c r="G65" s="126"/>
      <c r="H65" s="120"/>
      <c r="I65" s="120"/>
      <c r="J65" s="120"/>
      <c r="K65" s="120"/>
      <c r="L65" s="120"/>
      <c r="M65" s="120"/>
    </row>
    <row r="66" spans="1:14">
      <c r="A66" s="99" t="s">
        <v>250</v>
      </c>
      <c r="B66" s="132" t="s">
        <v>379</v>
      </c>
      <c r="C66" s="102" t="s">
        <v>124</v>
      </c>
      <c r="D66" s="99" t="s">
        <v>23</v>
      </c>
      <c r="E66" s="104" t="s">
        <v>89</v>
      </c>
      <c r="F66" s="104">
        <v>8.6630000000000003</v>
      </c>
      <c r="G66" s="126"/>
      <c r="H66" s="120"/>
      <c r="I66" s="120"/>
      <c r="J66" s="120"/>
      <c r="K66" s="104"/>
      <c r="L66" s="120"/>
      <c r="M66" s="120"/>
    </row>
    <row r="67" spans="1:14">
      <c r="A67" s="99" t="s">
        <v>278</v>
      </c>
      <c r="B67" s="132" t="s">
        <v>378</v>
      </c>
      <c r="C67" s="133" t="s">
        <v>377</v>
      </c>
      <c r="D67" s="118" t="s">
        <v>359</v>
      </c>
      <c r="E67" s="126">
        <v>118</v>
      </c>
      <c r="F67" s="126">
        <f>E67*F62</f>
        <v>103.25</v>
      </c>
      <c r="G67" s="126"/>
      <c r="H67" s="126"/>
      <c r="I67" s="126"/>
      <c r="J67" s="126"/>
      <c r="K67" s="126"/>
      <c r="L67" s="126"/>
      <c r="M67" s="126"/>
    </row>
    <row r="68" spans="1:14">
      <c r="A68" s="99" t="s">
        <v>279</v>
      </c>
      <c r="B68" s="132" t="s">
        <v>382</v>
      </c>
      <c r="C68" s="102" t="s">
        <v>381</v>
      </c>
      <c r="D68" s="99" t="s">
        <v>349</v>
      </c>
      <c r="E68" s="126">
        <f>0.21+2.78</f>
        <v>2.9899999999999998</v>
      </c>
      <c r="F68" s="120">
        <f>E68*F62</f>
        <v>2.61625</v>
      </c>
      <c r="G68" s="126"/>
      <c r="H68" s="120"/>
      <c r="I68" s="120"/>
      <c r="J68" s="120"/>
      <c r="K68" s="120"/>
      <c r="L68" s="120"/>
      <c r="M68" s="120"/>
    </row>
    <row r="69" spans="1:14">
      <c r="A69" s="99" t="s">
        <v>413</v>
      </c>
      <c r="B69" s="132" t="s">
        <v>387</v>
      </c>
      <c r="C69" s="133" t="s">
        <v>389</v>
      </c>
      <c r="D69" s="118" t="s">
        <v>327</v>
      </c>
      <c r="E69" s="126">
        <v>110</v>
      </c>
      <c r="F69" s="126">
        <f>E69*F62</f>
        <v>96.25</v>
      </c>
      <c r="G69" s="126"/>
      <c r="H69" s="126"/>
      <c r="I69" s="126"/>
      <c r="J69" s="126"/>
      <c r="K69" s="126"/>
      <c r="L69" s="126"/>
      <c r="M69" s="126"/>
    </row>
    <row r="70" spans="1:14">
      <c r="A70" s="99" t="s">
        <v>414</v>
      </c>
      <c r="B70" s="132" t="s">
        <v>388</v>
      </c>
      <c r="C70" s="133" t="s">
        <v>390</v>
      </c>
      <c r="D70" s="118" t="s">
        <v>327</v>
      </c>
      <c r="E70" s="126">
        <v>140</v>
      </c>
      <c r="F70" s="126">
        <f>E70*F62</f>
        <v>122.5</v>
      </c>
      <c r="G70" s="126"/>
      <c r="H70" s="126"/>
      <c r="I70" s="126"/>
      <c r="J70" s="126"/>
      <c r="K70" s="126"/>
      <c r="L70" s="126"/>
      <c r="M70" s="126"/>
    </row>
    <row r="71" spans="1:14">
      <c r="A71" s="99" t="s">
        <v>415</v>
      </c>
      <c r="B71" s="116"/>
      <c r="C71" s="102" t="s">
        <v>99</v>
      </c>
      <c r="D71" s="99" t="s">
        <v>25</v>
      </c>
      <c r="E71" s="126">
        <v>32</v>
      </c>
      <c r="F71" s="120">
        <f>E71*F62</f>
        <v>28</v>
      </c>
      <c r="G71" s="120"/>
      <c r="H71" s="120"/>
      <c r="I71" s="120"/>
      <c r="J71" s="120"/>
      <c r="K71" s="120"/>
      <c r="L71" s="120"/>
      <c r="M71" s="120"/>
    </row>
    <row r="72" spans="1:14">
      <c r="A72" s="99"/>
      <c r="B72" s="116"/>
      <c r="C72" s="102"/>
      <c r="D72" s="99"/>
      <c r="E72" s="120"/>
      <c r="F72" s="120"/>
      <c r="G72" s="120"/>
      <c r="H72" s="120"/>
      <c r="I72" s="120"/>
      <c r="J72" s="120"/>
      <c r="K72" s="120"/>
      <c r="L72" s="120"/>
      <c r="M72" s="120"/>
    </row>
    <row r="73" spans="1:14">
      <c r="A73" s="100">
        <v>1.1100000000000001</v>
      </c>
      <c r="B73" s="139" t="s">
        <v>392</v>
      </c>
      <c r="C73" s="102" t="s">
        <v>251</v>
      </c>
      <c r="D73" s="99" t="s">
        <v>359</v>
      </c>
      <c r="E73" s="120"/>
      <c r="F73" s="120">
        <v>350</v>
      </c>
      <c r="G73" s="120"/>
      <c r="H73" s="120"/>
      <c r="I73" s="120"/>
      <c r="J73" s="120"/>
      <c r="K73" s="120"/>
      <c r="L73" s="120"/>
      <c r="M73" s="120"/>
      <c r="N73" s="103"/>
    </row>
    <row r="74" spans="1:14">
      <c r="A74" s="100"/>
      <c r="B74" s="129"/>
      <c r="C74" s="102"/>
      <c r="D74" s="99" t="s">
        <v>364</v>
      </c>
      <c r="E74" s="120"/>
      <c r="F74" s="125">
        <f>F73/100</f>
        <v>3.5</v>
      </c>
      <c r="G74" s="120"/>
      <c r="H74" s="120"/>
      <c r="I74" s="120"/>
      <c r="J74" s="120"/>
      <c r="K74" s="120"/>
      <c r="L74" s="120"/>
      <c r="M74" s="120"/>
      <c r="N74" s="103"/>
    </row>
    <row r="75" spans="1:14">
      <c r="A75" s="99" t="s">
        <v>67</v>
      </c>
      <c r="B75" s="109"/>
      <c r="C75" s="102" t="s">
        <v>15</v>
      </c>
      <c r="D75" s="99" t="s">
        <v>1</v>
      </c>
      <c r="E75" s="126">
        <v>33.6</v>
      </c>
      <c r="F75" s="120">
        <f>E75*F74</f>
        <v>117.60000000000001</v>
      </c>
      <c r="G75" s="120"/>
      <c r="H75" s="120"/>
      <c r="I75" s="126"/>
      <c r="J75" s="120"/>
      <c r="K75" s="120"/>
      <c r="L75" s="120"/>
      <c r="M75" s="120"/>
    </row>
    <row r="76" spans="1:14">
      <c r="A76" s="99" t="s">
        <v>196</v>
      </c>
      <c r="B76" s="109"/>
      <c r="C76" s="102" t="s">
        <v>13</v>
      </c>
      <c r="D76" s="99" t="s">
        <v>25</v>
      </c>
      <c r="E76" s="126">
        <v>1.5</v>
      </c>
      <c r="F76" s="120">
        <f>E76*F74</f>
        <v>5.25</v>
      </c>
      <c r="G76" s="120"/>
      <c r="H76" s="120"/>
      <c r="I76" s="120"/>
      <c r="J76" s="120"/>
      <c r="K76" s="120"/>
      <c r="L76" s="120"/>
      <c r="M76" s="120"/>
    </row>
    <row r="77" spans="1:14">
      <c r="A77" s="99" t="s">
        <v>258</v>
      </c>
      <c r="B77" s="139" t="s">
        <v>393</v>
      </c>
      <c r="C77" s="141" t="s">
        <v>394</v>
      </c>
      <c r="D77" s="99" t="s">
        <v>23</v>
      </c>
      <c r="E77" s="126">
        <v>0.24</v>
      </c>
      <c r="F77" s="120">
        <f>E77*F74</f>
        <v>0.84</v>
      </c>
      <c r="G77" s="126"/>
      <c r="H77" s="120"/>
      <c r="I77" s="120"/>
      <c r="J77" s="120"/>
      <c r="K77" s="120"/>
      <c r="L77" s="120"/>
      <c r="M77" s="120"/>
    </row>
    <row r="78" spans="1:14">
      <c r="A78" s="99" t="s">
        <v>280</v>
      </c>
      <c r="B78" s="109"/>
      <c r="C78" s="102" t="s">
        <v>99</v>
      </c>
      <c r="D78" s="99" t="s">
        <v>25</v>
      </c>
      <c r="E78" s="126">
        <v>2.2799999999999998</v>
      </c>
      <c r="F78" s="120">
        <f>E78*F74</f>
        <v>7.9799999999999995</v>
      </c>
      <c r="G78" s="120"/>
      <c r="H78" s="120"/>
      <c r="I78" s="120"/>
      <c r="J78" s="120"/>
      <c r="K78" s="120"/>
      <c r="L78" s="120"/>
      <c r="M78" s="120"/>
    </row>
    <row r="79" spans="1:14">
      <c r="A79" s="99"/>
      <c r="B79" s="109"/>
      <c r="C79" s="102"/>
      <c r="D79" s="99"/>
      <c r="E79" s="120"/>
      <c r="F79" s="120"/>
      <c r="G79" s="120"/>
      <c r="H79" s="120"/>
      <c r="I79" s="120"/>
      <c r="J79" s="120"/>
      <c r="K79" s="120"/>
      <c r="L79" s="120"/>
      <c r="M79" s="120"/>
    </row>
    <row r="80" spans="1:14">
      <c r="A80" s="100">
        <v>1.1200000000000001</v>
      </c>
      <c r="B80" s="139" t="s">
        <v>395</v>
      </c>
      <c r="C80" s="102" t="s">
        <v>253</v>
      </c>
      <c r="D80" s="143" t="s">
        <v>359</v>
      </c>
      <c r="E80" s="120"/>
      <c r="F80" s="120">
        <v>700</v>
      </c>
      <c r="G80" s="120"/>
      <c r="H80" s="120"/>
      <c r="I80" s="120"/>
      <c r="J80" s="120"/>
      <c r="K80" s="120"/>
      <c r="L80" s="120"/>
      <c r="M80" s="120"/>
    </row>
    <row r="81" spans="1:14">
      <c r="A81" s="100"/>
      <c r="B81" s="139" t="s">
        <v>396</v>
      </c>
      <c r="C81" s="102"/>
      <c r="D81" s="99" t="s">
        <v>364</v>
      </c>
      <c r="E81" s="120"/>
      <c r="F81" s="125">
        <f>F80/100</f>
        <v>7</v>
      </c>
      <c r="G81" s="120"/>
      <c r="H81" s="120"/>
      <c r="I81" s="120"/>
      <c r="J81" s="120"/>
      <c r="K81" s="120"/>
      <c r="L81" s="120"/>
      <c r="M81" s="120"/>
    </row>
    <row r="82" spans="1:14">
      <c r="A82" s="99" t="s">
        <v>211</v>
      </c>
      <c r="B82" s="109"/>
      <c r="C82" s="102" t="s">
        <v>15</v>
      </c>
      <c r="D82" s="99" t="s">
        <v>1</v>
      </c>
      <c r="E82" s="126">
        <f>95.94-14.36</f>
        <v>81.58</v>
      </c>
      <c r="F82" s="120">
        <f>E82*F81</f>
        <v>571.05999999999995</v>
      </c>
      <c r="G82" s="120"/>
      <c r="H82" s="120"/>
      <c r="I82" s="120"/>
      <c r="J82" s="120"/>
      <c r="K82" s="120"/>
      <c r="L82" s="120"/>
      <c r="M82" s="120"/>
    </row>
    <row r="83" spans="1:14">
      <c r="A83" s="99" t="s">
        <v>256</v>
      </c>
      <c r="B83" s="139" t="s">
        <v>397</v>
      </c>
      <c r="C83" s="102" t="s">
        <v>252</v>
      </c>
      <c r="D83" s="99" t="s">
        <v>359</v>
      </c>
      <c r="E83" s="126">
        <v>206</v>
      </c>
      <c r="F83" s="120">
        <f>E83*F81</f>
        <v>1442</v>
      </c>
      <c r="G83" s="120"/>
      <c r="H83" s="120"/>
      <c r="I83" s="120"/>
      <c r="J83" s="120"/>
      <c r="K83" s="120"/>
      <c r="L83" s="120"/>
      <c r="M83" s="120"/>
    </row>
    <row r="84" spans="1:14">
      <c r="A84" s="99"/>
      <c r="B84" s="109"/>
      <c r="C84" s="102"/>
      <c r="D84" s="99"/>
      <c r="E84" s="120"/>
      <c r="F84" s="120"/>
      <c r="G84" s="120"/>
      <c r="H84" s="120"/>
      <c r="I84" s="120"/>
      <c r="J84" s="120"/>
      <c r="K84" s="120"/>
      <c r="L84" s="120"/>
      <c r="M84" s="120"/>
    </row>
    <row r="85" spans="1:14">
      <c r="A85" s="99">
        <v>1.1299999999999999</v>
      </c>
      <c r="B85" s="139" t="s">
        <v>398</v>
      </c>
      <c r="C85" s="102" t="s">
        <v>254</v>
      </c>
      <c r="D85" s="143" t="s">
        <v>359</v>
      </c>
      <c r="E85" s="120"/>
      <c r="F85" s="120">
        <v>250</v>
      </c>
      <c r="G85" s="120"/>
      <c r="H85" s="120"/>
      <c r="I85" s="120"/>
      <c r="J85" s="120"/>
      <c r="K85" s="120"/>
      <c r="L85" s="120"/>
      <c r="M85" s="120"/>
    </row>
    <row r="86" spans="1:14">
      <c r="A86" s="99"/>
      <c r="B86" s="142"/>
      <c r="C86" s="102"/>
      <c r="D86" s="99" t="s">
        <v>364</v>
      </c>
      <c r="E86" s="120"/>
      <c r="F86" s="125">
        <f>F85/100</f>
        <v>2.5</v>
      </c>
      <c r="G86" s="120"/>
      <c r="H86" s="120"/>
      <c r="I86" s="120"/>
      <c r="J86" s="120"/>
      <c r="K86" s="120"/>
      <c r="L86" s="120"/>
      <c r="M86" s="120"/>
    </row>
    <row r="87" spans="1:14">
      <c r="A87" s="99" t="s">
        <v>68</v>
      </c>
      <c r="B87" s="109"/>
      <c r="C87" s="102" t="s">
        <v>15</v>
      </c>
      <c r="D87" s="99" t="s">
        <v>1</v>
      </c>
      <c r="E87" s="126">
        <v>7</v>
      </c>
      <c r="F87" s="120">
        <f>E87*F86</f>
        <v>17.5</v>
      </c>
      <c r="G87" s="120"/>
      <c r="H87" s="120"/>
      <c r="I87" s="120"/>
      <c r="J87" s="120"/>
      <c r="K87" s="120"/>
      <c r="L87" s="120"/>
      <c r="M87" s="120"/>
    </row>
    <row r="88" spans="1:14">
      <c r="A88" s="99" t="s">
        <v>281</v>
      </c>
      <c r="B88" s="139" t="s">
        <v>399</v>
      </c>
      <c r="C88" s="102" t="s">
        <v>255</v>
      </c>
      <c r="D88" s="99" t="s">
        <v>359</v>
      </c>
      <c r="E88" s="126">
        <v>115</v>
      </c>
      <c r="F88" s="120">
        <f>E88*F86</f>
        <v>287.5</v>
      </c>
      <c r="G88" s="126"/>
      <c r="H88" s="120"/>
      <c r="I88" s="120"/>
      <c r="J88" s="120"/>
      <c r="K88" s="120"/>
      <c r="L88" s="120"/>
      <c r="M88" s="120"/>
    </row>
    <row r="89" spans="1:14" s="148" customFormat="1">
      <c r="A89" s="99" t="s">
        <v>402</v>
      </c>
      <c r="B89" s="139" t="s">
        <v>400</v>
      </c>
      <c r="C89" s="150" t="s">
        <v>401</v>
      </c>
      <c r="D89" s="151" t="s">
        <v>88</v>
      </c>
      <c r="E89" s="152">
        <v>400</v>
      </c>
      <c r="F89" s="152">
        <f>E89*F86</f>
        <v>1000</v>
      </c>
      <c r="G89" s="152"/>
      <c r="H89" s="126"/>
      <c r="I89" s="126"/>
      <c r="J89" s="126"/>
      <c r="K89" s="126"/>
      <c r="L89" s="126"/>
      <c r="M89" s="126"/>
    </row>
    <row r="90" spans="1:14" s="148" customFormat="1">
      <c r="A90" s="146"/>
      <c r="B90" s="142"/>
      <c r="C90" s="144"/>
      <c r="D90" s="146"/>
      <c r="E90" s="147"/>
      <c r="F90" s="147"/>
      <c r="G90" s="147"/>
      <c r="H90" s="147"/>
      <c r="I90" s="147"/>
      <c r="J90" s="147"/>
      <c r="K90" s="147"/>
      <c r="L90" s="147"/>
      <c r="M90" s="147"/>
    </row>
    <row r="91" spans="1:14">
      <c r="A91" s="100">
        <v>1.1399999999999999</v>
      </c>
      <c r="B91" s="109" t="s">
        <v>383</v>
      </c>
      <c r="C91" s="102" t="s">
        <v>259</v>
      </c>
      <c r="D91" s="143" t="s">
        <v>349</v>
      </c>
      <c r="E91" s="120"/>
      <c r="F91" s="120">
        <v>150</v>
      </c>
      <c r="G91" s="120"/>
      <c r="H91" s="120"/>
      <c r="I91" s="120"/>
      <c r="J91" s="120"/>
      <c r="K91" s="120"/>
      <c r="L91" s="120"/>
      <c r="M91" s="120"/>
      <c r="N91" s="103"/>
    </row>
    <row r="92" spans="1:14">
      <c r="A92" s="100"/>
      <c r="B92" s="109"/>
      <c r="C92" s="102"/>
      <c r="D92" s="99" t="s">
        <v>363</v>
      </c>
      <c r="E92" s="120"/>
      <c r="F92" s="120">
        <f>F91/10</f>
        <v>15</v>
      </c>
      <c r="G92" s="120"/>
      <c r="H92" s="120"/>
      <c r="I92" s="120"/>
      <c r="J92" s="120"/>
      <c r="K92" s="120"/>
      <c r="L92" s="120"/>
      <c r="M92" s="120"/>
      <c r="N92" s="103"/>
    </row>
    <row r="93" spans="1:14">
      <c r="A93" s="99" t="s">
        <v>197</v>
      </c>
      <c r="B93" s="109"/>
      <c r="C93" s="102" t="s">
        <v>15</v>
      </c>
      <c r="D93" s="99" t="s">
        <v>1</v>
      </c>
      <c r="E93" s="120">
        <v>17.8</v>
      </c>
      <c r="F93" s="120">
        <f>E93*F92</f>
        <v>267</v>
      </c>
      <c r="G93" s="120"/>
      <c r="H93" s="120"/>
      <c r="I93" s="120"/>
      <c r="J93" s="120"/>
      <c r="K93" s="120"/>
      <c r="L93" s="120"/>
      <c r="M93" s="120"/>
    </row>
    <row r="94" spans="1:14">
      <c r="A94" s="99" t="s">
        <v>216</v>
      </c>
      <c r="B94" s="81" t="s">
        <v>353</v>
      </c>
      <c r="C94" s="82" t="s">
        <v>352</v>
      </c>
      <c r="D94" s="99" t="s">
        <v>349</v>
      </c>
      <c r="E94" s="120">
        <v>11</v>
      </c>
      <c r="F94" s="120">
        <f>E94*F92</f>
        <v>165</v>
      </c>
      <c r="G94" s="126"/>
      <c r="H94" s="120"/>
      <c r="I94" s="120"/>
      <c r="J94" s="120"/>
      <c r="K94" s="120"/>
      <c r="L94" s="120"/>
      <c r="M94" s="120"/>
    </row>
    <row r="95" spans="1:14">
      <c r="A95" s="99"/>
      <c r="B95" s="109"/>
      <c r="C95" s="102"/>
      <c r="D95" s="99"/>
      <c r="E95" s="120"/>
      <c r="F95" s="120"/>
      <c r="G95" s="120"/>
      <c r="H95" s="120"/>
      <c r="I95" s="120"/>
      <c r="J95" s="120"/>
      <c r="K95" s="120"/>
      <c r="L95" s="120"/>
      <c r="M95" s="120"/>
    </row>
    <row r="96" spans="1:14">
      <c r="A96" s="99">
        <v>1.1499999999999999</v>
      </c>
      <c r="B96" s="154" t="s">
        <v>403</v>
      </c>
      <c r="C96" s="153" t="s">
        <v>404</v>
      </c>
      <c r="D96" s="143" t="s">
        <v>96</v>
      </c>
      <c r="E96" s="120"/>
      <c r="F96" s="120">
        <v>13</v>
      </c>
      <c r="G96" s="120"/>
      <c r="H96" s="120"/>
      <c r="I96" s="120"/>
      <c r="J96" s="120"/>
      <c r="K96" s="120"/>
      <c r="L96" s="120"/>
      <c r="M96" s="120"/>
      <c r="N96" s="103"/>
    </row>
    <row r="97" spans="1:14">
      <c r="A97" s="99"/>
      <c r="B97" s="155"/>
      <c r="C97" s="153"/>
      <c r="D97" s="143" t="s">
        <v>92</v>
      </c>
      <c r="E97" s="120"/>
      <c r="F97" s="125">
        <f>F96/100</f>
        <v>0.13</v>
      </c>
      <c r="G97" s="120"/>
      <c r="H97" s="120"/>
      <c r="I97" s="120"/>
      <c r="J97" s="120"/>
      <c r="K97" s="120"/>
      <c r="L97" s="120"/>
      <c r="M97" s="120"/>
      <c r="N97" s="103"/>
    </row>
    <row r="98" spans="1:14">
      <c r="A98" s="99" t="s">
        <v>73</v>
      </c>
      <c r="B98" s="116"/>
      <c r="C98" s="102" t="s">
        <v>40</v>
      </c>
      <c r="D98" s="99" t="s">
        <v>1</v>
      </c>
      <c r="E98" s="126">
        <v>33.1</v>
      </c>
      <c r="F98" s="120">
        <f>E98*F97</f>
        <v>4.3029999999999999</v>
      </c>
      <c r="G98" s="120"/>
      <c r="H98" s="120"/>
      <c r="I98" s="120"/>
      <c r="J98" s="120"/>
      <c r="K98" s="120"/>
      <c r="L98" s="120"/>
      <c r="M98" s="120"/>
    </row>
    <row r="99" spans="1:14">
      <c r="A99" s="99" t="s">
        <v>74</v>
      </c>
      <c r="B99" s="116"/>
      <c r="C99" s="102" t="s">
        <v>13</v>
      </c>
      <c r="D99" s="99" t="s">
        <v>25</v>
      </c>
      <c r="E99" s="126">
        <v>0.47</v>
      </c>
      <c r="F99" s="120">
        <f>E99*F97</f>
        <v>6.1100000000000002E-2</v>
      </c>
      <c r="G99" s="120"/>
      <c r="H99" s="120"/>
      <c r="I99" s="120"/>
      <c r="J99" s="120"/>
      <c r="K99" s="120"/>
      <c r="L99" s="120"/>
      <c r="M99" s="120"/>
    </row>
    <row r="100" spans="1:14">
      <c r="A100" s="99" t="s">
        <v>75</v>
      </c>
      <c r="B100" s="154" t="s">
        <v>406</v>
      </c>
      <c r="C100" s="156" t="s">
        <v>405</v>
      </c>
      <c r="D100" s="99" t="s">
        <v>96</v>
      </c>
      <c r="E100" s="152" t="s">
        <v>407</v>
      </c>
      <c r="F100" s="120">
        <v>13</v>
      </c>
      <c r="G100" s="126"/>
      <c r="H100" s="120"/>
      <c r="I100" s="120"/>
      <c r="J100" s="120"/>
      <c r="K100" s="120"/>
      <c r="L100" s="120"/>
      <c r="M100" s="120"/>
    </row>
    <row r="101" spans="1:14">
      <c r="A101" s="99" t="s">
        <v>76</v>
      </c>
      <c r="B101" s="116"/>
      <c r="C101" s="102" t="s">
        <v>99</v>
      </c>
      <c r="D101" s="99" t="s">
        <v>25</v>
      </c>
      <c r="E101" s="126">
        <v>10.9</v>
      </c>
      <c r="F101" s="120">
        <f>E101*F97</f>
        <v>1.417</v>
      </c>
      <c r="G101" s="120"/>
      <c r="H101" s="120"/>
      <c r="I101" s="120"/>
      <c r="J101" s="120"/>
      <c r="K101" s="120"/>
      <c r="L101" s="120"/>
      <c r="M101" s="120"/>
    </row>
    <row r="102" spans="1:14">
      <c r="A102" s="99"/>
      <c r="B102" s="116"/>
      <c r="C102" s="102"/>
      <c r="D102" s="99"/>
      <c r="E102" s="120"/>
      <c r="F102" s="120"/>
      <c r="G102" s="120"/>
      <c r="H102" s="120"/>
      <c r="I102" s="120"/>
      <c r="J102" s="120"/>
      <c r="K102" s="120"/>
      <c r="L102" s="120"/>
      <c r="M102" s="120"/>
    </row>
    <row r="103" spans="1:14">
      <c r="A103" s="100">
        <v>1.1599999999999999</v>
      </c>
      <c r="B103" s="109" t="s">
        <v>178</v>
      </c>
      <c r="C103" s="102" t="s">
        <v>238</v>
      </c>
      <c r="D103" s="143" t="s">
        <v>349</v>
      </c>
      <c r="E103" s="120"/>
      <c r="F103" s="120">
        <v>950</v>
      </c>
      <c r="G103" s="120"/>
      <c r="H103" s="120"/>
      <c r="I103" s="120"/>
      <c r="J103" s="120"/>
      <c r="K103" s="120"/>
      <c r="L103" s="120"/>
      <c r="M103" s="120"/>
      <c r="N103" s="103"/>
    </row>
    <row r="104" spans="1:14">
      <c r="A104" s="100"/>
      <c r="B104" s="109"/>
      <c r="C104" s="102"/>
      <c r="D104" s="99" t="s">
        <v>350</v>
      </c>
      <c r="E104" s="120"/>
      <c r="F104" s="125">
        <f>F103/1000</f>
        <v>0.95</v>
      </c>
      <c r="G104" s="120"/>
      <c r="H104" s="120"/>
      <c r="I104" s="120"/>
      <c r="J104" s="120"/>
      <c r="K104" s="120"/>
      <c r="L104" s="120"/>
      <c r="M104" s="120"/>
      <c r="N104" s="103"/>
    </row>
    <row r="105" spans="1:14">
      <c r="A105" s="99" t="s">
        <v>77</v>
      </c>
      <c r="B105" s="109"/>
      <c r="C105" s="102" t="s">
        <v>15</v>
      </c>
      <c r="D105" s="99" t="s">
        <v>1</v>
      </c>
      <c r="E105" s="120">
        <v>15.5</v>
      </c>
      <c r="F105" s="120">
        <f>E105*F104</f>
        <v>14.725</v>
      </c>
      <c r="G105" s="120"/>
      <c r="H105" s="120"/>
      <c r="I105" s="120"/>
      <c r="J105" s="120"/>
      <c r="K105" s="120"/>
      <c r="L105" s="120"/>
      <c r="M105" s="120"/>
    </row>
    <row r="106" spans="1:14">
      <c r="A106" s="99" t="s">
        <v>179</v>
      </c>
      <c r="B106" s="81" t="s">
        <v>357</v>
      </c>
      <c r="C106" s="79" t="s">
        <v>356</v>
      </c>
      <c r="D106" s="99" t="s">
        <v>24</v>
      </c>
      <c r="E106" s="120">
        <v>34.700000000000003</v>
      </c>
      <c r="F106" s="120">
        <f>E106*F104</f>
        <v>32.965000000000003</v>
      </c>
      <c r="G106" s="120"/>
      <c r="H106" s="120"/>
      <c r="I106" s="120"/>
      <c r="J106" s="120"/>
      <c r="K106" s="120"/>
      <c r="L106" s="120"/>
      <c r="M106" s="120"/>
    </row>
    <row r="107" spans="1:14">
      <c r="A107" s="99" t="s">
        <v>180</v>
      </c>
      <c r="B107" s="109"/>
      <c r="C107" s="102" t="s">
        <v>13</v>
      </c>
      <c r="D107" s="99" t="s">
        <v>25</v>
      </c>
      <c r="E107" s="120">
        <v>2.1</v>
      </c>
      <c r="F107" s="120">
        <f>E107*F104</f>
        <v>1.9949999999999999</v>
      </c>
      <c r="G107" s="120"/>
      <c r="H107" s="120"/>
      <c r="I107" s="120"/>
      <c r="J107" s="120"/>
      <c r="K107" s="120"/>
      <c r="L107" s="120"/>
      <c r="M107" s="120"/>
    </row>
    <row r="108" spans="1:14">
      <c r="A108" s="99" t="s">
        <v>283</v>
      </c>
      <c r="B108" s="81" t="s">
        <v>353</v>
      </c>
      <c r="C108" s="82" t="s">
        <v>352</v>
      </c>
      <c r="D108" s="99" t="s">
        <v>349</v>
      </c>
      <c r="E108" s="120">
        <v>0.04</v>
      </c>
      <c r="F108" s="120">
        <f>E108*F104</f>
        <v>3.7999999999999999E-2</v>
      </c>
      <c r="G108" s="126"/>
      <c r="H108" s="120"/>
      <c r="I108" s="120"/>
      <c r="J108" s="120"/>
      <c r="K108" s="120"/>
      <c r="L108" s="120"/>
      <c r="M108" s="120"/>
    </row>
    <row r="109" spans="1:14">
      <c r="A109" s="99"/>
      <c r="B109" s="109"/>
      <c r="C109" s="102"/>
      <c r="D109" s="99"/>
      <c r="E109" s="120"/>
      <c r="F109" s="120"/>
      <c r="G109" s="120"/>
      <c r="H109" s="120"/>
      <c r="I109" s="120"/>
      <c r="J109" s="120"/>
      <c r="K109" s="120"/>
      <c r="L109" s="120"/>
      <c r="M109" s="120"/>
    </row>
    <row r="110" spans="1:14">
      <c r="A110" s="99">
        <v>1.17</v>
      </c>
      <c r="B110" s="109" t="s">
        <v>260</v>
      </c>
      <c r="C110" s="102" t="s">
        <v>262</v>
      </c>
      <c r="D110" s="143" t="s">
        <v>349</v>
      </c>
      <c r="E110" s="120"/>
      <c r="F110" s="120">
        <f>F103</f>
        <v>950</v>
      </c>
      <c r="G110" s="120"/>
      <c r="H110" s="120"/>
      <c r="I110" s="120"/>
      <c r="J110" s="120"/>
      <c r="K110" s="120"/>
      <c r="L110" s="120"/>
      <c r="M110" s="120"/>
      <c r="N110" s="103"/>
    </row>
    <row r="111" spans="1:14">
      <c r="A111" s="99"/>
      <c r="B111" s="109"/>
      <c r="C111" s="102"/>
      <c r="D111" s="99" t="s">
        <v>362</v>
      </c>
      <c r="E111" s="120"/>
      <c r="F111" s="125">
        <f>F110/100</f>
        <v>9.5</v>
      </c>
      <c r="G111" s="120"/>
      <c r="H111" s="120"/>
      <c r="I111" s="120"/>
      <c r="J111" s="120"/>
      <c r="K111" s="120"/>
      <c r="L111" s="120"/>
      <c r="M111" s="120"/>
      <c r="N111" s="103"/>
    </row>
    <row r="112" spans="1:14">
      <c r="A112" s="99" t="s">
        <v>181</v>
      </c>
      <c r="B112" s="109"/>
      <c r="C112" s="102" t="s">
        <v>15</v>
      </c>
      <c r="D112" s="99" t="s">
        <v>1</v>
      </c>
      <c r="E112" s="120">
        <v>13.4</v>
      </c>
      <c r="F112" s="120">
        <f>E112*F111</f>
        <v>127.3</v>
      </c>
      <c r="G112" s="120"/>
      <c r="H112" s="120"/>
      <c r="I112" s="120"/>
      <c r="J112" s="120"/>
      <c r="K112" s="120"/>
      <c r="L112" s="120"/>
      <c r="M112" s="120"/>
    </row>
    <row r="113" spans="1:13">
      <c r="A113" s="99" t="s">
        <v>284</v>
      </c>
      <c r="B113" s="139" t="s">
        <v>408</v>
      </c>
      <c r="C113" s="102" t="s">
        <v>261</v>
      </c>
      <c r="D113" s="99" t="s">
        <v>24</v>
      </c>
      <c r="E113" s="120">
        <v>13</v>
      </c>
      <c r="F113" s="120">
        <f>E113*F111</f>
        <v>123.5</v>
      </c>
      <c r="G113" s="120"/>
      <c r="H113" s="120"/>
      <c r="I113" s="120"/>
      <c r="J113" s="120"/>
      <c r="K113" s="120"/>
      <c r="L113" s="120"/>
      <c r="M113" s="120"/>
    </row>
    <row r="114" spans="1:13">
      <c r="A114" s="99" t="s">
        <v>285</v>
      </c>
      <c r="B114" s="139" t="s">
        <v>409</v>
      </c>
      <c r="C114" s="102" t="s">
        <v>384</v>
      </c>
      <c r="D114" s="99" t="s">
        <v>24</v>
      </c>
      <c r="E114" s="120">
        <f>E113/4</f>
        <v>3.25</v>
      </c>
      <c r="F114" s="120">
        <f>E114*F111</f>
        <v>30.875</v>
      </c>
      <c r="G114" s="120"/>
      <c r="H114" s="120"/>
      <c r="I114" s="120"/>
      <c r="J114" s="120"/>
      <c r="K114" s="126"/>
      <c r="L114" s="120"/>
      <c r="M114" s="120"/>
    </row>
    <row r="115" spans="1:13">
      <c r="A115" s="99"/>
      <c r="B115" s="109"/>
      <c r="C115" s="102"/>
      <c r="D115" s="99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1:13">
      <c r="A116" s="99">
        <v>1.18</v>
      </c>
      <c r="B116" s="109" t="s">
        <v>91</v>
      </c>
      <c r="C116" s="117" t="s">
        <v>264</v>
      </c>
      <c r="D116" s="99" t="s">
        <v>359</v>
      </c>
      <c r="E116" s="119"/>
      <c r="F116" s="119">
        <v>29.3</v>
      </c>
      <c r="G116" s="105"/>
      <c r="H116" s="106"/>
      <c r="I116" s="105"/>
      <c r="J116" s="106"/>
      <c r="K116" s="105"/>
      <c r="L116" s="106"/>
      <c r="M116" s="120"/>
    </row>
    <row r="117" spans="1:13">
      <c r="A117" s="99" t="s">
        <v>286</v>
      </c>
      <c r="B117" s="109"/>
      <c r="C117" s="117" t="s">
        <v>90</v>
      </c>
      <c r="D117" s="99" t="s">
        <v>1</v>
      </c>
      <c r="E117" s="106">
        <v>2</v>
      </c>
      <c r="F117" s="119">
        <f>F116*E117</f>
        <v>58.6</v>
      </c>
      <c r="G117" s="105"/>
      <c r="H117" s="106"/>
      <c r="I117" s="106"/>
      <c r="J117" s="106"/>
      <c r="K117" s="105"/>
      <c r="L117" s="106"/>
      <c r="M117" s="120"/>
    </row>
    <row r="118" spans="1:13">
      <c r="A118" s="99" t="s">
        <v>287</v>
      </c>
      <c r="B118" s="139" t="s">
        <v>410</v>
      </c>
      <c r="C118" s="117" t="s">
        <v>263</v>
      </c>
      <c r="D118" s="99" t="s">
        <v>359</v>
      </c>
      <c r="E118" s="106">
        <v>1.1000000000000001</v>
      </c>
      <c r="F118" s="119">
        <f>F116*E118</f>
        <v>32.230000000000004</v>
      </c>
      <c r="G118" s="157"/>
      <c r="H118" s="106"/>
      <c r="I118" s="105"/>
      <c r="J118" s="106"/>
      <c r="K118" s="120"/>
      <c r="L118" s="106"/>
      <c r="M118" s="120"/>
    </row>
    <row r="119" spans="1:13">
      <c r="A119" s="99"/>
      <c r="B119" s="109"/>
      <c r="C119" s="117"/>
      <c r="D119" s="99"/>
      <c r="E119" s="106"/>
      <c r="F119" s="119"/>
      <c r="G119" s="106"/>
      <c r="H119" s="106"/>
      <c r="I119" s="105"/>
      <c r="J119" s="106"/>
      <c r="K119" s="120"/>
      <c r="L119" s="106"/>
      <c r="M119" s="120"/>
    </row>
    <row r="120" spans="1:13" ht="12" customHeight="1">
      <c r="A120" s="99">
        <v>1.19</v>
      </c>
      <c r="B120" s="139" t="s">
        <v>412</v>
      </c>
      <c r="C120" s="117" t="s">
        <v>288</v>
      </c>
      <c r="D120" s="99" t="s">
        <v>359</v>
      </c>
      <c r="E120" s="119"/>
      <c r="F120" s="119">
        <v>83</v>
      </c>
      <c r="G120" s="105"/>
      <c r="H120" s="106"/>
      <c r="I120" s="105"/>
      <c r="J120" s="106"/>
      <c r="K120" s="105"/>
      <c r="L120" s="106"/>
      <c r="M120" s="120"/>
    </row>
    <row r="121" spans="1:13" ht="12" customHeight="1">
      <c r="A121" s="128"/>
      <c r="B121" s="142"/>
      <c r="C121" s="158"/>
      <c r="D121" s="143" t="s">
        <v>364</v>
      </c>
      <c r="E121" s="119"/>
      <c r="F121" s="159">
        <f>F120/100</f>
        <v>0.83</v>
      </c>
      <c r="G121" s="105"/>
      <c r="H121" s="106"/>
      <c r="I121" s="105"/>
      <c r="J121" s="106"/>
      <c r="K121" s="105"/>
      <c r="L121" s="106"/>
      <c r="M121" s="120"/>
    </row>
    <row r="122" spans="1:13">
      <c r="A122" s="99" t="s">
        <v>289</v>
      </c>
      <c r="B122" s="109"/>
      <c r="C122" s="117" t="s">
        <v>90</v>
      </c>
      <c r="D122" s="99" t="s">
        <v>1</v>
      </c>
      <c r="E122" s="106">
        <v>880</v>
      </c>
      <c r="F122" s="119">
        <f>F121*E122</f>
        <v>730.4</v>
      </c>
      <c r="G122" s="105"/>
      <c r="H122" s="106"/>
      <c r="I122" s="106"/>
      <c r="J122" s="106"/>
      <c r="K122" s="105"/>
      <c r="L122" s="106"/>
      <c r="M122" s="120"/>
    </row>
    <row r="123" spans="1:13">
      <c r="A123" s="99" t="s">
        <v>290</v>
      </c>
      <c r="B123" s="116"/>
      <c r="C123" s="133" t="s">
        <v>13</v>
      </c>
      <c r="D123" s="118" t="s">
        <v>25</v>
      </c>
      <c r="E123" s="126">
        <v>5</v>
      </c>
      <c r="F123" s="126">
        <f>E123*F121</f>
        <v>4.1499999999999995</v>
      </c>
      <c r="G123" s="126"/>
      <c r="H123" s="126"/>
      <c r="I123" s="126"/>
      <c r="J123" s="126"/>
      <c r="K123" s="126"/>
      <c r="L123" s="126"/>
      <c r="M123" s="126"/>
    </row>
    <row r="124" spans="1:13">
      <c r="A124" s="99" t="s">
        <v>421</v>
      </c>
      <c r="B124" s="139" t="s">
        <v>411</v>
      </c>
      <c r="C124" s="117" t="s">
        <v>291</v>
      </c>
      <c r="D124" s="99" t="s">
        <v>359</v>
      </c>
      <c r="E124" s="106">
        <v>100</v>
      </c>
      <c r="F124" s="119">
        <f>F121*E124</f>
        <v>83</v>
      </c>
      <c r="G124" s="106"/>
      <c r="H124" s="106"/>
      <c r="I124" s="105"/>
      <c r="J124" s="106"/>
      <c r="K124" s="120"/>
      <c r="L124" s="120"/>
      <c r="M124" s="120"/>
    </row>
    <row r="125" spans="1:13" s="160" customFormat="1">
      <c r="A125" s="99" t="s">
        <v>422</v>
      </c>
      <c r="B125" s="139" t="s">
        <v>416</v>
      </c>
      <c r="C125" s="141" t="s">
        <v>103</v>
      </c>
      <c r="D125" s="151" t="s">
        <v>349</v>
      </c>
      <c r="E125" s="152">
        <v>52.5</v>
      </c>
      <c r="F125" s="152">
        <f>E125*F121</f>
        <v>43.574999999999996</v>
      </c>
      <c r="G125" s="152"/>
      <c r="H125" s="152"/>
      <c r="I125" s="152"/>
      <c r="J125" s="152"/>
      <c r="K125" s="152"/>
      <c r="L125" s="152"/>
      <c r="M125" s="152"/>
    </row>
    <row r="126" spans="1:13" s="160" customFormat="1">
      <c r="A126" s="99" t="s">
        <v>423</v>
      </c>
      <c r="B126" s="139"/>
      <c r="C126" s="141" t="s">
        <v>99</v>
      </c>
      <c r="D126" s="151" t="s">
        <v>25</v>
      </c>
      <c r="E126" s="152">
        <v>11</v>
      </c>
      <c r="F126" s="152">
        <f>E126*F121</f>
        <v>9.129999999999999</v>
      </c>
      <c r="G126" s="152"/>
      <c r="H126" s="152"/>
      <c r="I126" s="152"/>
      <c r="J126" s="152"/>
      <c r="K126" s="152"/>
      <c r="L126" s="152"/>
      <c r="M126" s="152"/>
    </row>
    <row r="127" spans="1:13">
      <c r="A127" s="99"/>
      <c r="B127" s="109"/>
      <c r="C127" s="117"/>
      <c r="D127" s="99"/>
      <c r="E127" s="106"/>
      <c r="F127" s="119"/>
      <c r="G127" s="106"/>
      <c r="H127" s="106"/>
      <c r="I127" s="105"/>
      <c r="J127" s="106"/>
      <c r="K127" s="120"/>
      <c r="L127" s="120"/>
      <c r="M127" s="120"/>
    </row>
    <row r="128" spans="1:13">
      <c r="A128" s="100">
        <v>1.2</v>
      </c>
      <c r="B128" s="109" t="s">
        <v>417</v>
      </c>
      <c r="C128" s="107" t="s">
        <v>313</v>
      </c>
      <c r="D128" s="99" t="s">
        <v>349</v>
      </c>
      <c r="E128" s="108"/>
      <c r="F128" s="108">
        <v>30</v>
      </c>
      <c r="G128" s="108"/>
      <c r="H128" s="108"/>
      <c r="I128" s="108"/>
      <c r="J128" s="108"/>
      <c r="K128" s="108"/>
      <c r="L128" s="108"/>
      <c r="M128" s="120"/>
    </row>
    <row r="129" spans="1:13">
      <c r="A129" s="99" t="s">
        <v>311</v>
      </c>
      <c r="B129" s="140" t="s">
        <v>396</v>
      </c>
      <c r="C129" s="102" t="s">
        <v>15</v>
      </c>
      <c r="D129" s="99" t="s">
        <v>1</v>
      </c>
      <c r="E129" s="161">
        <v>8.35</v>
      </c>
      <c r="F129" s="120">
        <f>E129*F128</f>
        <v>250.5</v>
      </c>
      <c r="G129" s="120"/>
      <c r="H129" s="120"/>
      <c r="I129" s="120"/>
      <c r="J129" s="120"/>
      <c r="K129" s="120"/>
      <c r="L129" s="120"/>
      <c r="M129" s="120"/>
    </row>
    <row r="130" spans="1:13">
      <c r="A130" s="99" t="s">
        <v>312</v>
      </c>
      <c r="B130" s="139" t="s">
        <v>418</v>
      </c>
      <c r="C130" s="153" t="s">
        <v>419</v>
      </c>
      <c r="D130" s="99" t="s">
        <v>24</v>
      </c>
      <c r="E130" s="126">
        <v>2.78</v>
      </c>
      <c r="F130" s="120">
        <f>E130*F128</f>
        <v>83.399999999999991</v>
      </c>
      <c r="G130" s="120"/>
      <c r="H130" s="120"/>
      <c r="I130" s="120"/>
      <c r="J130" s="120"/>
      <c r="K130" s="120"/>
      <c r="L130" s="120"/>
      <c r="M130" s="120"/>
    </row>
    <row r="131" spans="1:13">
      <c r="A131" s="99" t="s">
        <v>317</v>
      </c>
      <c r="B131" s="139" t="s">
        <v>409</v>
      </c>
      <c r="C131" s="102" t="s">
        <v>384</v>
      </c>
      <c r="D131" s="99" t="s">
        <v>24</v>
      </c>
      <c r="E131" s="126">
        <v>1.39</v>
      </c>
      <c r="F131" s="120">
        <f>E131*F128</f>
        <v>41.699999999999996</v>
      </c>
      <c r="G131" s="120"/>
      <c r="H131" s="120"/>
      <c r="I131" s="120"/>
      <c r="J131" s="120"/>
      <c r="K131" s="126"/>
      <c r="L131" s="120"/>
      <c r="M131" s="120"/>
    </row>
    <row r="132" spans="1:13">
      <c r="A132" s="99"/>
      <c r="B132" s="109"/>
      <c r="C132" s="107"/>
      <c r="D132" s="121"/>
      <c r="E132" s="122"/>
      <c r="F132" s="120"/>
      <c r="G132" s="108"/>
      <c r="H132" s="108"/>
      <c r="I132" s="108"/>
      <c r="J132" s="108"/>
      <c r="K132" s="120"/>
      <c r="L132" s="120"/>
      <c r="M132" s="120"/>
    </row>
    <row r="133" spans="1:13" s="86" customFormat="1">
      <c r="A133" s="42"/>
      <c r="B133" s="85"/>
      <c r="C133" s="92" t="s">
        <v>4</v>
      </c>
      <c r="D133" s="92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s="163" customFormat="1">
      <c r="A134" s="162"/>
      <c r="B134" s="140"/>
      <c r="C134" s="143"/>
      <c r="D134" s="143"/>
      <c r="E134" s="149"/>
      <c r="F134" s="149"/>
      <c r="G134" s="149"/>
      <c r="H134" s="149"/>
      <c r="I134" s="149"/>
      <c r="J134" s="149"/>
      <c r="K134" s="149"/>
      <c r="L134" s="149"/>
      <c r="M134" s="149"/>
    </row>
    <row r="135" spans="1:13" s="163" customFormat="1">
      <c r="A135" s="162"/>
      <c r="B135" s="140"/>
      <c r="C135" s="143" t="s">
        <v>10</v>
      </c>
      <c r="D135" s="164">
        <v>0.1</v>
      </c>
      <c r="E135" s="149"/>
      <c r="F135" s="149"/>
      <c r="G135" s="149"/>
      <c r="H135" s="149"/>
      <c r="I135" s="149"/>
      <c r="J135" s="149"/>
      <c r="K135" s="149"/>
      <c r="L135" s="149"/>
      <c r="M135" s="149"/>
    </row>
    <row r="136" spans="1:13" s="163" customFormat="1">
      <c r="A136" s="162"/>
      <c r="B136" s="140"/>
      <c r="C136" s="143" t="s">
        <v>4</v>
      </c>
      <c r="D136" s="164"/>
      <c r="E136" s="149"/>
      <c r="F136" s="149"/>
      <c r="G136" s="149"/>
      <c r="H136" s="149"/>
      <c r="I136" s="149"/>
      <c r="J136" s="149"/>
      <c r="K136" s="149"/>
      <c r="L136" s="149"/>
      <c r="M136" s="149"/>
    </row>
    <row r="137" spans="1:13" s="163" customFormat="1">
      <c r="A137" s="162"/>
      <c r="B137" s="140"/>
      <c r="C137" s="143" t="s">
        <v>11</v>
      </c>
      <c r="D137" s="164">
        <v>0.08</v>
      </c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s="163" customFormat="1">
      <c r="A138" s="162"/>
      <c r="B138" s="140"/>
      <c r="C138" s="143"/>
      <c r="D138" s="164"/>
      <c r="E138" s="149"/>
      <c r="F138" s="149"/>
      <c r="G138" s="149"/>
      <c r="H138" s="149"/>
      <c r="I138" s="149"/>
      <c r="J138" s="149"/>
      <c r="K138" s="149"/>
      <c r="L138" s="149"/>
      <c r="M138" s="149"/>
    </row>
    <row r="139" spans="1:13" s="86" customFormat="1">
      <c r="A139" s="42"/>
      <c r="B139" s="85"/>
      <c r="C139" s="92" t="s">
        <v>4</v>
      </c>
      <c r="D139" s="92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>
      <c r="B140" s="112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3"/>
    </row>
    <row r="141" spans="1:13">
      <c r="B141" s="112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3"/>
    </row>
    <row r="142" spans="1:13">
      <c r="B142" s="112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3"/>
    </row>
    <row r="143" spans="1:13">
      <c r="B143" s="112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3"/>
    </row>
    <row r="144" spans="1:13">
      <c r="B144" s="112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3"/>
    </row>
    <row r="145" spans="2:13">
      <c r="B145" s="112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3"/>
    </row>
    <row r="146" spans="2:13">
      <c r="B146" s="112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3"/>
    </row>
    <row r="147" spans="2:13">
      <c r="B147" s="112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3"/>
    </row>
    <row r="148" spans="2:13">
      <c r="B148" s="112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3"/>
    </row>
    <row r="149" spans="2:13">
      <c r="B149" s="112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3"/>
    </row>
    <row r="150" spans="2:13">
      <c r="B150" s="112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3"/>
    </row>
    <row r="151" spans="2:13">
      <c r="B151" s="112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3"/>
    </row>
    <row r="152" spans="2:13">
      <c r="B152" s="112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3"/>
    </row>
    <row r="153" spans="2:13">
      <c r="B153" s="112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3"/>
    </row>
    <row r="154" spans="2:13">
      <c r="B154" s="112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3"/>
    </row>
    <row r="155" spans="2:13">
      <c r="B155" s="112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3"/>
    </row>
    <row r="156" spans="2:13">
      <c r="B156" s="112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3"/>
    </row>
    <row r="157" spans="2:13">
      <c r="B157" s="112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3"/>
    </row>
    <row r="158" spans="2:13">
      <c r="B158" s="112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3"/>
    </row>
    <row r="159" spans="2:13">
      <c r="B159" s="112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3"/>
    </row>
    <row r="160" spans="2:13">
      <c r="B160" s="112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3"/>
    </row>
    <row r="161" spans="2:13">
      <c r="B161" s="112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3"/>
    </row>
    <row r="162" spans="2:13">
      <c r="B162" s="112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3"/>
    </row>
    <row r="163" spans="2:13">
      <c r="B163" s="112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3"/>
    </row>
    <row r="164" spans="2:13">
      <c r="B164" s="112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3"/>
    </row>
    <row r="165" spans="2:13">
      <c r="B165" s="112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3"/>
    </row>
    <row r="166" spans="2:13">
      <c r="B166" s="112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3"/>
    </row>
    <row r="167" spans="2:13">
      <c r="B167" s="112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3"/>
    </row>
    <row r="168" spans="2:13">
      <c r="B168" s="112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3"/>
    </row>
    <row r="169" spans="2:13">
      <c r="B169" s="112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3"/>
    </row>
    <row r="170" spans="2:13">
      <c r="B170" s="112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3"/>
    </row>
    <row r="171" spans="2:13">
      <c r="B171" s="112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3"/>
    </row>
    <row r="172" spans="2:13">
      <c r="B172" s="112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3"/>
    </row>
    <row r="173" spans="2:13">
      <c r="B173" s="112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3"/>
    </row>
    <row r="174" spans="2:13">
      <c r="B174" s="112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3"/>
    </row>
    <row r="175" spans="2:13">
      <c r="B175" s="112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3"/>
    </row>
    <row r="176" spans="2:13">
      <c r="B176" s="112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3"/>
    </row>
    <row r="177" spans="2:13">
      <c r="B177" s="112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3"/>
    </row>
    <row r="178" spans="2:13">
      <c r="B178" s="112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3"/>
    </row>
    <row r="179" spans="2:13">
      <c r="B179" s="112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3"/>
    </row>
    <row r="180" spans="2:13">
      <c r="B180" s="112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3"/>
    </row>
    <row r="181" spans="2:13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4"/>
    </row>
    <row r="182" spans="2:13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4"/>
    </row>
    <row r="183" spans="2:13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4"/>
    </row>
    <row r="184" spans="2:13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4"/>
    </row>
    <row r="185" spans="2:13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4"/>
    </row>
    <row r="186" spans="2:13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4"/>
    </row>
    <row r="187" spans="2:13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4"/>
    </row>
    <row r="188" spans="2:13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4"/>
    </row>
    <row r="189" spans="2:13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4"/>
    </row>
    <row r="190" spans="2:13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4"/>
    </row>
    <row r="191" spans="2:13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4"/>
    </row>
    <row r="192" spans="2:13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4"/>
    </row>
    <row r="193" spans="2:13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4"/>
    </row>
  </sheetData>
  <autoFilter ref="A1:M194"/>
  <mergeCells count="10">
    <mergeCell ref="D4:D5"/>
    <mergeCell ref="M4:M5"/>
    <mergeCell ref="A2:M2"/>
    <mergeCell ref="E4:F4"/>
    <mergeCell ref="G4:H4"/>
    <mergeCell ref="I4:J4"/>
    <mergeCell ref="K4:L4"/>
    <mergeCell ref="A4:A5"/>
    <mergeCell ref="B4:B5"/>
    <mergeCell ref="C4:C5"/>
  </mergeCells>
  <conditionalFormatting sqref="L80:L90 L116:L122">
    <cfRule type="cellIs" dxfId="10" priority="12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5"/>
  <sheetViews>
    <sheetView view="pageBreakPreview" topLeftCell="A115" zoomScaleNormal="60" zoomScaleSheetLayoutView="100" workbookViewId="0">
      <selection activeCell="A89" sqref="A89:XFD89"/>
    </sheetView>
  </sheetViews>
  <sheetFormatPr defaultRowHeight="12.75"/>
  <cols>
    <col min="1" max="1" width="7.5703125" style="175" customWidth="1"/>
    <col min="2" max="2" width="14.28515625" style="174" customWidth="1"/>
    <col min="3" max="3" width="66" style="174" customWidth="1"/>
    <col min="4" max="12" width="9.5703125" style="174" customWidth="1"/>
    <col min="13" max="13" width="11.7109375" style="177" customWidth="1"/>
    <col min="14" max="16" width="20.7109375" style="180" customWidth="1"/>
    <col min="17" max="16384" width="9.140625" style="180"/>
  </cols>
  <sheetData>
    <row r="1" spans="1:14">
      <c r="A1" s="143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265"/>
    </row>
    <row r="2" spans="1:14" s="186" customFormat="1">
      <c r="A2" s="297" t="s">
        <v>309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s="186" customFormat="1">
      <c r="A3" s="9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181" customFormat="1" ht="23.25" customHeight="1">
      <c r="A4" s="296" t="s">
        <v>336</v>
      </c>
      <c r="B4" s="295" t="s">
        <v>337</v>
      </c>
      <c r="C4" s="295" t="s">
        <v>338</v>
      </c>
      <c r="D4" s="295" t="s">
        <v>339</v>
      </c>
      <c r="E4" s="296" t="s">
        <v>340</v>
      </c>
      <c r="F4" s="296"/>
      <c r="G4" s="295" t="s">
        <v>341</v>
      </c>
      <c r="H4" s="295"/>
      <c r="I4" s="295" t="s">
        <v>6</v>
      </c>
      <c r="J4" s="295"/>
      <c r="K4" s="296" t="s">
        <v>342</v>
      </c>
      <c r="L4" s="296"/>
      <c r="M4" s="296" t="s">
        <v>4</v>
      </c>
    </row>
    <row r="5" spans="1:14" s="181" customFormat="1" ht="12.75" customHeight="1">
      <c r="A5" s="296"/>
      <c r="B5" s="295"/>
      <c r="C5" s="295"/>
      <c r="D5" s="295"/>
      <c r="E5" s="94" t="s">
        <v>343</v>
      </c>
      <c r="F5" s="94" t="s">
        <v>243</v>
      </c>
      <c r="G5" s="94" t="s">
        <v>343</v>
      </c>
      <c r="H5" s="94" t="s">
        <v>243</v>
      </c>
      <c r="I5" s="94" t="s">
        <v>343</v>
      </c>
      <c r="J5" s="94" t="s">
        <v>243</v>
      </c>
      <c r="K5" s="94" t="s">
        <v>343</v>
      </c>
      <c r="L5" s="94" t="s">
        <v>243</v>
      </c>
      <c r="M5" s="296"/>
    </row>
    <row r="6" spans="1:14" s="181" customFormat="1">
      <c r="A6" s="94">
        <v>1</v>
      </c>
      <c r="B6" s="94">
        <v>2</v>
      </c>
      <c r="C6" s="95">
        <v>3</v>
      </c>
      <c r="D6" s="94">
        <v>4</v>
      </c>
      <c r="E6" s="94">
        <v>5</v>
      </c>
      <c r="F6" s="94">
        <v>6</v>
      </c>
      <c r="G6" s="94">
        <v>7</v>
      </c>
      <c r="H6" s="77">
        <v>8</v>
      </c>
      <c r="I6" s="94">
        <v>9</v>
      </c>
      <c r="J6" s="77">
        <v>10</v>
      </c>
      <c r="K6" s="94">
        <v>11</v>
      </c>
      <c r="L6" s="77">
        <v>12</v>
      </c>
      <c r="M6" s="77">
        <v>13</v>
      </c>
    </row>
    <row r="7" spans="1:14" s="181" customFormat="1">
      <c r="A7" s="92"/>
      <c r="B7" s="92"/>
      <c r="C7" s="92"/>
      <c r="D7" s="92"/>
      <c r="E7" s="47"/>
      <c r="F7" s="47"/>
      <c r="G7" s="47"/>
      <c r="H7" s="47"/>
      <c r="I7" s="47"/>
      <c r="J7" s="47"/>
      <c r="K7" s="47"/>
      <c r="L7" s="47"/>
      <c r="M7" s="47"/>
    </row>
    <row r="8" spans="1:14" s="181" customFormat="1">
      <c r="A8" s="92"/>
      <c r="B8" s="143"/>
      <c r="C8" s="93" t="s">
        <v>315</v>
      </c>
      <c r="D8" s="143"/>
      <c r="E8" s="149"/>
      <c r="F8" s="149"/>
      <c r="G8" s="149"/>
      <c r="H8" s="149"/>
      <c r="I8" s="149"/>
      <c r="J8" s="149"/>
      <c r="K8" s="149"/>
      <c r="L8" s="149"/>
      <c r="M8" s="149"/>
    </row>
    <row r="9" spans="1:14" s="181" customFormat="1">
      <c r="A9" s="92"/>
      <c r="B9" s="143"/>
      <c r="C9" s="93"/>
      <c r="D9" s="143"/>
      <c r="E9" s="149"/>
      <c r="F9" s="149"/>
      <c r="G9" s="149"/>
      <c r="H9" s="149"/>
      <c r="I9" s="149"/>
      <c r="J9" s="149"/>
      <c r="K9" s="149"/>
      <c r="L9" s="149"/>
      <c r="M9" s="149"/>
    </row>
    <row r="10" spans="1:14" ht="25.5">
      <c r="A10" s="143">
        <v>1.1000000000000001</v>
      </c>
      <c r="B10" s="140" t="s">
        <v>241</v>
      </c>
      <c r="C10" s="184" t="s">
        <v>246</v>
      </c>
      <c r="D10" s="143" t="s">
        <v>349</v>
      </c>
      <c r="E10" s="149"/>
      <c r="F10" s="149">
        <v>558</v>
      </c>
      <c r="G10" s="149"/>
      <c r="H10" s="149"/>
      <c r="I10" s="149"/>
      <c r="J10" s="149"/>
      <c r="K10" s="149"/>
      <c r="L10" s="149"/>
      <c r="M10" s="149"/>
      <c r="N10" s="168"/>
    </row>
    <row r="11" spans="1:14">
      <c r="A11" s="143"/>
      <c r="B11" s="109"/>
      <c r="C11" s="102"/>
      <c r="D11" s="99" t="s">
        <v>350</v>
      </c>
      <c r="E11" s="120"/>
      <c r="F11" s="125">
        <f>F10/1000</f>
        <v>0.55800000000000005</v>
      </c>
      <c r="G11" s="120"/>
      <c r="H11" s="120"/>
      <c r="I11" s="120"/>
      <c r="J11" s="120"/>
      <c r="K11" s="120"/>
      <c r="L11" s="120"/>
      <c r="M11" s="120"/>
      <c r="N11" s="168"/>
    </row>
    <row r="12" spans="1:14">
      <c r="A12" s="143" t="s">
        <v>0</v>
      </c>
      <c r="B12" s="109"/>
      <c r="C12" s="102" t="s">
        <v>15</v>
      </c>
      <c r="D12" s="99" t="s">
        <v>1</v>
      </c>
      <c r="E12" s="120">
        <v>27</v>
      </c>
      <c r="F12" s="120">
        <f>E12*F11</f>
        <v>15.066000000000001</v>
      </c>
      <c r="G12" s="120"/>
      <c r="H12" s="120"/>
      <c r="I12" s="120"/>
      <c r="J12" s="120"/>
      <c r="K12" s="120"/>
      <c r="L12" s="120"/>
      <c r="M12" s="120"/>
    </row>
    <row r="13" spans="1:14">
      <c r="A13" s="143" t="s">
        <v>185</v>
      </c>
      <c r="B13" s="81" t="s">
        <v>357</v>
      </c>
      <c r="C13" s="79" t="s">
        <v>356</v>
      </c>
      <c r="D13" s="99" t="s">
        <v>24</v>
      </c>
      <c r="E13" s="120">
        <v>60.5</v>
      </c>
      <c r="F13" s="120">
        <f>E13*F11</f>
        <v>33.759</v>
      </c>
      <c r="G13" s="120"/>
      <c r="H13" s="120"/>
      <c r="I13" s="120"/>
      <c r="J13" s="120"/>
      <c r="K13" s="120"/>
      <c r="L13" s="120"/>
      <c r="M13" s="120"/>
    </row>
    <row r="14" spans="1:14">
      <c r="A14" s="143" t="s">
        <v>186</v>
      </c>
      <c r="B14" s="109"/>
      <c r="C14" s="102" t="s">
        <v>13</v>
      </c>
      <c r="D14" s="99" t="s">
        <v>25</v>
      </c>
      <c r="E14" s="120">
        <v>2.21</v>
      </c>
      <c r="F14" s="120">
        <f>E14*F11</f>
        <v>1.2331800000000002</v>
      </c>
      <c r="G14" s="120"/>
      <c r="H14" s="120"/>
      <c r="I14" s="120"/>
      <c r="J14" s="120"/>
      <c r="K14" s="120"/>
      <c r="L14" s="120"/>
      <c r="M14" s="120"/>
    </row>
    <row r="15" spans="1:14">
      <c r="A15" s="143" t="s">
        <v>187</v>
      </c>
      <c r="B15" s="81" t="s">
        <v>353</v>
      </c>
      <c r="C15" s="82" t="s">
        <v>352</v>
      </c>
      <c r="D15" s="99" t="s">
        <v>349</v>
      </c>
      <c r="E15" s="120">
        <v>0.06</v>
      </c>
      <c r="F15" s="120">
        <f>E15*F11</f>
        <v>3.3480000000000003E-2</v>
      </c>
      <c r="G15" s="126"/>
      <c r="H15" s="120"/>
      <c r="I15" s="120"/>
      <c r="J15" s="120"/>
      <c r="K15" s="120"/>
      <c r="L15" s="120"/>
      <c r="M15" s="120"/>
    </row>
    <row r="16" spans="1:14">
      <c r="A16" s="143"/>
      <c r="B16" s="140"/>
      <c r="C16" s="162"/>
      <c r="D16" s="143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4" ht="12.75" customHeight="1">
      <c r="A17" s="143">
        <v>1.2</v>
      </c>
      <c r="B17" s="183" t="s">
        <v>248</v>
      </c>
      <c r="C17" s="162" t="s">
        <v>247</v>
      </c>
      <c r="D17" s="143" t="s">
        <v>349</v>
      </c>
      <c r="E17" s="149"/>
      <c r="F17" s="149">
        <v>6</v>
      </c>
      <c r="G17" s="149"/>
      <c r="H17" s="149"/>
      <c r="I17" s="149"/>
      <c r="J17" s="149"/>
      <c r="K17" s="149"/>
      <c r="L17" s="149"/>
      <c r="M17" s="149"/>
      <c r="N17" s="168"/>
    </row>
    <row r="18" spans="1:14" ht="12.75" customHeight="1">
      <c r="A18" s="143"/>
      <c r="B18" s="183"/>
      <c r="C18" s="162"/>
      <c r="D18" s="143" t="s">
        <v>362</v>
      </c>
      <c r="E18" s="149"/>
      <c r="F18" s="125">
        <f>F17/100</f>
        <v>0.06</v>
      </c>
      <c r="G18" s="149"/>
      <c r="H18" s="149"/>
      <c r="I18" s="149"/>
      <c r="J18" s="149"/>
      <c r="K18" s="149"/>
      <c r="L18" s="149"/>
      <c r="M18" s="149"/>
      <c r="N18" s="168"/>
    </row>
    <row r="19" spans="1:14">
      <c r="A19" s="143" t="s">
        <v>21</v>
      </c>
      <c r="B19" s="183"/>
      <c r="C19" s="162" t="s">
        <v>15</v>
      </c>
      <c r="D19" s="143" t="s">
        <v>1</v>
      </c>
      <c r="E19" s="149">
        <v>299</v>
      </c>
      <c r="F19" s="149">
        <f>E19*F18</f>
        <v>17.939999999999998</v>
      </c>
      <c r="G19" s="149"/>
      <c r="H19" s="149"/>
      <c r="I19" s="149"/>
      <c r="J19" s="149"/>
      <c r="K19" s="149"/>
      <c r="L19" s="149"/>
      <c r="M19" s="149"/>
    </row>
    <row r="20" spans="1:14">
      <c r="A20" s="143"/>
      <c r="B20" s="183"/>
      <c r="C20" s="162"/>
      <c r="D20" s="143"/>
      <c r="E20" s="149"/>
      <c r="F20" s="149"/>
      <c r="G20" s="149"/>
      <c r="H20" s="149"/>
      <c r="I20" s="149"/>
      <c r="J20" s="149"/>
      <c r="K20" s="149"/>
      <c r="L20" s="149"/>
      <c r="M20" s="149"/>
    </row>
    <row r="21" spans="1:14">
      <c r="A21" s="143">
        <v>1.3</v>
      </c>
      <c r="B21" s="123" t="s">
        <v>366</v>
      </c>
      <c r="C21" s="102" t="s">
        <v>93</v>
      </c>
      <c r="D21" s="99" t="s">
        <v>23</v>
      </c>
      <c r="E21" s="120">
        <v>1.95</v>
      </c>
      <c r="F21" s="120">
        <f>E21*F17</f>
        <v>11.7</v>
      </c>
      <c r="G21" s="120"/>
      <c r="H21" s="120"/>
      <c r="I21" s="120"/>
      <c r="J21" s="120"/>
      <c r="K21" s="120"/>
      <c r="L21" s="120"/>
      <c r="M21" s="120"/>
      <c r="N21" s="168"/>
    </row>
    <row r="22" spans="1:14">
      <c r="A22" s="143" t="s">
        <v>30</v>
      </c>
      <c r="B22" s="124" t="s">
        <v>367</v>
      </c>
      <c r="C22" s="102" t="s">
        <v>15</v>
      </c>
      <c r="D22" s="99" t="s">
        <v>1</v>
      </c>
      <c r="E22" s="120">
        <v>0.53</v>
      </c>
      <c r="F22" s="120">
        <f>E22*F21</f>
        <v>6.2009999999999996</v>
      </c>
      <c r="G22" s="120"/>
      <c r="H22" s="120"/>
      <c r="I22" s="120"/>
      <c r="J22" s="120"/>
      <c r="K22" s="120"/>
      <c r="L22" s="120"/>
      <c r="M22" s="120"/>
      <c r="N22" s="168"/>
    </row>
    <row r="23" spans="1:14">
      <c r="A23" s="143"/>
      <c r="B23" s="140"/>
      <c r="C23" s="162"/>
      <c r="D23" s="143"/>
      <c r="E23" s="149"/>
      <c r="F23" s="149"/>
      <c r="G23" s="149"/>
      <c r="H23" s="149"/>
      <c r="I23" s="149"/>
      <c r="J23" s="149"/>
      <c r="K23" s="149"/>
      <c r="L23" s="149"/>
      <c r="M23" s="149"/>
      <c r="N23" s="168"/>
    </row>
    <row r="24" spans="1:14">
      <c r="A24" s="143">
        <v>1.4</v>
      </c>
      <c r="B24" s="127" t="s">
        <v>348</v>
      </c>
      <c r="C24" s="102" t="s">
        <v>31</v>
      </c>
      <c r="D24" s="99" t="s">
        <v>23</v>
      </c>
      <c r="E24" s="120">
        <v>1.95</v>
      </c>
      <c r="F24" s="126">
        <f>E24*(F10+F17)</f>
        <v>1099.8</v>
      </c>
      <c r="G24" s="120"/>
      <c r="H24" s="120"/>
      <c r="I24" s="120"/>
      <c r="J24" s="120"/>
      <c r="K24" s="126"/>
      <c r="L24" s="120"/>
      <c r="M24" s="120"/>
    </row>
    <row r="25" spans="1:14">
      <c r="A25" s="143"/>
      <c r="B25" s="140"/>
      <c r="C25" s="162"/>
      <c r="D25" s="143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4">
      <c r="A26" s="143">
        <v>1.5</v>
      </c>
      <c r="B26" s="127" t="s">
        <v>81</v>
      </c>
      <c r="C26" s="102" t="s">
        <v>370</v>
      </c>
      <c r="D26" s="99" t="s">
        <v>349</v>
      </c>
      <c r="E26" s="120"/>
      <c r="F26" s="120">
        <f>F10+F17</f>
        <v>564</v>
      </c>
      <c r="G26" s="120"/>
      <c r="H26" s="120"/>
      <c r="I26" s="120"/>
      <c r="J26" s="120"/>
      <c r="K26" s="120"/>
      <c r="L26" s="120"/>
      <c r="M26" s="120"/>
      <c r="N26" s="168"/>
    </row>
    <row r="27" spans="1:14">
      <c r="A27" s="143"/>
      <c r="B27" s="57"/>
      <c r="C27" s="89"/>
      <c r="D27" s="40" t="s">
        <v>350</v>
      </c>
      <c r="E27" s="46"/>
      <c r="F27" s="80">
        <f>F26/1000</f>
        <v>0.56399999999999995</v>
      </c>
      <c r="G27" s="46"/>
      <c r="H27" s="46"/>
      <c r="I27" s="46"/>
      <c r="J27" s="46"/>
      <c r="K27" s="46"/>
      <c r="L27" s="46"/>
      <c r="M27" s="46"/>
      <c r="N27" s="168"/>
    </row>
    <row r="28" spans="1:14">
      <c r="A28" s="143" t="s">
        <v>188</v>
      </c>
      <c r="B28" s="57"/>
      <c r="C28" s="89" t="s">
        <v>15</v>
      </c>
      <c r="D28" s="40" t="s">
        <v>1</v>
      </c>
      <c r="E28" s="46">
        <v>3.23</v>
      </c>
      <c r="F28" s="46">
        <f>E28*F27</f>
        <v>1.8217199999999998</v>
      </c>
      <c r="G28" s="46"/>
      <c r="H28" s="46"/>
      <c r="I28" s="46"/>
      <c r="J28" s="46"/>
      <c r="K28" s="46"/>
      <c r="L28" s="46"/>
      <c r="M28" s="46"/>
    </row>
    <row r="29" spans="1:14">
      <c r="A29" s="143" t="s">
        <v>189</v>
      </c>
      <c r="B29" s="81" t="s">
        <v>358</v>
      </c>
      <c r="C29" s="89" t="s">
        <v>82</v>
      </c>
      <c r="D29" s="40" t="s">
        <v>24</v>
      </c>
      <c r="E29" s="46">
        <v>3.62</v>
      </c>
      <c r="F29" s="46">
        <f>E29*F27</f>
        <v>2.0416799999999999</v>
      </c>
      <c r="G29" s="46"/>
      <c r="H29" s="46"/>
      <c r="I29" s="46"/>
      <c r="J29" s="46"/>
      <c r="K29" s="84"/>
      <c r="L29" s="46"/>
      <c r="M29" s="46"/>
    </row>
    <row r="30" spans="1:14">
      <c r="A30" s="143" t="s">
        <v>190</v>
      </c>
      <c r="B30" s="57"/>
      <c r="C30" s="89" t="s">
        <v>13</v>
      </c>
      <c r="D30" s="40" t="s">
        <v>25</v>
      </c>
      <c r="E30" s="46">
        <v>0.18</v>
      </c>
      <c r="F30" s="46">
        <f>E30*F27</f>
        <v>0.10151999999999999</v>
      </c>
      <c r="G30" s="46"/>
      <c r="H30" s="46"/>
      <c r="I30" s="46"/>
      <c r="J30" s="46"/>
      <c r="K30" s="46"/>
      <c r="L30" s="46"/>
      <c r="M30" s="46"/>
    </row>
    <row r="31" spans="1:14">
      <c r="A31" s="143" t="s">
        <v>191</v>
      </c>
      <c r="B31" s="81" t="s">
        <v>353</v>
      </c>
      <c r="C31" s="82" t="s">
        <v>352</v>
      </c>
      <c r="D31" s="40" t="s">
        <v>349</v>
      </c>
      <c r="E31" s="46">
        <v>0.04</v>
      </c>
      <c r="F31" s="46">
        <f>E31*F27</f>
        <v>2.2559999999999997E-2</v>
      </c>
      <c r="G31" s="84"/>
      <c r="H31" s="46"/>
      <c r="I31" s="46"/>
      <c r="J31" s="46"/>
      <c r="K31" s="46"/>
      <c r="L31" s="46"/>
      <c r="M31" s="46"/>
    </row>
    <row r="32" spans="1:14">
      <c r="A32" s="143"/>
      <c r="B32" s="140"/>
      <c r="C32" s="162"/>
      <c r="D32" s="143"/>
      <c r="E32" s="149"/>
      <c r="F32" s="149"/>
      <c r="G32" s="149"/>
      <c r="H32" s="149"/>
      <c r="I32" s="149"/>
      <c r="J32" s="149"/>
      <c r="K32" s="149"/>
      <c r="L32" s="149"/>
      <c r="M32" s="149"/>
    </row>
    <row r="33" spans="1:14">
      <c r="A33" s="143">
        <v>1.6</v>
      </c>
      <c r="B33" s="140" t="s">
        <v>249</v>
      </c>
      <c r="C33" s="162" t="s">
        <v>275</v>
      </c>
      <c r="D33" s="143" t="s">
        <v>359</v>
      </c>
      <c r="E33" s="149"/>
      <c r="F33" s="149">
        <v>79.2</v>
      </c>
      <c r="G33" s="149"/>
      <c r="H33" s="149"/>
      <c r="I33" s="149"/>
      <c r="J33" s="149"/>
      <c r="K33" s="149"/>
      <c r="L33" s="149"/>
      <c r="M33" s="149"/>
      <c r="N33" s="168"/>
    </row>
    <row r="34" spans="1:14">
      <c r="A34" s="143"/>
      <c r="B34" s="140"/>
      <c r="C34" s="162"/>
      <c r="D34" s="143" t="s">
        <v>365</v>
      </c>
      <c r="E34" s="149"/>
      <c r="F34" s="188">
        <f>F33/1000</f>
        <v>7.9200000000000007E-2</v>
      </c>
      <c r="G34" s="149"/>
      <c r="H34" s="149"/>
      <c r="I34" s="149"/>
      <c r="J34" s="149"/>
      <c r="K34" s="149"/>
      <c r="L34" s="149"/>
      <c r="M34" s="149"/>
      <c r="N34" s="168"/>
    </row>
    <row r="35" spans="1:14">
      <c r="A35" s="143" t="s">
        <v>57</v>
      </c>
      <c r="B35" s="140"/>
      <c r="C35" s="162" t="s">
        <v>15</v>
      </c>
      <c r="D35" s="143" t="s">
        <v>1</v>
      </c>
      <c r="E35" s="149">
        <v>91</v>
      </c>
      <c r="F35" s="149">
        <f>E35*F34</f>
        <v>7.2072000000000003</v>
      </c>
      <c r="G35" s="149"/>
      <c r="H35" s="149"/>
      <c r="I35" s="149"/>
      <c r="J35" s="149"/>
      <c r="K35" s="149"/>
      <c r="L35" s="149"/>
      <c r="M35" s="149"/>
    </row>
    <row r="36" spans="1:14">
      <c r="A36" s="143"/>
      <c r="B36" s="140"/>
      <c r="C36" s="162"/>
      <c r="D36" s="143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4">
      <c r="A37" s="143">
        <v>1.7</v>
      </c>
      <c r="B37" s="127" t="s">
        <v>371</v>
      </c>
      <c r="C37" s="162" t="s">
        <v>236</v>
      </c>
      <c r="D37" s="143" t="s">
        <v>349</v>
      </c>
      <c r="E37" s="149"/>
      <c r="F37" s="149">
        <v>36</v>
      </c>
      <c r="G37" s="149"/>
      <c r="H37" s="149"/>
      <c r="I37" s="149"/>
      <c r="J37" s="149"/>
      <c r="K37" s="149"/>
      <c r="L37" s="149"/>
      <c r="M37" s="149"/>
      <c r="N37" s="168"/>
    </row>
    <row r="38" spans="1:14">
      <c r="A38" s="143"/>
      <c r="B38" s="129"/>
      <c r="C38" s="130"/>
      <c r="D38" s="99" t="s">
        <v>372</v>
      </c>
      <c r="E38" s="120"/>
      <c r="F38" s="120">
        <f>F37</f>
        <v>36</v>
      </c>
      <c r="G38" s="120"/>
      <c r="H38" s="120"/>
      <c r="I38" s="120"/>
      <c r="J38" s="120"/>
      <c r="K38" s="120"/>
      <c r="L38" s="120"/>
      <c r="M38" s="120"/>
      <c r="N38" s="168"/>
    </row>
    <row r="39" spans="1:14">
      <c r="A39" s="143" t="s">
        <v>59</v>
      </c>
      <c r="B39" s="109"/>
      <c r="C39" s="102" t="s">
        <v>15</v>
      </c>
      <c r="D39" s="99" t="s">
        <v>1</v>
      </c>
      <c r="E39" s="126">
        <v>0.89</v>
      </c>
      <c r="F39" s="120">
        <f>E39*F38</f>
        <v>32.04</v>
      </c>
      <c r="G39" s="120"/>
      <c r="H39" s="120"/>
      <c r="I39" s="126"/>
      <c r="J39" s="120"/>
      <c r="K39" s="120"/>
      <c r="L39" s="120"/>
      <c r="M39" s="120"/>
      <c r="N39" s="168"/>
    </row>
    <row r="40" spans="1:14">
      <c r="A40" s="143" t="s">
        <v>60</v>
      </c>
      <c r="B40" s="127" t="s">
        <v>373</v>
      </c>
      <c r="C40" s="102" t="s">
        <v>94</v>
      </c>
      <c r="D40" s="99" t="s">
        <v>349</v>
      </c>
      <c r="E40" s="126">
        <v>1.1499999999999999</v>
      </c>
      <c r="F40" s="120">
        <f>E40*F38</f>
        <v>41.4</v>
      </c>
      <c r="G40" s="120"/>
      <c r="H40" s="120"/>
      <c r="I40" s="120"/>
      <c r="J40" s="120"/>
      <c r="K40" s="120"/>
      <c r="L40" s="120"/>
      <c r="M40" s="120"/>
      <c r="N40" s="168"/>
    </row>
    <row r="41" spans="1:14">
      <c r="A41" s="143" t="s">
        <v>194</v>
      </c>
      <c r="B41" s="81"/>
      <c r="C41" s="131" t="s">
        <v>13</v>
      </c>
      <c r="D41" s="83" t="s">
        <v>25</v>
      </c>
      <c r="E41" s="84">
        <v>0.37</v>
      </c>
      <c r="F41" s="84">
        <f>E41*F38</f>
        <v>13.32</v>
      </c>
      <c r="G41" s="84"/>
      <c r="H41" s="84"/>
      <c r="I41" s="84"/>
      <c r="J41" s="84"/>
      <c r="K41" s="84"/>
      <c r="L41" s="84"/>
      <c r="M41" s="84"/>
    </row>
    <row r="42" spans="1:14">
      <c r="A42" s="143" t="s">
        <v>195</v>
      </c>
      <c r="B42" s="132"/>
      <c r="C42" s="133" t="s">
        <v>14</v>
      </c>
      <c r="D42" s="118" t="s">
        <v>25</v>
      </c>
      <c r="E42" s="126">
        <v>0.02</v>
      </c>
      <c r="F42" s="126">
        <f>E42*F38</f>
        <v>0.72</v>
      </c>
      <c r="G42" s="126"/>
      <c r="H42" s="126"/>
      <c r="I42" s="126"/>
      <c r="J42" s="126"/>
      <c r="K42" s="126"/>
      <c r="L42" s="126"/>
      <c r="M42" s="126"/>
    </row>
    <row r="43" spans="1:14">
      <c r="A43" s="143"/>
      <c r="B43" s="140"/>
      <c r="C43" s="162"/>
      <c r="D43" s="143"/>
      <c r="E43" s="149"/>
      <c r="F43" s="149"/>
      <c r="G43" s="149"/>
      <c r="H43" s="149"/>
      <c r="I43" s="149"/>
      <c r="J43" s="149"/>
      <c r="K43" s="149"/>
      <c r="L43" s="149"/>
      <c r="M43" s="149"/>
    </row>
    <row r="44" spans="1:14">
      <c r="A44" s="143">
        <v>1.8</v>
      </c>
      <c r="B44" s="183" t="s">
        <v>374</v>
      </c>
      <c r="C44" s="162" t="s">
        <v>237</v>
      </c>
      <c r="D44" s="143" t="s">
        <v>349</v>
      </c>
      <c r="E44" s="149"/>
      <c r="F44" s="149">
        <v>7.2</v>
      </c>
      <c r="G44" s="149"/>
      <c r="H44" s="149"/>
      <c r="I44" s="149"/>
      <c r="J44" s="149"/>
      <c r="K44" s="149"/>
      <c r="L44" s="149"/>
      <c r="M44" s="149"/>
    </row>
    <row r="45" spans="1:14">
      <c r="A45" s="143"/>
      <c r="B45" s="116"/>
      <c r="C45" s="102"/>
      <c r="D45" s="99" t="s">
        <v>362</v>
      </c>
      <c r="E45" s="120"/>
      <c r="F45" s="125">
        <f>F44/100</f>
        <v>7.2000000000000008E-2</v>
      </c>
      <c r="G45" s="120"/>
      <c r="H45" s="120"/>
      <c r="I45" s="120"/>
      <c r="J45" s="120"/>
      <c r="K45" s="120"/>
      <c r="L45" s="120"/>
      <c r="M45" s="120"/>
    </row>
    <row r="46" spans="1:14">
      <c r="A46" s="143" t="s">
        <v>61</v>
      </c>
      <c r="B46" s="116"/>
      <c r="C46" s="102" t="s">
        <v>15</v>
      </c>
      <c r="D46" s="99" t="s">
        <v>1</v>
      </c>
      <c r="E46" s="120">
        <v>137</v>
      </c>
      <c r="F46" s="120">
        <f>E46*F45</f>
        <v>9.8640000000000008</v>
      </c>
      <c r="G46" s="120"/>
      <c r="H46" s="120"/>
      <c r="I46" s="120"/>
      <c r="J46" s="120"/>
      <c r="K46" s="120"/>
      <c r="L46" s="120"/>
      <c r="M46" s="120"/>
    </row>
    <row r="47" spans="1:14">
      <c r="A47" s="143" t="s">
        <v>62</v>
      </c>
      <c r="B47" s="116"/>
      <c r="C47" s="102" t="s">
        <v>13</v>
      </c>
      <c r="D47" s="99" t="s">
        <v>25</v>
      </c>
      <c r="E47" s="120">
        <v>28.3</v>
      </c>
      <c r="F47" s="120">
        <f>E47*F45</f>
        <v>2.0376000000000003</v>
      </c>
      <c r="G47" s="120"/>
      <c r="H47" s="120"/>
      <c r="I47" s="120"/>
      <c r="J47" s="120"/>
      <c r="K47" s="120"/>
      <c r="L47" s="120"/>
      <c r="M47" s="120"/>
    </row>
    <row r="48" spans="1:14">
      <c r="A48" s="143" t="s">
        <v>203</v>
      </c>
      <c r="B48" s="132" t="s">
        <v>375</v>
      </c>
      <c r="C48" s="102" t="s">
        <v>161</v>
      </c>
      <c r="D48" s="99" t="s">
        <v>349</v>
      </c>
      <c r="E48" s="126">
        <v>102</v>
      </c>
      <c r="F48" s="120">
        <f>E48*F45</f>
        <v>7.3440000000000012</v>
      </c>
      <c r="G48" s="120"/>
      <c r="H48" s="120"/>
      <c r="I48" s="120"/>
      <c r="J48" s="120"/>
      <c r="K48" s="120"/>
      <c r="L48" s="120"/>
      <c r="M48" s="120"/>
    </row>
    <row r="49" spans="1:14">
      <c r="A49" s="143" t="s">
        <v>204</v>
      </c>
      <c r="B49" s="116"/>
      <c r="C49" s="102" t="s">
        <v>14</v>
      </c>
      <c r="D49" s="99" t="s">
        <v>25</v>
      </c>
      <c r="E49" s="120">
        <v>62</v>
      </c>
      <c r="F49" s="120">
        <f>E49*F45</f>
        <v>4.4640000000000004</v>
      </c>
      <c r="G49" s="120"/>
      <c r="H49" s="120"/>
      <c r="I49" s="120"/>
      <c r="J49" s="120"/>
      <c r="K49" s="120"/>
      <c r="L49" s="120"/>
      <c r="M49" s="120"/>
    </row>
    <row r="50" spans="1:14">
      <c r="A50" s="143"/>
      <c r="B50" s="183"/>
      <c r="C50" s="162"/>
      <c r="D50" s="143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4">
      <c r="A51" s="143">
        <v>1.9</v>
      </c>
      <c r="B51" s="183" t="s">
        <v>376</v>
      </c>
      <c r="C51" s="162" t="s">
        <v>277</v>
      </c>
      <c r="D51" s="143" t="s">
        <v>349</v>
      </c>
      <c r="E51" s="149"/>
      <c r="F51" s="149">
        <v>26.82</v>
      </c>
      <c r="G51" s="149"/>
      <c r="H51" s="149"/>
      <c r="I51" s="149"/>
      <c r="J51" s="149"/>
      <c r="K51" s="149"/>
      <c r="L51" s="149"/>
      <c r="M51" s="149"/>
      <c r="N51" s="168"/>
    </row>
    <row r="52" spans="1:14">
      <c r="A52" s="143"/>
      <c r="B52" s="116"/>
      <c r="C52" s="102"/>
      <c r="D52" s="99" t="s">
        <v>362</v>
      </c>
      <c r="E52" s="120"/>
      <c r="F52" s="125">
        <f>F51/100</f>
        <v>0.26819999999999999</v>
      </c>
      <c r="G52" s="120"/>
      <c r="H52" s="120"/>
      <c r="I52" s="120"/>
      <c r="J52" s="120"/>
      <c r="K52" s="120"/>
      <c r="L52" s="120"/>
      <c r="M52" s="120"/>
      <c r="N52" s="168"/>
    </row>
    <row r="53" spans="1:14">
      <c r="A53" s="143" t="s">
        <v>63</v>
      </c>
      <c r="B53" s="116"/>
      <c r="C53" s="102" t="s">
        <v>15</v>
      </c>
      <c r="D53" s="99" t="s">
        <v>1</v>
      </c>
      <c r="E53" s="120">
        <v>187</v>
      </c>
      <c r="F53" s="120">
        <f>E53*F52</f>
        <v>50.153399999999998</v>
      </c>
      <c r="G53" s="120"/>
      <c r="H53" s="120"/>
      <c r="I53" s="120"/>
      <c r="J53" s="120"/>
      <c r="K53" s="120"/>
      <c r="L53" s="120"/>
      <c r="M53" s="120"/>
    </row>
    <row r="54" spans="1:14">
      <c r="A54" s="143" t="s">
        <v>64</v>
      </c>
      <c r="B54" s="116"/>
      <c r="C54" s="102" t="s">
        <v>13</v>
      </c>
      <c r="D54" s="99" t="s">
        <v>25</v>
      </c>
      <c r="E54" s="120">
        <v>77</v>
      </c>
      <c r="F54" s="120">
        <f>E54*F52</f>
        <v>20.651399999999999</v>
      </c>
      <c r="G54" s="120"/>
      <c r="H54" s="120"/>
      <c r="I54" s="120"/>
      <c r="J54" s="120"/>
      <c r="K54" s="120"/>
      <c r="L54" s="120"/>
      <c r="M54" s="120"/>
    </row>
    <row r="55" spans="1:14">
      <c r="A55" s="143" t="s">
        <v>205</v>
      </c>
      <c r="B55" s="132" t="s">
        <v>380</v>
      </c>
      <c r="C55" s="102" t="s">
        <v>172</v>
      </c>
      <c r="D55" s="99" t="s">
        <v>349</v>
      </c>
      <c r="E55" s="120">
        <v>101.5</v>
      </c>
      <c r="F55" s="120">
        <f>E55*F52</f>
        <v>27.222300000000001</v>
      </c>
      <c r="G55" s="126"/>
      <c r="H55" s="120"/>
      <c r="I55" s="120"/>
      <c r="J55" s="120"/>
      <c r="K55" s="120"/>
      <c r="L55" s="120"/>
      <c r="M55" s="120"/>
    </row>
    <row r="56" spans="1:14">
      <c r="A56" s="143" t="s">
        <v>206</v>
      </c>
      <c r="B56" s="132" t="s">
        <v>379</v>
      </c>
      <c r="C56" s="102" t="s">
        <v>124</v>
      </c>
      <c r="D56" s="99" t="s">
        <v>23</v>
      </c>
      <c r="E56" s="120" t="s">
        <v>89</v>
      </c>
      <c r="F56" s="125">
        <v>2.6549999999999998</v>
      </c>
      <c r="G56" s="126"/>
      <c r="H56" s="120"/>
      <c r="I56" s="120"/>
      <c r="J56" s="120"/>
      <c r="K56" s="104"/>
      <c r="L56" s="120"/>
      <c r="M56" s="120"/>
    </row>
    <row r="57" spans="1:14">
      <c r="A57" s="143" t="s">
        <v>207</v>
      </c>
      <c r="B57" s="132" t="s">
        <v>378</v>
      </c>
      <c r="C57" s="133" t="s">
        <v>377</v>
      </c>
      <c r="D57" s="99" t="s">
        <v>359</v>
      </c>
      <c r="E57" s="120">
        <v>7.54</v>
      </c>
      <c r="F57" s="120">
        <f>E57*F52</f>
        <v>2.0222280000000001</v>
      </c>
      <c r="G57" s="120"/>
      <c r="H57" s="120"/>
      <c r="I57" s="120"/>
      <c r="J57" s="120"/>
      <c r="K57" s="120"/>
      <c r="L57" s="120"/>
      <c r="M57" s="120"/>
    </row>
    <row r="58" spans="1:14">
      <c r="A58" s="143" t="s">
        <v>208</v>
      </c>
      <c r="B58" s="132" t="s">
        <v>382</v>
      </c>
      <c r="C58" s="102" t="s">
        <v>381</v>
      </c>
      <c r="D58" s="99" t="s">
        <v>349</v>
      </c>
      <c r="E58" s="120">
        <v>0.08</v>
      </c>
      <c r="F58" s="120">
        <f>E58*F52</f>
        <v>2.1455999999999999E-2</v>
      </c>
      <c r="G58" s="126"/>
      <c r="H58" s="120"/>
      <c r="I58" s="120"/>
      <c r="J58" s="120"/>
      <c r="K58" s="120"/>
      <c r="L58" s="120"/>
      <c r="M58" s="120"/>
    </row>
    <row r="59" spans="1:14">
      <c r="A59" s="143" t="s">
        <v>221</v>
      </c>
      <c r="B59" s="116"/>
      <c r="C59" s="102" t="s">
        <v>14</v>
      </c>
      <c r="D59" s="99" t="s">
        <v>25</v>
      </c>
      <c r="E59" s="120">
        <v>7</v>
      </c>
      <c r="F59" s="120">
        <f>E59*F52</f>
        <v>1.8774</v>
      </c>
      <c r="G59" s="120"/>
      <c r="H59" s="120"/>
      <c r="I59" s="120"/>
      <c r="J59" s="120"/>
      <c r="K59" s="120"/>
      <c r="L59" s="120"/>
      <c r="M59" s="120"/>
    </row>
    <row r="60" spans="1:14">
      <c r="A60" s="143"/>
      <c r="B60" s="183"/>
      <c r="C60" s="162"/>
      <c r="D60" s="143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1:14">
      <c r="A61" s="167">
        <v>1.1000000000000001</v>
      </c>
      <c r="B61" s="132" t="s">
        <v>386</v>
      </c>
      <c r="C61" s="102" t="s">
        <v>391</v>
      </c>
      <c r="D61" s="143" t="s">
        <v>349</v>
      </c>
      <c r="E61" s="149"/>
      <c r="F61" s="149">
        <v>31.5</v>
      </c>
      <c r="G61" s="149"/>
      <c r="H61" s="149"/>
      <c r="I61" s="149"/>
      <c r="J61" s="149"/>
      <c r="K61" s="149"/>
      <c r="L61" s="149"/>
      <c r="M61" s="149"/>
      <c r="N61" s="168"/>
    </row>
    <row r="62" spans="1:14">
      <c r="A62" s="167"/>
      <c r="B62" s="116"/>
      <c r="C62" s="102"/>
      <c r="D62" s="99" t="s">
        <v>362</v>
      </c>
      <c r="E62" s="120"/>
      <c r="F62" s="125">
        <f>F61/100</f>
        <v>0.315</v>
      </c>
      <c r="G62" s="120"/>
      <c r="H62" s="120"/>
      <c r="I62" s="120"/>
      <c r="J62" s="120"/>
      <c r="K62" s="120"/>
      <c r="L62" s="120"/>
      <c r="M62" s="120"/>
      <c r="N62" s="168"/>
    </row>
    <row r="63" spans="1:14">
      <c r="A63" s="143" t="s">
        <v>65</v>
      </c>
      <c r="B63" s="116"/>
      <c r="C63" s="102" t="s">
        <v>40</v>
      </c>
      <c r="D63" s="99" t="s">
        <v>1</v>
      </c>
      <c r="E63" s="126">
        <v>599</v>
      </c>
      <c r="F63" s="120">
        <f>E63*F62</f>
        <v>188.685</v>
      </c>
      <c r="G63" s="120"/>
      <c r="H63" s="120"/>
      <c r="I63" s="120"/>
      <c r="J63" s="120"/>
      <c r="K63" s="120"/>
      <c r="L63" s="120"/>
      <c r="M63" s="120"/>
    </row>
    <row r="64" spans="1:14">
      <c r="A64" s="143" t="s">
        <v>209</v>
      </c>
      <c r="B64" s="116"/>
      <c r="C64" s="133" t="s">
        <v>385</v>
      </c>
      <c r="D64" s="99" t="s">
        <v>25</v>
      </c>
      <c r="E64" s="126">
        <v>109</v>
      </c>
      <c r="F64" s="120">
        <f>E64*F62</f>
        <v>34.335000000000001</v>
      </c>
      <c r="G64" s="120"/>
      <c r="H64" s="120"/>
      <c r="I64" s="120"/>
      <c r="J64" s="120"/>
      <c r="K64" s="120"/>
      <c r="L64" s="120"/>
      <c r="M64" s="120"/>
    </row>
    <row r="65" spans="1:14">
      <c r="A65" s="143" t="s">
        <v>210</v>
      </c>
      <c r="B65" s="132" t="s">
        <v>380</v>
      </c>
      <c r="C65" s="102" t="s">
        <v>172</v>
      </c>
      <c r="D65" s="99" t="s">
        <v>349</v>
      </c>
      <c r="E65" s="126">
        <v>101.5</v>
      </c>
      <c r="F65" s="120">
        <f>E65*F62</f>
        <v>31.9725</v>
      </c>
      <c r="G65" s="126"/>
      <c r="H65" s="120"/>
      <c r="I65" s="120"/>
      <c r="J65" s="120"/>
      <c r="K65" s="120"/>
      <c r="L65" s="120"/>
      <c r="M65" s="120"/>
    </row>
    <row r="66" spans="1:14">
      <c r="A66" s="143" t="s">
        <v>250</v>
      </c>
      <c r="B66" s="132" t="s">
        <v>379</v>
      </c>
      <c r="C66" s="102" t="s">
        <v>124</v>
      </c>
      <c r="D66" s="99" t="s">
        <v>23</v>
      </c>
      <c r="E66" s="104" t="s">
        <v>89</v>
      </c>
      <c r="F66" s="104">
        <v>8.6630000000000003</v>
      </c>
      <c r="G66" s="126"/>
      <c r="H66" s="120"/>
      <c r="I66" s="120"/>
      <c r="J66" s="120"/>
      <c r="K66" s="104"/>
      <c r="L66" s="120"/>
      <c r="M66" s="120"/>
    </row>
    <row r="67" spans="1:14">
      <c r="A67" s="143" t="s">
        <v>278</v>
      </c>
      <c r="B67" s="132" t="s">
        <v>378</v>
      </c>
      <c r="C67" s="133" t="s">
        <v>377</v>
      </c>
      <c r="D67" s="118" t="s">
        <v>359</v>
      </c>
      <c r="E67" s="126">
        <v>118</v>
      </c>
      <c r="F67" s="126">
        <f>E67*F62</f>
        <v>37.17</v>
      </c>
      <c r="G67" s="126"/>
      <c r="H67" s="126"/>
      <c r="I67" s="126"/>
      <c r="J67" s="126"/>
      <c r="K67" s="126"/>
      <c r="L67" s="126"/>
      <c r="M67" s="126"/>
    </row>
    <row r="68" spans="1:14">
      <c r="A68" s="143" t="s">
        <v>279</v>
      </c>
      <c r="B68" s="132" t="s">
        <v>382</v>
      </c>
      <c r="C68" s="102" t="s">
        <v>381</v>
      </c>
      <c r="D68" s="99" t="s">
        <v>349</v>
      </c>
      <c r="E68" s="126">
        <f>0.21+2.78</f>
        <v>2.9899999999999998</v>
      </c>
      <c r="F68" s="120">
        <f>E68*F62</f>
        <v>0.94184999999999997</v>
      </c>
      <c r="G68" s="126"/>
      <c r="H68" s="120"/>
      <c r="I68" s="120"/>
      <c r="J68" s="120"/>
      <c r="K68" s="120"/>
      <c r="L68" s="120"/>
      <c r="M68" s="120"/>
    </row>
    <row r="69" spans="1:14">
      <c r="A69" s="143" t="s">
        <v>413</v>
      </c>
      <c r="B69" s="132" t="s">
        <v>387</v>
      </c>
      <c r="C69" s="133" t="s">
        <v>389</v>
      </c>
      <c r="D69" s="118" t="s">
        <v>327</v>
      </c>
      <c r="E69" s="126">
        <v>110</v>
      </c>
      <c r="F69" s="126">
        <f>E69*F62</f>
        <v>34.65</v>
      </c>
      <c r="G69" s="126"/>
      <c r="H69" s="126"/>
      <c r="I69" s="126"/>
      <c r="J69" s="126"/>
      <c r="K69" s="126"/>
      <c r="L69" s="126"/>
      <c r="M69" s="126"/>
    </row>
    <row r="70" spans="1:14">
      <c r="A70" s="143" t="s">
        <v>414</v>
      </c>
      <c r="B70" s="132" t="s">
        <v>388</v>
      </c>
      <c r="C70" s="133" t="s">
        <v>390</v>
      </c>
      <c r="D70" s="118" t="s">
        <v>327</v>
      </c>
      <c r="E70" s="126">
        <v>140</v>
      </c>
      <c r="F70" s="126">
        <f>E70*F62</f>
        <v>44.1</v>
      </c>
      <c r="G70" s="126"/>
      <c r="H70" s="126"/>
      <c r="I70" s="126"/>
      <c r="J70" s="126"/>
      <c r="K70" s="126"/>
      <c r="L70" s="126"/>
      <c r="M70" s="126"/>
    </row>
    <row r="71" spans="1:14">
      <c r="A71" s="143" t="s">
        <v>415</v>
      </c>
      <c r="B71" s="116"/>
      <c r="C71" s="102" t="s">
        <v>99</v>
      </c>
      <c r="D71" s="99" t="s">
        <v>25</v>
      </c>
      <c r="E71" s="126">
        <v>32</v>
      </c>
      <c r="F71" s="120">
        <f>E71*F62</f>
        <v>10.08</v>
      </c>
      <c r="G71" s="120"/>
      <c r="H71" s="120"/>
      <c r="I71" s="120"/>
      <c r="J71" s="120"/>
      <c r="K71" s="120"/>
      <c r="L71" s="120"/>
      <c r="M71" s="120"/>
    </row>
    <row r="72" spans="1:14">
      <c r="A72" s="143"/>
      <c r="B72" s="183"/>
      <c r="C72" s="162"/>
      <c r="D72" s="143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1:14">
      <c r="A73" s="167">
        <v>1.1100000000000001</v>
      </c>
      <c r="B73" s="139" t="s">
        <v>392</v>
      </c>
      <c r="C73" s="162" t="s">
        <v>251</v>
      </c>
      <c r="D73" s="143" t="s">
        <v>359</v>
      </c>
      <c r="E73" s="149"/>
      <c r="F73" s="149">
        <v>126</v>
      </c>
      <c r="G73" s="149"/>
      <c r="H73" s="149"/>
      <c r="I73" s="149"/>
      <c r="J73" s="149"/>
      <c r="K73" s="149"/>
      <c r="L73" s="149"/>
      <c r="M73" s="149"/>
      <c r="N73" s="168"/>
    </row>
    <row r="74" spans="1:14">
      <c r="A74" s="167"/>
      <c r="B74" s="129"/>
      <c r="C74" s="102"/>
      <c r="D74" s="99" t="s">
        <v>364</v>
      </c>
      <c r="E74" s="120"/>
      <c r="F74" s="125">
        <f>F73/100</f>
        <v>1.26</v>
      </c>
      <c r="G74" s="120"/>
      <c r="H74" s="120"/>
      <c r="I74" s="120"/>
      <c r="J74" s="120"/>
      <c r="K74" s="120"/>
      <c r="L74" s="120"/>
      <c r="M74" s="120"/>
      <c r="N74" s="168"/>
    </row>
    <row r="75" spans="1:14">
      <c r="A75" s="143" t="s">
        <v>67</v>
      </c>
      <c r="B75" s="109"/>
      <c r="C75" s="102" t="s">
        <v>15</v>
      </c>
      <c r="D75" s="99" t="s">
        <v>1</v>
      </c>
      <c r="E75" s="126">
        <v>33.6</v>
      </c>
      <c r="F75" s="120">
        <f>E75*F74</f>
        <v>42.336000000000006</v>
      </c>
      <c r="G75" s="120"/>
      <c r="H75" s="120"/>
      <c r="I75" s="126"/>
      <c r="J75" s="120"/>
      <c r="K75" s="120"/>
      <c r="L75" s="120"/>
      <c r="M75" s="120"/>
    </row>
    <row r="76" spans="1:14">
      <c r="A76" s="143" t="s">
        <v>196</v>
      </c>
      <c r="B76" s="109"/>
      <c r="C76" s="102" t="s">
        <v>13</v>
      </c>
      <c r="D76" s="99" t="s">
        <v>25</v>
      </c>
      <c r="E76" s="126">
        <v>1.5</v>
      </c>
      <c r="F76" s="120">
        <f>E76*F74</f>
        <v>1.8900000000000001</v>
      </c>
      <c r="G76" s="120"/>
      <c r="H76" s="120"/>
      <c r="I76" s="120"/>
      <c r="J76" s="120"/>
      <c r="K76" s="120"/>
      <c r="L76" s="120"/>
      <c r="M76" s="120"/>
    </row>
    <row r="77" spans="1:14">
      <c r="A77" s="143" t="s">
        <v>258</v>
      </c>
      <c r="B77" s="139" t="s">
        <v>393</v>
      </c>
      <c r="C77" s="141" t="s">
        <v>394</v>
      </c>
      <c r="D77" s="99" t="s">
        <v>23</v>
      </c>
      <c r="E77" s="126">
        <v>0.24</v>
      </c>
      <c r="F77" s="120">
        <f>E77*F74</f>
        <v>0.3024</v>
      </c>
      <c r="G77" s="126"/>
      <c r="H77" s="120"/>
      <c r="I77" s="120"/>
      <c r="J77" s="120"/>
      <c r="K77" s="120"/>
      <c r="L77" s="120"/>
      <c r="M77" s="120"/>
    </row>
    <row r="78" spans="1:14">
      <c r="A78" s="143" t="s">
        <v>280</v>
      </c>
      <c r="B78" s="109"/>
      <c r="C78" s="102" t="s">
        <v>99</v>
      </c>
      <c r="D78" s="99" t="s">
        <v>25</v>
      </c>
      <c r="E78" s="126">
        <v>2.2799999999999998</v>
      </c>
      <c r="F78" s="120">
        <f>E78*F74</f>
        <v>2.8727999999999998</v>
      </c>
      <c r="G78" s="120"/>
      <c r="H78" s="120"/>
      <c r="I78" s="120"/>
      <c r="J78" s="120"/>
      <c r="K78" s="120"/>
      <c r="L78" s="120"/>
      <c r="M78" s="120"/>
    </row>
    <row r="79" spans="1:14">
      <c r="A79" s="143"/>
      <c r="B79" s="140"/>
      <c r="C79" s="162"/>
      <c r="D79" s="143"/>
      <c r="E79" s="149"/>
      <c r="F79" s="149"/>
      <c r="G79" s="149"/>
      <c r="H79" s="149"/>
      <c r="I79" s="149"/>
      <c r="J79" s="149"/>
      <c r="K79" s="149"/>
      <c r="L79" s="149"/>
      <c r="M79" s="149"/>
    </row>
    <row r="80" spans="1:14">
      <c r="A80" s="167">
        <v>1.1200000000000001</v>
      </c>
      <c r="B80" s="139" t="s">
        <v>395</v>
      </c>
      <c r="C80" s="102" t="s">
        <v>253</v>
      </c>
      <c r="D80" s="143" t="s">
        <v>359</v>
      </c>
      <c r="E80" s="120"/>
      <c r="F80" s="120">
        <v>252</v>
      </c>
      <c r="G80" s="120"/>
      <c r="H80" s="120"/>
      <c r="I80" s="120"/>
      <c r="J80" s="120"/>
      <c r="K80" s="120"/>
      <c r="L80" s="120"/>
      <c r="M80" s="120"/>
    </row>
    <row r="81" spans="1:14">
      <c r="A81" s="167"/>
      <c r="B81" s="139" t="s">
        <v>396</v>
      </c>
      <c r="C81" s="102"/>
      <c r="D81" s="99" t="s">
        <v>364</v>
      </c>
      <c r="E81" s="120"/>
      <c r="F81" s="125">
        <f>F80/100</f>
        <v>2.52</v>
      </c>
      <c r="G81" s="120"/>
      <c r="H81" s="120"/>
      <c r="I81" s="120"/>
      <c r="J81" s="120"/>
      <c r="K81" s="120"/>
      <c r="L81" s="120"/>
      <c r="M81" s="120"/>
    </row>
    <row r="82" spans="1:14">
      <c r="A82" s="143" t="s">
        <v>211</v>
      </c>
      <c r="B82" s="109"/>
      <c r="C82" s="102" t="s">
        <v>15</v>
      </c>
      <c r="D82" s="99" t="s">
        <v>1</v>
      </c>
      <c r="E82" s="126">
        <f>95.94-14.36</f>
        <v>81.58</v>
      </c>
      <c r="F82" s="120">
        <f>E82*F81</f>
        <v>205.58160000000001</v>
      </c>
      <c r="G82" s="120"/>
      <c r="H82" s="120"/>
      <c r="I82" s="120"/>
      <c r="J82" s="120"/>
      <c r="K82" s="120"/>
      <c r="L82" s="120"/>
      <c r="M82" s="120"/>
    </row>
    <row r="83" spans="1:14">
      <c r="A83" s="143" t="s">
        <v>256</v>
      </c>
      <c r="B83" s="139" t="s">
        <v>397</v>
      </c>
      <c r="C83" s="102" t="s">
        <v>252</v>
      </c>
      <c r="D83" s="99" t="s">
        <v>359</v>
      </c>
      <c r="E83" s="126">
        <v>206</v>
      </c>
      <c r="F83" s="120">
        <f>E83*F81</f>
        <v>519.12</v>
      </c>
      <c r="G83" s="120"/>
      <c r="H83" s="120"/>
      <c r="I83" s="120"/>
      <c r="J83" s="120"/>
      <c r="K83" s="120"/>
      <c r="L83" s="120"/>
      <c r="M83" s="120"/>
    </row>
    <row r="84" spans="1:14">
      <c r="A84" s="143"/>
      <c r="B84" s="140"/>
      <c r="C84" s="162"/>
      <c r="D84" s="143"/>
      <c r="E84" s="149"/>
      <c r="F84" s="149"/>
      <c r="G84" s="149"/>
      <c r="H84" s="149"/>
      <c r="I84" s="149"/>
      <c r="J84" s="149"/>
      <c r="K84" s="149"/>
      <c r="L84" s="149"/>
      <c r="M84" s="149"/>
    </row>
    <row r="85" spans="1:14">
      <c r="A85" s="143">
        <v>1.1299999999999999</v>
      </c>
      <c r="B85" s="139" t="s">
        <v>398</v>
      </c>
      <c r="C85" s="102" t="s">
        <v>254</v>
      </c>
      <c r="D85" s="143" t="s">
        <v>359</v>
      </c>
      <c r="E85" s="120"/>
      <c r="F85" s="120">
        <v>90</v>
      </c>
      <c r="G85" s="120"/>
      <c r="H85" s="120"/>
      <c r="I85" s="120"/>
      <c r="J85" s="120"/>
      <c r="K85" s="120"/>
      <c r="L85" s="120"/>
      <c r="M85" s="120"/>
    </row>
    <row r="86" spans="1:14">
      <c r="A86" s="143"/>
      <c r="B86" s="142"/>
      <c r="C86" s="102"/>
      <c r="D86" s="99" t="s">
        <v>364</v>
      </c>
      <c r="E86" s="120"/>
      <c r="F86" s="125">
        <f>F85/100</f>
        <v>0.9</v>
      </c>
      <c r="G86" s="120"/>
      <c r="H86" s="120"/>
      <c r="I86" s="120"/>
      <c r="J86" s="120"/>
      <c r="K86" s="120"/>
      <c r="L86" s="120"/>
      <c r="M86" s="120"/>
    </row>
    <row r="87" spans="1:14">
      <c r="A87" s="143" t="s">
        <v>68</v>
      </c>
      <c r="B87" s="109"/>
      <c r="C87" s="102" t="s">
        <v>15</v>
      </c>
      <c r="D87" s="99" t="s">
        <v>1</v>
      </c>
      <c r="E87" s="126">
        <v>7</v>
      </c>
      <c r="F87" s="120">
        <f>E87*F86</f>
        <v>6.3</v>
      </c>
      <c r="G87" s="120"/>
      <c r="H87" s="120"/>
      <c r="I87" s="120"/>
      <c r="J87" s="120"/>
      <c r="K87" s="120"/>
      <c r="L87" s="120"/>
      <c r="M87" s="120"/>
    </row>
    <row r="88" spans="1:14">
      <c r="A88" s="143" t="s">
        <v>281</v>
      </c>
      <c r="B88" s="139" t="s">
        <v>399</v>
      </c>
      <c r="C88" s="102" t="s">
        <v>255</v>
      </c>
      <c r="D88" s="99" t="s">
        <v>359</v>
      </c>
      <c r="E88" s="126">
        <v>115</v>
      </c>
      <c r="F88" s="120">
        <f>E88*F86</f>
        <v>103.5</v>
      </c>
      <c r="G88" s="126"/>
      <c r="H88" s="120"/>
      <c r="I88" s="120"/>
      <c r="J88" s="120"/>
      <c r="K88" s="120"/>
      <c r="L88" s="120"/>
      <c r="M88" s="120"/>
    </row>
    <row r="89" spans="1:14">
      <c r="A89" s="143"/>
      <c r="B89" s="139" t="s">
        <v>400</v>
      </c>
      <c r="C89" s="150" t="s">
        <v>401</v>
      </c>
      <c r="D89" s="151" t="s">
        <v>88</v>
      </c>
      <c r="E89" s="152">
        <v>400</v>
      </c>
      <c r="F89" s="152">
        <f>E89*F86</f>
        <v>360</v>
      </c>
      <c r="G89" s="152"/>
      <c r="H89" s="126"/>
      <c r="I89" s="126"/>
      <c r="J89" s="126"/>
      <c r="K89" s="126"/>
      <c r="L89" s="126"/>
      <c r="M89" s="126"/>
    </row>
    <row r="90" spans="1:14">
      <c r="A90" s="143"/>
      <c r="B90" s="140"/>
      <c r="C90" s="162"/>
      <c r="D90" s="143"/>
      <c r="E90" s="149"/>
      <c r="F90" s="149"/>
      <c r="G90" s="149"/>
      <c r="H90" s="149"/>
      <c r="I90" s="149"/>
      <c r="J90" s="149"/>
      <c r="K90" s="149"/>
      <c r="L90" s="149"/>
      <c r="M90" s="149"/>
    </row>
    <row r="91" spans="1:14">
      <c r="A91" s="167">
        <v>1.1399999999999999</v>
      </c>
      <c r="B91" s="109" t="s">
        <v>383</v>
      </c>
      <c r="C91" s="102" t="s">
        <v>259</v>
      </c>
      <c r="D91" s="143" t="s">
        <v>349</v>
      </c>
      <c r="E91" s="120"/>
      <c r="F91" s="120">
        <v>54</v>
      </c>
      <c r="G91" s="120"/>
      <c r="H91" s="120"/>
      <c r="I91" s="120"/>
      <c r="J91" s="120"/>
      <c r="K91" s="120"/>
      <c r="L91" s="120"/>
      <c r="M91" s="120"/>
      <c r="N91" s="168"/>
    </row>
    <row r="92" spans="1:14">
      <c r="A92" s="167"/>
      <c r="B92" s="109"/>
      <c r="C92" s="102"/>
      <c r="D92" s="99" t="s">
        <v>363</v>
      </c>
      <c r="E92" s="120"/>
      <c r="F92" s="125">
        <f>F91/10</f>
        <v>5.4</v>
      </c>
      <c r="G92" s="120"/>
      <c r="H92" s="120"/>
      <c r="I92" s="120"/>
      <c r="J92" s="120"/>
      <c r="K92" s="120"/>
      <c r="L92" s="120"/>
      <c r="M92" s="120"/>
      <c r="N92" s="168"/>
    </row>
    <row r="93" spans="1:14">
      <c r="A93" s="143" t="s">
        <v>197</v>
      </c>
      <c r="B93" s="109"/>
      <c r="C93" s="102" t="s">
        <v>15</v>
      </c>
      <c r="D93" s="99" t="s">
        <v>1</v>
      </c>
      <c r="E93" s="120">
        <v>17.8</v>
      </c>
      <c r="F93" s="120">
        <f>E93*F92</f>
        <v>96.12</v>
      </c>
      <c r="G93" s="120"/>
      <c r="H93" s="120"/>
      <c r="I93" s="120"/>
      <c r="J93" s="120"/>
      <c r="K93" s="120"/>
      <c r="L93" s="120"/>
      <c r="M93" s="120"/>
    </row>
    <row r="94" spans="1:14">
      <c r="A94" s="143" t="s">
        <v>216</v>
      </c>
      <c r="B94" s="81" t="s">
        <v>353</v>
      </c>
      <c r="C94" s="82" t="s">
        <v>352</v>
      </c>
      <c r="D94" s="99" t="s">
        <v>349</v>
      </c>
      <c r="E94" s="120">
        <v>11</v>
      </c>
      <c r="F94" s="120">
        <f>E94*F92</f>
        <v>59.400000000000006</v>
      </c>
      <c r="G94" s="126"/>
      <c r="H94" s="120"/>
      <c r="I94" s="120"/>
      <c r="J94" s="120"/>
      <c r="K94" s="120"/>
      <c r="L94" s="120"/>
      <c r="M94" s="120"/>
    </row>
    <row r="95" spans="1:14">
      <c r="A95" s="143"/>
      <c r="B95" s="140"/>
      <c r="C95" s="162"/>
      <c r="D95" s="143"/>
      <c r="E95" s="149"/>
      <c r="F95" s="149"/>
      <c r="G95" s="149"/>
      <c r="H95" s="149"/>
      <c r="I95" s="149"/>
      <c r="J95" s="149"/>
      <c r="K95" s="149"/>
      <c r="L95" s="149"/>
      <c r="M95" s="149"/>
    </row>
    <row r="96" spans="1:14">
      <c r="A96" s="143">
        <v>1.1499999999999999</v>
      </c>
      <c r="B96" s="154" t="s">
        <v>403</v>
      </c>
      <c r="C96" s="153" t="s">
        <v>404</v>
      </c>
      <c r="D96" s="143" t="s">
        <v>96</v>
      </c>
      <c r="E96" s="120"/>
      <c r="F96" s="120">
        <v>5</v>
      </c>
      <c r="G96" s="120"/>
      <c r="H96" s="120"/>
      <c r="I96" s="120"/>
      <c r="J96" s="120"/>
      <c r="K96" s="120"/>
      <c r="L96" s="120"/>
      <c r="M96" s="120"/>
      <c r="N96" s="168"/>
    </row>
    <row r="97" spans="1:14">
      <c r="A97" s="143"/>
      <c r="B97" s="155"/>
      <c r="C97" s="153"/>
      <c r="D97" s="143" t="s">
        <v>92</v>
      </c>
      <c r="E97" s="120"/>
      <c r="F97" s="125">
        <f>F96/100</f>
        <v>0.05</v>
      </c>
      <c r="G97" s="120"/>
      <c r="H97" s="120"/>
      <c r="I97" s="120"/>
      <c r="J97" s="120"/>
      <c r="K97" s="120"/>
      <c r="L97" s="120"/>
      <c r="M97" s="120"/>
      <c r="N97" s="168"/>
    </row>
    <row r="98" spans="1:14">
      <c r="A98" s="143" t="s">
        <v>73</v>
      </c>
      <c r="B98" s="116"/>
      <c r="C98" s="102" t="s">
        <v>40</v>
      </c>
      <c r="D98" s="99" t="s">
        <v>1</v>
      </c>
      <c r="E98" s="126">
        <v>33.1</v>
      </c>
      <c r="F98" s="120">
        <f>E98*F97</f>
        <v>1.6550000000000002</v>
      </c>
      <c r="G98" s="120"/>
      <c r="H98" s="120"/>
      <c r="I98" s="120"/>
      <c r="J98" s="120"/>
      <c r="K98" s="120"/>
      <c r="L98" s="120"/>
      <c r="M98" s="120"/>
    </row>
    <row r="99" spans="1:14">
      <c r="A99" s="143" t="s">
        <v>74</v>
      </c>
      <c r="B99" s="116"/>
      <c r="C99" s="102" t="s">
        <v>13</v>
      </c>
      <c r="D99" s="99" t="s">
        <v>25</v>
      </c>
      <c r="E99" s="126">
        <v>0.47</v>
      </c>
      <c r="F99" s="120">
        <f>E99*F97</f>
        <v>2.35E-2</v>
      </c>
      <c r="G99" s="120"/>
      <c r="H99" s="120"/>
      <c r="I99" s="120"/>
      <c r="J99" s="120"/>
      <c r="K99" s="120"/>
      <c r="L99" s="120"/>
      <c r="M99" s="120"/>
    </row>
    <row r="100" spans="1:14">
      <c r="A100" s="143" t="s">
        <v>75</v>
      </c>
      <c r="B100" s="154" t="s">
        <v>406</v>
      </c>
      <c r="C100" s="156" t="s">
        <v>405</v>
      </c>
      <c r="D100" s="99" t="s">
        <v>96</v>
      </c>
      <c r="E100" s="152" t="s">
        <v>407</v>
      </c>
      <c r="F100" s="120">
        <v>5</v>
      </c>
      <c r="G100" s="126"/>
      <c r="H100" s="120"/>
      <c r="I100" s="120"/>
      <c r="J100" s="120"/>
      <c r="K100" s="120"/>
      <c r="L100" s="120"/>
      <c r="M100" s="120"/>
    </row>
    <row r="101" spans="1:14">
      <c r="A101" s="143" t="s">
        <v>76</v>
      </c>
      <c r="B101" s="116"/>
      <c r="C101" s="102" t="s">
        <v>99</v>
      </c>
      <c r="D101" s="99" t="s">
        <v>25</v>
      </c>
      <c r="E101" s="126">
        <v>10.9</v>
      </c>
      <c r="F101" s="120">
        <f>E101*F97</f>
        <v>0.54500000000000004</v>
      </c>
      <c r="G101" s="120"/>
      <c r="H101" s="120"/>
      <c r="I101" s="120"/>
      <c r="J101" s="120"/>
      <c r="K101" s="120"/>
      <c r="L101" s="120"/>
      <c r="M101" s="120"/>
    </row>
    <row r="102" spans="1:14">
      <c r="A102" s="143"/>
      <c r="B102" s="183"/>
      <c r="C102" s="162"/>
      <c r="D102" s="143"/>
      <c r="E102" s="149"/>
      <c r="F102" s="149"/>
      <c r="G102" s="149"/>
      <c r="H102" s="149"/>
      <c r="I102" s="149"/>
      <c r="J102" s="149"/>
      <c r="K102" s="149"/>
      <c r="L102" s="149"/>
      <c r="M102" s="149"/>
    </row>
    <row r="103" spans="1:14">
      <c r="A103" s="167">
        <v>1.1599999999999999</v>
      </c>
      <c r="B103" s="140" t="s">
        <v>178</v>
      </c>
      <c r="C103" s="162" t="s">
        <v>238</v>
      </c>
      <c r="D103" s="143" t="s">
        <v>349</v>
      </c>
      <c r="E103" s="149"/>
      <c r="F103" s="149">
        <v>342</v>
      </c>
      <c r="G103" s="149"/>
      <c r="H103" s="149"/>
      <c r="I103" s="149"/>
      <c r="J103" s="149"/>
      <c r="K103" s="149"/>
      <c r="L103" s="149"/>
      <c r="M103" s="149"/>
      <c r="N103" s="168"/>
    </row>
    <row r="104" spans="1:14">
      <c r="A104" s="167"/>
      <c r="B104" s="109"/>
      <c r="C104" s="102"/>
      <c r="D104" s="99" t="s">
        <v>350</v>
      </c>
      <c r="E104" s="120"/>
      <c r="F104" s="125">
        <f>F103/1000</f>
        <v>0.34200000000000003</v>
      </c>
      <c r="G104" s="120"/>
      <c r="H104" s="120"/>
      <c r="I104" s="120"/>
      <c r="J104" s="120"/>
      <c r="K104" s="120"/>
      <c r="L104" s="120"/>
      <c r="M104" s="120"/>
      <c r="N104" s="168"/>
    </row>
    <row r="105" spans="1:14">
      <c r="A105" s="143" t="s">
        <v>77</v>
      </c>
      <c r="B105" s="109"/>
      <c r="C105" s="102" t="s">
        <v>15</v>
      </c>
      <c r="D105" s="99" t="s">
        <v>1</v>
      </c>
      <c r="E105" s="120">
        <v>15.5</v>
      </c>
      <c r="F105" s="120">
        <f>E105*F104</f>
        <v>5.3010000000000002</v>
      </c>
      <c r="G105" s="120"/>
      <c r="H105" s="120"/>
      <c r="I105" s="120"/>
      <c r="J105" s="120"/>
      <c r="K105" s="120"/>
      <c r="L105" s="120"/>
      <c r="M105" s="120"/>
    </row>
    <row r="106" spans="1:14">
      <c r="A106" s="143" t="s">
        <v>179</v>
      </c>
      <c r="B106" s="81" t="s">
        <v>357</v>
      </c>
      <c r="C106" s="79" t="s">
        <v>356</v>
      </c>
      <c r="D106" s="99" t="s">
        <v>24</v>
      </c>
      <c r="E106" s="120">
        <v>34.700000000000003</v>
      </c>
      <c r="F106" s="120">
        <f>E106*F104</f>
        <v>11.867400000000002</v>
      </c>
      <c r="G106" s="120"/>
      <c r="H106" s="120"/>
      <c r="I106" s="120"/>
      <c r="J106" s="120"/>
      <c r="K106" s="120"/>
      <c r="L106" s="120"/>
      <c r="M106" s="120"/>
    </row>
    <row r="107" spans="1:14">
      <c r="A107" s="143" t="s">
        <v>180</v>
      </c>
      <c r="B107" s="109"/>
      <c r="C107" s="102" t="s">
        <v>13</v>
      </c>
      <c r="D107" s="99" t="s">
        <v>25</v>
      </c>
      <c r="E107" s="120">
        <v>2.1</v>
      </c>
      <c r="F107" s="120">
        <f>E107*F104</f>
        <v>0.71820000000000006</v>
      </c>
      <c r="G107" s="120"/>
      <c r="H107" s="120"/>
      <c r="I107" s="120"/>
      <c r="J107" s="120"/>
      <c r="K107" s="120"/>
      <c r="L107" s="120"/>
      <c r="M107" s="120"/>
    </row>
    <row r="108" spans="1:14">
      <c r="A108" s="143" t="s">
        <v>283</v>
      </c>
      <c r="B108" s="81" t="s">
        <v>353</v>
      </c>
      <c r="C108" s="82" t="s">
        <v>352</v>
      </c>
      <c r="D108" s="99" t="s">
        <v>349</v>
      </c>
      <c r="E108" s="120">
        <v>0.04</v>
      </c>
      <c r="F108" s="120">
        <f>E108*F104</f>
        <v>1.3680000000000001E-2</v>
      </c>
      <c r="G108" s="126"/>
      <c r="H108" s="120"/>
      <c r="I108" s="120"/>
      <c r="J108" s="120"/>
      <c r="K108" s="120"/>
      <c r="L108" s="120"/>
      <c r="M108" s="120"/>
    </row>
    <row r="109" spans="1:14">
      <c r="A109" s="143"/>
      <c r="B109" s="140"/>
      <c r="C109" s="162"/>
      <c r="D109" s="143"/>
      <c r="E109" s="149"/>
      <c r="F109" s="149"/>
      <c r="G109" s="149"/>
      <c r="H109" s="149"/>
      <c r="I109" s="149"/>
      <c r="J109" s="149"/>
      <c r="K109" s="149"/>
      <c r="L109" s="149"/>
      <c r="M109" s="149"/>
    </row>
    <row r="110" spans="1:14">
      <c r="A110" s="143">
        <v>1.17</v>
      </c>
      <c r="B110" s="140" t="s">
        <v>260</v>
      </c>
      <c r="C110" s="162" t="s">
        <v>262</v>
      </c>
      <c r="D110" s="143" t="s">
        <v>349</v>
      </c>
      <c r="E110" s="149"/>
      <c r="F110" s="149">
        <f>F103</f>
        <v>342</v>
      </c>
      <c r="G110" s="149"/>
      <c r="H110" s="149"/>
      <c r="I110" s="149"/>
      <c r="J110" s="149"/>
      <c r="K110" s="149"/>
      <c r="L110" s="149"/>
      <c r="M110" s="149"/>
      <c r="N110" s="168"/>
    </row>
    <row r="111" spans="1:14">
      <c r="A111" s="143"/>
      <c r="B111" s="109"/>
      <c r="C111" s="102"/>
      <c r="D111" s="99" t="s">
        <v>362</v>
      </c>
      <c r="E111" s="120"/>
      <c r="F111" s="125">
        <f>F110/100</f>
        <v>3.42</v>
      </c>
      <c r="G111" s="120"/>
      <c r="H111" s="120"/>
      <c r="I111" s="120"/>
      <c r="J111" s="120"/>
      <c r="K111" s="120"/>
      <c r="L111" s="120"/>
      <c r="M111" s="120"/>
      <c r="N111" s="168"/>
    </row>
    <row r="112" spans="1:14">
      <c r="A112" s="143" t="s">
        <v>181</v>
      </c>
      <c r="B112" s="109"/>
      <c r="C112" s="102" t="s">
        <v>15</v>
      </c>
      <c r="D112" s="99" t="s">
        <v>1</v>
      </c>
      <c r="E112" s="120">
        <v>13.4</v>
      </c>
      <c r="F112" s="120">
        <f>E112*F111</f>
        <v>45.828000000000003</v>
      </c>
      <c r="G112" s="120"/>
      <c r="H112" s="120"/>
      <c r="I112" s="120"/>
      <c r="J112" s="120"/>
      <c r="K112" s="120"/>
      <c r="L112" s="120"/>
      <c r="M112" s="120"/>
    </row>
    <row r="113" spans="1:13">
      <c r="A113" s="143" t="s">
        <v>284</v>
      </c>
      <c r="B113" s="139" t="s">
        <v>408</v>
      </c>
      <c r="C113" s="102" t="s">
        <v>261</v>
      </c>
      <c r="D113" s="99" t="s">
        <v>24</v>
      </c>
      <c r="E113" s="120">
        <v>13</v>
      </c>
      <c r="F113" s="120">
        <f>E113*F111</f>
        <v>44.46</v>
      </c>
      <c r="G113" s="120"/>
      <c r="H113" s="120"/>
      <c r="I113" s="120"/>
      <c r="J113" s="120"/>
      <c r="K113" s="120"/>
      <c r="L113" s="120"/>
      <c r="M113" s="120"/>
    </row>
    <row r="114" spans="1:13">
      <c r="A114" s="143" t="s">
        <v>285</v>
      </c>
      <c r="B114" s="139" t="s">
        <v>409</v>
      </c>
      <c r="C114" s="102" t="s">
        <v>384</v>
      </c>
      <c r="D114" s="99" t="s">
        <v>24</v>
      </c>
      <c r="E114" s="120">
        <f>E113/4</f>
        <v>3.25</v>
      </c>
      <c r="F114" s="120">
        <f>E114*F111</f>
        <v>11.115</v>
      </c>
      <c r="G114" s="120"/>
      <c r="H114" s="120"/>
      <c r="I114" s="120"/>
      <c r="J114" s="120"/>
      <c r="K114" s="126"/>
      <c r="L114" s="120"/>
      <c r="M114" s="120"/>
    </row>
    <row r="115" spans="1:13">
      <c r="A115" s="143"/>
      <c r="B115" s="140"/>
      <c r="C115" s="162"/>
      <c r="D115" s="143"/>
      <c r="E115" s="149"/>
      <c r="F115" s="149"/>
      <c r="G115" s="149"/>
      <c r="H115" s="149"/>
      <c r="I115" s="149"/>
      <c r="J115" s="149"/>
      <c r="K115" s="149"/>
      <c r="L115" s="149"/>
      <c r="M115" s="149"/>
    </row>
    <row r="116" spans="1:13">
      <c r="A116" s="143">
        <v>1.18</v>
      </c>
      <c r="B116" s="140" t="s">
        <v>91</v>
      </c>
      <c r="C116" s="185" t="s">
        <v>264</v>
      </c>
      <c r="D116" s="143" t="s">
        <v>420</v>
      </c>
      <c r="E116" s="119"/>
      <c r="F116" s="119">
        <v>8.5</v>
      </c>
      <c r="G116" s="105"/>
      <c r="H116" s="106"/>
      <c r="I116" s="105"/>
      <c r="J116" s="106"/>
      <c r="K116" s="105"/>
      <c r="L116" s="106"/>
      <c r="M116" s="149"/>
    </row>
    <row r="117" spans="1:13">
      <c r="A117" s="143" t="s">
        <v>286</v>
      </c>
      <c r="B117" s="140"/>
      <c r="C117" s="185" t="s">
        <v>90</v>
      </c>
      <c r="D117" s="143" t="s">
        <v>1</v>
      </c>
      <c r="E117" s="106">
        <v>2</v>
      </c>
      <c r="F117" s="119">
        <f>F116*E117</f>
        <v>17</v>
      </c>
      <c r="G117" s="105"/>
      <c r="H117" s="106"/>
      <c r="I117" s="106"/>
      <c r="J117" s="106"/>
      <c r="K117" s="105"/>
      <c r="L117" s="106"/>
      <c r="M117" s="149"/>
    </row>
    <row r="118" spans="1:13">
      <c r="A118" s="143" t="s">
        <v>287</v>
      </c>
      <c r="B118" s="139" t="s">
        <v>410</v>
      </c>
      <c r="C118" s="185" t="s">
        <v>263</v>
      </c>
      <c r="D118" s="143" t="s">
        <v>420</v>
      </c>
      <c r="E118" s="106">
        <v>1.1000000000000001</v>
      </c>
      <c r="F118" s="119">
        <f>F116*E118</f>
        <v>9.3500000000000014</v>
      </c>
      <c r="G118" s="157"/>
      <c r="H118" s="106"/>
      <c r="I118" s="105"/>
      <c r="J118" s="106"/>
      <c r="K118" s="149"/>
      <c r="L118" s="106"/>
      <c r="M118" s="149"/>
    </row>
    <row r="119" spans="1:13">
      <c r="A119" s="143"/>
      <c r="B119" s="140"/>
      <c r="C119" s="185"/>
      <c r="D119" s="143"/>
      <c r="E119" s="106"/>
      <c r="F119" s="119"/>
      <c r="G119" s="106"/>
      <c r="H119" s="106"/>
      <c r="I119" s="105"/>
      <c r="J119" s="106"/>
      <c r="K119" s="149"/>
      <c r="L119" s="106"/>
      <c r="M119" s="149"/>
    </row>
    <row r="120" spans="1:13">
      <c r="A120" s="143">
        <v>1.19</v>
      </c>
      <c r="B120" s="139" t="s">
        <v>412</v>
      </c>
      <c r="C120" s="185" t="s">
        <v>288</v>
      </c>
      <c r="D120" s="143" t="s">
        <v>359</v>
      </c>
      <c r="E120" s="119"/>
      <c r="F120" s="119">
        <v>100</v>
      </c>
      <c r="G120" s="105"/>
      <c r="H120" s="106"/>
      <c r="I120" s="105"/>
      <c r="J120" s="106"/>
      <c r="K120" s="105"/>
      <c r="L120" s="106"/>
      <c r="M120" s="149"/>
    </row>
    <row r="121" spans="1:13">
      <c r="A121" s="128"/>
      <c r="B121" s="142"/>
      <c r="C121" s="158"/>
      <c r="D121" s="143" t="s">
        <v>364</v>
      </c>
      <c r="E121" s="119"/>
      <c r="F121" s="159">
        <f>F120/100</f>
        <v>1</v>
      </c>
      <c r="G121" s="105"/>
      <c r="H121" s="106"/>
      <c r="I121" s="105"/>
      <c r="J121" s="106"/>
      <c r="K121" s="105"/>
      <c r="L121" s="106"/>
      <c r="M121" s="120"/>
    </row>
    <row r="122" spans="1:13">
      <c r="A122" s="99" t="s">
        <v>289</v>
      </c>
      <c r="B122" s="109"/>
      <c r="C122" s="117" t="s">
        <v>90</v>
      </c>
      <c r="D122" s="99" t="s">
        <v>1</v>
      </c>
      <c r="E122" s="106">
        <v>880</v>
      </c>
      <c r="F122" s="119">
        <f>F121*E122</f>
        <v>880</v>
      </c>
      <c r="G122" s="105"/>
      <c r="H122" s="106"/>
      <c r="I122" s="106"/>
      <c r="J122" s="106"/>
      <c r="K122" s="105"/>
      <c r="L122" s="106"/>
      <c r="M122" s="120"/>
    </row>
    <row r="123" spans="1:13">
      <c r="A123" s="99" t="s">
        <v>290</v>
      </c>
      <c r="B123" s="116"/>
      <c r="C123" s="133" t="s">
        <v>13</v>
      </c>
      <c r="D123" s="118" t="s">
        <v>25</v>
      </c>
      <c r="E123" s="126">
        <v>5</v>
      </c>
      <c r="F123" s="126">
        <f>E123*F121</f>
        <v>5</v>
      </c>
      <c r="G123" s="126"/>
      <c r="H123" s="126"/>
      <c r="I123" s="126"/>
      <c r="J123" s="126"/>
      <c r="K123" s="126"/>
      <c r="L123" s="126"/>
      <c r="M123" s="126"/>
    </row>
    <row r="124" spans="1:13">
      <c r="A124" s="99" t="s">
        <v>421</v>
      </c>
      <c r="B124" s="139" t="s">
        <v>411</v>
      </c>
      <c r="C124" s="117" t="s">
        <v>291</v>
      </c>
      <c r="D124" s="99" t="s">
        <v>359</v>
      </c>
      <c r="E124" s="106">
        <v>100</v>
      </c>
      <c r="F124" s="119">
        <f>F121*E124</f>
        <v>100</v>
      </c>
      <c r="G124" s="106"/>
      <c r="H124" s="106"/>
      <c r="I124" s="105"/>
      <c r="J124" s="106"/>
      <c r="K124" s="120"/>
      <c r="L124" s="120"/>
      <c r="M124" s="120"/>
    </row>
    <row r="125" spans="1:13">
      <c r="A125" s="99" t="s">
        <v>422</v>
      </c>
      <c r="B125" s="139" t="s">
        <v>416</v>
      </c>
      <c r="C125" s="141" t="s">
        <v>103</v>
      </c>
      <c r="D125" s="151" t="s">
        <v>349</v>
      </c>
      <c r="E125" s="152">
        <v>52.5</v>
      </c>
      <c r="F125" s="152">
        <f>E125*F121</f>
        <v>52.5</v>
      </c>
      <c r="G125" s="152"/>
      <c r="H125" s="152"/>
      <c r="I125" s="152"/>
      <c r="J125" s="152"/>
      <c r="K125" s="152"/>
      <c r="L125" s="152"/>
      <c r="M125" s="152"/>
    </row>
    <row r="126" spans="1:13">
      <c r="A126" s="99" t="s">
        <v>423</v>
      </c>
      <c r="B126" s="139"/>
      <c r="C126" s="141" t="s">
        <v>99</v>
      </c>
      <c r="D126" s="151" t="s">
        <v>25</v>
      </c>
      <c r="E126" s="152">
        <v>11</v>
      </c>
      <c r="F126" s="152">
        <f>E126*F121</f>
        <v>11</v>
      </c>
      <c r="G126" s="152"/>
      <c r="H126" s="152"/>
      <c r="I126" s="152"/>
      <c r="J126" s="152"/>
      <c r="K126" s="152"/>
      <c r="L126" s="152"/>
      <c r="M126" s="152"/>
    </row>
    <row r="127" spans="1:13">
      <c r="A127" s="143"/>
      <c r="B127" s="140"/>
      <c r="C127" s="185"/>
      <c r="D127" s="143"/>
      <c r="E127" s="106"/>
      <c r="F127" s="119"/>
      <c r="G127" s="106"/>
      <c r="H127" s="106"/>
      <c r="I127" s="105"/>
      <c r="J127" s="106"/>
      <c r="K127" s="149"/>
      <c r="L127" s="149"/>
      <c r="M127" s="149"/>
    </row>
    <row r="128" spans="1:13" s="187" customFormat="1">
      <c r="A128" s="92"/>
      <c r="B128" s="85"/>
      <c r="C128" s="92" t="s">
        <v>4</v>
      </c>
      <c r="D128" s="92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s="182" customFormat="1">
      <c r="A129" s="143"/>
      <c r="B129" s="140"/>
      <c r="C129" s="143"/>
      <c r="D129" s="143"/>
      <c r="E129" s="149"/>
      <c r="F129" s="149"/>
      <c r="G129" s="149"/>
      <c r="H129" s="149"/>
      <c r="I129" s="149"/>
      <c r="J129" s="149"/>
      <c r="K129" s="149"/>
      <c r="L129" s="149"/>
      <c r="M129" s="149"/>
    </row>
    <row r="130" spans="1:13" s="182" customFormat="1">
      <c r="A130" s="143"/>
      <c r="B130" s="140"/>
      <c r="C130" s="143" t="s">
        <v>10</v>
      </c>
      <c r="D130" s="164">
        <v>0.1</v>
      </c>
      <c r="E130" s="149"/>
      <c r="F130" s="149"/>
      <c r="G130" s="149"/>
      <c r="H130" s="149"/>
      <c r="I130" s="149"/>
      <c r="J130" s="149"/>
      <c r="K130" s="149"/>
      <c r="L130" s="149"/>
      <c r="M130" s="149"/>
    </row>
    <row r="131" spans="1:13" s="182" customFormat="1">
      <c r="A131" s="143"/>
      <c r="B131" s="140"/>
      <c r="C131" s="143" t="s">
        <v>4</v>
      </c>
      <c r="D131" s="164"/>
      <c r="E131" s="149"/>
      <c r="F131" s="149"/>
      <c r="G131" s="149"/>
      <c r="H131" s="149"/>
      <c r="I131" s="149"/>
      <c r="J131" s="149"/>
      <c r="K131" s="149"/>
      <c r="L131" s="149"/>
      <c r="M131" s="149"/>
    </row>
    <row r="132" spans="1:13" s="182" customFormat="1">
      <c r="A132" s="143"/>
      <c r="B132" s="140"/>
      <c r="C132" s="143" t="s">
        <v>11</v>
      </c>
      <c r="D132" s="164">
        <v>0.08</v>
      </c>
      <c r="E132" s="149"/>
      <c r="F132" s="149"/>
      <c r="G132" s="149"/>
      <c r="H132" s="149"/>
      <c r="I132" s="149"/>
      <c r="J132" s="149"/>
      <c r="K132" s="149"/>
      <c r="L132" s="149"/>
      <c r="M132" s="149"/>
    </row>
    <row r="133" spans="1:13" s="182" customFormat="1">
      <c r="A133" s="143"/>
      <c r="B133" s="140"/>
      <c r="C133" s="143"/>
      <c r="D133" s="164"/>
      <c r="E133" s="149"/>
      <c r="F133" s="149"/>
      <c r="G133" s="149"/>
      <c r="H133" s="149"/>
      <c r="I133" s="149"/>
      <c r="J133" s="149"/>
      <c r="K133" s="149"/>
      <c r="L133" s="149"/>
      <c r="M133" s="149"/>
    </row>
    <row r="134" spans="1:13" s="187" customFormat="1">
      <c r="A134" s="92"/>
      <c r="B134" s="85"/>
      <c r="C134" s="92" t="s">
        <v>4</v>
      </c>
      <c r="D134" s="92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>
      <c r="B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6"/>
    </row>
    <row r="136" spans="1:13">
      <c r="B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6"/>
    </row>
    <row r="137" spans="1:13">
      <c r="B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6"/>
    </row>
    <row r="138" spans="1:13">
      <c r="B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6"/>
    </row>
    <row r="139" spans="1:13">
      <c r="B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6"/>
    </row>
    <row r="140" spans="1:13">
      <c r="B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6"/>
    </row>
    <row r="141" spans="1:13">
      <c r="B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6"/>
    </row>
    <row r="142" spans="1:13">
      <c r="B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6"/>
    </row>
    <row r="143" spans="1:13">
      <c r="B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6"/>
    </row>
    <row r="144" spans="1:13">
      <c r="B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6"/>
    </row>
    <row r="145" spans="2:13">
      <c r="B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6"/>
    </row>
    <row r="146" spans="2:13">
      <c r="B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6"/>
    </row>
    <row r="147" spans="2:13">
      <c r="B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6"/>
    </row>
    <row r="148" spans="2:13">
      <c r="B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6"/>
    </row>
    <row r="149" spans="2:13">
      <c r="B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6"/>
    </row>
    <row r="150" spans="2:13">
      <c r="B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6"/>
    </row>
    <row r="151" spans="2:13">
      <c r="B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6"/>
    </row>
    <row r="152" spans="2:13">
      <c r="B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6"/>
    </row>
    <row r="153" spans="2:13">
      <c r="B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6"/>
    </row>
    <row r="154" spans="2:13">
      <c r="B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6"/>
    </row>
    <row r="155" spans="2:13">
      <c r="B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6"/>
    </row>
    <row r="156" spans="2:13">
      <c r="B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6"/>
    </row>
    <row r="157" spans="2:13">
      <c r="B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6"/>
    </row>
    <row r="158" spans="2:13">
      <c r="B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6"/>
    </row>
    <row r="159" spans="2:13">
      <c r="B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6"/>
    </row>
    <row r="160" spans="2:13">
      <c r="B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6"/>
    </row>
    <row r="161" spans="2:13">
      <c r="B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6"/>
    </row>
    <row r="162" spans="2:13">
      <c r="B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6"/>
    </row>
    <row r="163" spans="2:13">
      <c r="B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6"/>
    </row>
    <row r="164" spans="2:13">
      <c r="B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6"/>
    </row>
    <row r="165" spans="2:13">
      <c r="B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6"/>
    </row>
    <row r="166" spans="2:13">
      <c r="B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6"/>
    </row>
    <row r="167" spans="2:13">
      <c r="B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6"/>
    </row>
    <row r="168" spans="2:13">
      <c r="B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6"/>
    </row>
    <row r="169" spans="2:13">
      <c r="B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6"/>
    </row>
    <row r="170" spans="2:13">
      <c r="B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6"/>
    </row>
    <row r="171" spans="2:13">
      <c r="B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6"/>
    </row>
    <row r="172" spans="2:13">
      <c r="B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6"/>
    </row>
    <row r="173" spans="2:13">
      <c r="B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6"/>
    </row>
    <row r="174" spans="2:13">
      <c r="B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6"/>
    </row>
    <row r="175" spans="2:13">
      <c r="B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6"/>
    </row>
  </sheetData>
  <autoFilter ref="A1:M175"/>
  <mergeCells count="10">
    <mergeCell ref="A2:M2"/>
    <mergeCell ref="A4:A5"/>
    <mergeCell ref="B4:B5"/>
    <mergeCell ref="C4:C5"/>
    <mergeCell ref="D4:D5"/>
    <mergeCell ref="M4:M5"/>
    <mergeCell ref="E4:F4"/>
    <mergeCell ref="G4:H4"/>
    <mergeCell ref="I4:J4"/>
    <mergeCell ref="K4:L4"/>
  </mergeCells>
  <conditionalFormatting sqref="L80:L88">
    <cfRule type="cellIs" dxfId="9" priority="13" stopIfTrue="1" operator="equal">
      <formula>8223.307275</formula>
    </cfRule>
  </conditionalFormatting>
  <conditionalFormatting sqref="L90">
    <cfRule type="cellIs" dxfId="8" priority="12" stopIfTrue="1" operator="equal">
      <formula>8223.307275</formula>
    </cfRule>
  </conditionalFormatting>
  <conditionalFormatting sqref="L120">
    <cfRule type="cellIs" dxfId="7" priority="9" stopIfTrue="1" operator="equal">
      <formula>8223.307275</formula>
    </cfRule>
  </conditionalFormatting>
  <conditionalFormatting sqref="L118:L119">
    <cfRule type="cellIs" dxfId="6" priority="8" stopIfTrue="1" operator="equal">
      <formula>8223.307275</formula>
    </cfRule>
  </conditionalFormatting>
  <conditionalFormatting sqref="L116:L117">
    <cfRule type="cellIs" dxfId="5" priority="7" stopIfTrue="1" operator="equal">
      <formula>8223.307275</formula>
    </cfRule>
  </conditionalFormatting>
  <conditionalFormatting sqref="L89">
    <cfRule type="cellIs" dxfId="4" priority="2" stopIfTrue="1" operator="equal">
      <formula>8223.307275</formula>
    </cfRule>
  </conditionalFormatting>
  <conditionalFormatting sqref="L121:L122">
    <cfRule type="cellIs" dxfId="3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6"/>
  <sheetViews>
    <sheetView view="pageBreakPreview" topLeftCell="A121" zoomScaleNormal="60" zoomScaleSheetLayoutView="100" workbookViewId="0">
      <selection activeCell="A134" sqref="A134:XFD134"/>
    </sheetView>
  </sheetViews>
  <sheetFormatPr defaultRowHeight="12.75"/>
  <cols>
    <col min="1" max="1" width="7.5703125" style="179" customWidth="1"/>
    <col min="2" max="2" width="15" style="173" customWidth="1"/>
    <col min="3" max="3" width="61.5703125" style="173" customWidth="1"/>
    <col min="4" max="12" width="9.85546875" style="173" customWidth="1"/>
    <col min="13" max="13" width="11.7109375" style="178" customWidth="1"/>
    <col min="14" max="16" width="20.7109375" style="165" customWidth="1"/>
    <col min="17" max="16384" width="9.140625" style="165"/>
  </cols>
  <sheetData>
    <row r="1" spans="1:14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67"/>
    </row>
    <row r="2" spans="1:14" s="190" customFormat="1">
      <c r="A2" s="297" t="s">
        <v>309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s="190" customFormat="1">
      <c r="A3" s="9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190" customFormat="1">
      <c r="A4" s="9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s="166" customFormat="1" ht="27" customHeight="1">
      <c r="A5" s="296" t="s">
        <v>336</v>
      </c>
      <c r="B5" s="295" t="s">
        <v>337</v>
      </c>
      <c r="C5" s="295" t="s">
        <v>338</v>
      </c>
      <c r="D5" s="295" t="s">
        <v>339</v>
      </c>
      <c r="E5" s="296" t="s">
        <v>340</v>
      </c>
      <c r="F5" s="296"/>
      <c r="G5" s="295" t="s">
        <v>341</v>
      </c>
      <c r="H5" s="295"/>
      <c r="I5" s="295" t="s">
        <v>6</v>
      </c>
      <c r="J5" s="295"/>
      <c r="K5" s="296" t="s">
        <v>342</v>
      </c>
      <c r="L5" s="296"/>
      <c r="M5" s="296" t="s">
        <v>4</v>
      </c>
    </row>
    <row r="6" spans="1:14" s="166" customFormat="1">
      <c r="A6" s="296"/>
      <c r="B6" s="295"/>
      <c r="C6" s="295"/>
      <c r="D6" s="295"/>
      <c r="E6" s="94" t="s">
        <v>343</v>
      </c>
      <c r="F6" s="94" t="s">
        <v>243</v>
      </c>
      <c r="G6" s="94" t="s">
        <v>343</v>
      </c>
      <c r="H6" s="94" t="s">
        <v>243</v>
      </c>
      <c r="I6" s="94" t="s">
        <v>343</v>
      </c>
      <c r="J6" s="94" t="s">
        <v>243</v>
      </c>
      <c r="K6" s="94" t="s">
        <v>343</v>
      </c>
      <c r="L6" s="94" t="s">
        <v>243</v>
      </c>
      <c r="M6" s="296"/>
    </row>
    <row r="7" spans="1:14" s="166" customFormat="1">
      <c r="A7" s="94">
        <v>1</v>
      </c>
      <c r="B7" s="94">
        <v>2</v>
      </c>
      <c r="C7" s="95">
        <v>3</v>
      </c>
      <c r="D7" s="94">
        <v>4</v>
      </c>
      <c r="E7" s="94">
        <v>5</v>
      </c>
      <c r="F7" s="94">
        <v>6</v>
      </c>
      <c r="G7" s="94">
        <v>7</v>
      </c>
      <c r="H7" s="77">
        <v>8</v>
      </c>
      <c r="I7" s="94">
        <v>9</v>
      </c>
      <c r="J7" s="77">
        <v>10</v>
      </c>
      <c r="K7" s="94">
        <v>11</v>
      </c>
      <c r="L7" s="77">
        <v>12</v>
      </c>
      <c r="M7" s="77">
        <v>13</v>
      </c>
    </row>
    <row r="8" spans="1:14" s="166" customFormat="1">
      <c r="A8" s="92"/>
      <c r="B8" s="92"/>
      <c r="C8" s="92"/>
      <c r="D8" s="92"/>
      <c r="E8" s="47"/>
      <c r="F8" s="47"/>
      <c r="G8" s="47"/>
      <c r="H8" s="47"/>
      <c r="I8" s="47"/>
      <c r="J8" s="47"/>
      <c r="K8" s="47"/>
      <c r="L8" s="47"/>
      <c r="M8" s="47"/>
    </row>
    <row r="9" spans="1:14" s="166" customFormat="1">
      <c r="A9" s="92"/>
      <c r="B9" s="143"/>
      <c r="C9" s="93" t="s">
        <v>316</v>
      </c>
      <c r="D9" s="143"/>
      <c r="E9" s="149"/>
      <c r="F9" s="149"/>
      <c r="G9" s="149"/>
      <c r="H9" s="149"/>
      <c r="I9" s="149"/>
      <c r="J9" s="149"/>
      <c r="K9" s="149"/>
      <c r="L9" s="149"/>
      <c r="M9" s="149"/>
    </row>
    <row r="10" spans="1:14" s="166" customFormat="1">
      <c r="A10" s="92"/>
      <c r="B10" s="143"/>
      <c r="C10" s="93"/>
      <c r="D10" s="143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4" ht="25.5">
      <c r="A11" s="143">
        <v>1.1000000000000001</v>
      </c>
      <c r="B11" s="140" t="s">
        <v>241</v>
      </c>
      <c r="C11" s="184" t="s">
        <v>246</v>
      </c>
      <c r="D11" s="143" t="s">
        <v>349</v>
      </c>
      <c r="E11" s="149"/>
      <c r="F11" s="149">
        <v>217</v>
      </c>
      <c r="G11" s="149"/>
      <c r="H11" s="149"/>
      <c r="I11" s="149"/>
      <c r="J11" s="149"/>
      <c r="K11" s="149"/>
      <c r="L11" s="149"/>
      <c r="M11" s="149"/>
      <c r="N11" s="168"/>
    </row>
    <row r="12" spans="1:14">
      <c r="A12" s="143"/>
      <c r="B12" s="109"/>
      <c r="C12" s="102"/>
      <c r="D12" s="99" t="s">
        <v>350</v>
      </c>
      <c r="E12" s="120"/>
      <c r="F12" s="125">
        <f>F11/1000</f>
        <v>0.217</v>
      </c>
      <c r="G12" s="120"/>
      <c r="H12" s="120"/>
      <c r="I12" s="120"/>
      <c r="J12" s="120"/>
      <c r="K12" s="120"/>
      <c r="L12" s="120"/>
      <c r="M12" s="120"/>
      <c r="N12" s="168"/>
    </row>
    <row r="13" spans="1:14">
      <c r="A13" s="143" t="s">
        <v>0</v>
      </c>
      <c r="B13" s="109"/>
      <c r="C13" s="102" t="s">
        <v>15</v>
      </c>
      <c r="D13" s="99" t="s">
        <v>1</v>
      </c>
      <c r="E13" s="120">
        <v>27</v>
      </c>
      <c r="F13" s="120">
        <f>E13*F12</f>
        <v>5.859</v>
      </c>
      <c r="G13" s="120"/>
      <c r="H13" s="120"/>
      <c r="I13" s="120"/>
      <c r="J13" s="120"/>
      <c r="K13" s="120"/>
      <c r="L13" s="120"/>
      <c r="M13" s="120"/>
    </row>
    <row r="14" spans="1:14">
      <c r="A14" s="143" t="s">
        <v>185</v>
      </c>
      <c r="B14" s="81" t="s">
        <v>357</v>
      </c>
      <c r="C14" s="79" t="s">
        <v>356</v>
      </c>
      <c r="D14" s="99" t="s">
        <v>24</v>
      </c>
      <c r="E14" s="120">
        <v>60.5</v>
      </c>
      <c r="F14" s="120">
        <f>E14*F12</f>
        <v>13.128500000000001</v>
      </c>
      <c r="G14" s="120"/>
      <c r="H14" s="120"/>
      <c r="I14" s="120"/>
      <c r="J14" s="120"/>
      <c r="K14" s="120"/>
      <c r="L14" s="120"/>
      <c r="M14" s="120"/>
    </row>
    <row r="15" spans="1:14">
      <c r="A15" s="143" t="s">
        <v>186</v>
      </c>
      <c r="B15" s="109"/>
      <c r="C15" s="102" t="s">
        <v>13</v>
      </c>
      <c r="D15" s="99" t="s">
        <v>25</v>
      </c>
      <c r="E15" s="120">
        <v>2.21</v>
      </c>
      <c r="F15" s="120">
        <f>E15*F12</f>
        <v>0.47957</v>
      </c>
      <c r="G15" s="120"/>
      <c r="H15" s="120"/>
      <c r="I15" s="120"/>
      <c r="J15" s="120"/>
      <c r="K15" s="120"/>
      <c r="L15" s="120"/>
      <c r="M15" s="120"/>
    </row>
    <row r="16" spans="1:14">
      <c r="A16" s="143" t="s">
        <v>187</v>
      </c>
      <c r="B16" s="81" t="s">
        <v>353</v>
      </c>
      <c r="C16" s="82" t="s">
        <v>352</v>
      </c>
      <c r="D16" s="99" t="s">
        <v>349</v>
      </c>
      <c r="E16" s="120">
        <v>0.06</v>
      </c>
      <c r="F16" s="120">
        <f>E16*F12</f>
        <v>1.3019999999999999E-2</v>
      </c>
      <c r="G16" s="126"/>
      <c r="H16" s="120"/>
      <c r="I16" s="120"/>
      <c r="J16" s="120"/>
      <c r="K16" s="120"/>
      <c r="L16" s="120"/>
      <c r="M16" s="120"/>
    </row>
    <row r="17" spans="1:14">
      <c r="A17" s="143"/>
      <c r="B17" s="140"/>
      <c r="C17" s="153"/>
      <c r="D17" s="143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4">
      <c r="A18" s="143">
        <v>1.2</v>
      </c>
      <c r="B18" s="116" t="s">
        <v>368</v>
      </c>
      <c r="C18" s="145" t="s">
        <v>424</v>
      </c>
      <c r="D18" s="99" t="s">
        <v>349</v>
      </c>
      <c r="E18" s="120"/>
      <c r="F18" s="120">
        <v>2</v>
      </c>
      <c r="G18" s="120"/>
      <c r="H18" s="120"/>
      <c r="I18" s="120"/>
      <c r="J18" s="120"/>
      <c r="K18" s="120"/>
      <c r="L18" s="120"/>
      <c r="M18" s="120"/>
      <c r="N18" s="168"/>
    </row>
    <row r="19" spans="1:14">
      <c r="A19" s="143"/>
      <c r="B19" s="109" t="s">
        <v>369</v>
      </c>
      <c r="C19" s="101"/>
      <c r="D19" s="99" t="s">
        <v>362</v>
      </c>
      <c r="E19" s="120"/>
      <c r="F19" s="120">
        <v>0.16</v>
      </c>
      <c r="G19" s="120"/>
      <c r="H19" s="120"/>
      <c r="I19" s="120"/>
      <c r="J19" s="120"/>
      <c r="K19" s="120"/>
      <c r="L19" s="120"/>
      <c r="M19" s="120"/>
      <c r="N19" s="168"/>
    </row>
    <row r="20" spans="1:14">
      <c r="A20" s="143" t="s">
        <v>21</v>
      </c>
      <c r="B20" s="116"/>
      <c r="C20" s="102" t="s">
        <v>15</v>
      </c>
      <c r="D20" s="99" t="s">
        <v>1</v>
      </c>
      <c r="E20" s="126">
        <f>1.2*299</f>
        <v>358.8</v>
      </c>
      <c r="F20" s="120">
        <f>E20*F19</f>
        <v>57.408000000000001</v>
      </c>
      <c r="G20" s="120"/>
      <c r="H20" s="120"/>
      <c r="I20" s="120"/>
      <c r="J20" s="120"/>
      <c r="K20" s="120"/>
      <c r="L20" s="120"/>
      <c r="M20" s="120"/>
    </row>
    <row r="21" spans="1:14">
      <c r="A21" s="143"/>
      <c r="B21" s="183"/>
      <c r="C21" s="153"/>
      <c r="D21" s="143"/>
      <c r="E21" s="149"/>
      <c r="F21" s="149"/>
      <c r="G21" s="149"/>
      <c r="H21" s="149"/>
      <c r="I21" s="149"/>
      <c r="J21" s="149"/>
      <c r="K21" s="149"/>
      <c r="L21" s="149"/>
      <c r="M21" s="149"/>
    </row>
    <row r="22" spans="1:14">
      <c r="A22" s="143">
        <v>1.3</v>
      </c>
      <c r="B22" s="123" t="s">
        <v>366</v>
      </c>
      <c r="C22" s="102" t="s">
        <v>93</v>
      </c>
      <c r="D22" s="99" t="s">
        <v>23</v>
      </c>
      <c r="E22" s="120">
        <v>1.95</v>
      </c>
      <c r="F22" s="120">
        <f>E22*F18</f>
        <v>3.9</v>
      </c>
      <c r="G22" s="120"/>
      <c r="H22" s="120"/>
      <c r="I22" s="120"/>
      <c r="J22" s="120"/>
      <c r="K22" s="120"/>
      <c r="L22" s="120"/>
      <c r="M22" s="120"/>
      <c r="N22" s="168"/>
    </row>
    <row r="23" spans="1:14">
      <c r="A23" s="143" t="s">
        <v>30</v>
      </c>
      <c r="B23" s="124" t="s">
        <v>367</v>
      </c>
      <c r="C23" s="102" t="s">
        <v>15</v>
      </c>
      <c r="D23" s="99" t="s">
        <v>1</v>
      </c>
      <c r="E23" s="120">
        <v>0.53</v>
      </c>
      <c r="F23" s="120">
        <f>E23*F22</f>
        <v>2.0670000000000002</v>
      </c>
      <c r="G23" s="120"/>
      <c r="H23" s="120"/>
      <c r="I23" s="120"/>
      <c r="J23" s="120"/>
      <c r="K23" s="120"/>
      <c r="L23" s="120"/>
      <c r="M23" s="120"/>
      <c r="N23" s="168"/>
    </row>
    <row r="24" spans="1:14">
      <c r="A24" s="143"/>
      <c r="B24" s="140"/>
      <c r="C24" s="153"/>
      <c r="D24" s="143"/>
      <c r="E24" s="149"/>
      <c r="F24" s="149"/>
      <c r="G24" s="149"/>
      <c r="H24" s="149"/>
      <c r="I24" s="149"/>
      <c r="J24" s="149"/>
      <c r="K24" s="149"/>
      <c r="L24" s="149"/>
      <c r="M24" s="149"/>
      <c r="N24" s="168"/>
    </row>
    <row r="25" spans="1:14">
      <c r="A25" s="143">
        <v>1.4</v>
      </c>
      <c r="B25" s="127" t="s">
        <v>348</v>
      </c>
      <c r="C25" s="102" t="s">
        <v>31</v>
      </c>
      <c r="D25" s="99" t="s">
        <v>23</v>
      </c>
      <c r="E25" s="120">
        <v>1.95</v>
      </c>
      <c r="F25" s="126">
        <f>E25*(F11+F18)</f>
        <v>427.05</v>
      </c>
      <c r="G25" s="120"/>
      <c r="H25" s="120"/>
      <c r="I25" s="120"/>
      <c r="J25" s="120"/>
      <c r="K25" s="126"/>
      <c r="L25" s="120"/>
      <c r="M25" s="120"/>
    </row>
    <row r="26" spans="1:14">
      <c r="A26" s="143"/>
      <c r="B26" s="140"/>
      <c r="C26" s="153"/>
      <c r="D26" s="143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4">
      <c r="A27" s="143">
        <v>1.5</v>
      </c>
      <c r="B27" s="127" t="s">
        <v>81</v>
      </c>
      <c r="C27" s="102" t="s">
        <v>370</v>
      </c>
      <c r="D27" s="99" t="s">
        <v>349</v>
      </c>
      <c r="E27" s="120"/>
      <c r="F27" s="120">
        <f>F11+F18</f>
        <v>219</v>
      </c>
      <c r="G27" s="120"/>
      <c r="H27" s="120"/>
      <c r="I27" s="120"/>
      <c r="J27" s="120"/>
      <c r="K27" s="120"/>
      <c r="L27" s="120"/>
      <c r="M27" s="120"/>
      <c r="N27" s="168"/>
    </row>
    <row r="28" spans="1:14">
      <c r="A28" s="143"/>
      <c r="B28" s="57"/>
      <c r="C28" s="89"/>
      <c r="D28" s="40" t="s">
        <v>350</v>
      </c>
      <c r="E28" s="46"/>
      <c r="F28" s="80">
        <f>F27/1000</f>
        <v>0.219</v>
      </c>
      <c r="G28" s="46"/>
      <c r="H28" s="46"/>
      <c r="I28" s="46"/>
      <c r="J28" s="46"/>
      <c r="K28" s="46"/>
      <c r="L28" s="46"/>
      <c r="M28" s="46"/>
      <c r="N28" s="168"/>
    </row>
    <row r="29" spans="1:14">
      <c r="A29" s="143" t="s">
        <v>188</v>
      </c>
      <c r="B29" s="57"/>
      <c r="C29" s="89" t="s">
        <v>15</v>
      </c>
      <c r="D29" s="40" t="s">
        <v>1</v>
      </c>
      <c r="E29" s="46">
        <v>3.23</v>
      </c>
      <c r="F29" s="46">
        <f>E29*F28</f>
        <v>0.70736999999999994</v>
      </c>
      <c r="G29" s="46"/>
      <c r="H29" s="46"/>
      <c r="I29" s="46"/>
      <c r="J29" s="46"/>
      <c r="K29" s="46"/>
      <c r="L29" s="46"/>
      <c r="M29" s="46"/>
    </row>
    <row r="30" spans="1:14">
      <c r="A30" s="143" t="s">
        <v>189</v>
      </c>
      <c r="B30" s="81" t="s">
        <v>358</v>
      </c>
      <c r="C30" s="89" t="s">
        <v>82</v>
      </c>
      <c r="D30" s="40" t="s">
        <v>24</v>
      </c>
      <c r="E30" s="46">
        <v>3.62</v>
      </c>
      <c r="F30" s="46">
        <f>E30*F28</f>
        <v>0.79278000000000004</v>
      </c>
      <c r="G30" s="46"/>
      <c r="H30" s="46"/>
      <c r="I30" s="46"/>
      <c r="J30" s="46"/>
      <c r="K30" s="84"/>
      <c r="L30" s="46"/>
      <c r="M30" s="46"/>
    </row>
    <row r="31" spans="1:14">
      <c r="A31" s="143" t="s">
        <v>190</v>
      </c>
      <c r="B31" s="57"/>
      <c r="C31" s="89" t="s">
        <v>13</v>
      </c>
      <c r="D31" s="40" t="s">
        <v>25</v>
      </c>
      <c r="E31" s="46">
        <v>0.18</v>
      </c>
      <c r="F31" s="46">
        <f>E31*F28</f>
        <v>3.9419999999999997E-2</v>
      </c>
      <c r="G31" s="46"/>
      <c r="H31" s="46"/>
      <c r="I31" s="46"/>
      <c r="J31" s="46"/>
      <c r="K31" s="46"/>
      <c r="L31" s="46"/>
      <c r="M31" s="46"/>
    </row>
    <row r="32" spans="1:14">
      <c r="A32" s="143" t="s">
        <v>191</v>
      </c>
      <c r="B32" s="81" t="s">
        <v>353</v>
      </c>
      <c r="C32" s="82" t="s">
        <v>352</v>
      </c>
      <c r="D32" s="40" t="s">
        <v>349</v>
      </c>
      <c r="E32" s="46">
        <v>0.04</v>
      </c>
      <c r="F32" s="46">
        <f>E32*F28</f>
        <v>8.7600000000000004E-3</v>
      </c>
      <c r="G32" s="84"/>
      <c r="H32" s="46"/>
      <c r="I32" s="46"/>
      <c r="J32" s="46"/>
      <c r="K32" s="46"/>
      <c r="L32" s="46"/>
      <c r="M32" s="46"/>
    </row>
    <row r="33" spans="1:14">
      <c r="A33" s="143"/>
      <c r="B33" s="140"/>
      <c r="C33" s="153"/>
      <c r="D33" s="143"/>
      <c r="E33" s="149"/>
      <c r="F33" s="149"/>
      <c r="G33" s="149"/>
      <c r="H33" s="149"/>
      <c r="I33" s="149"/>
      <c r="J33" s="149"/>
      <c r="K33" s="149"/>
      <c r="L33" s="149"/>
      <c r="M33" s="149"/>
    </row>
    <row r="34" spans="1:14">
      <c r="A34" s="143">
        <v>1.6</v>
      </c>
      <c r="B34" s="140" t="s">
        <v>249</v>
      </c>
      <c r="C34" s="162" t="s">
        <v>275</v>
      </c>
      <c r="D34" s="143" t="s">
        <v>359</v>
      </c>
      <c r="E34" s="149"/>
      <c r="F34" s="149">
        <v>30.8</v>
      </c>
      <c r="G34" s="149"/>
      <c r="H34" s="149"/>
      <c r="I34" s="149"/>
      <c r="J34" s="149"/>
      <c r="K34" s="149"/>
      <c r="L34" s="149"/>
      <c r="M34" s="149"/>
      <c r="N34" s="168"/>
    </row>
    <row r="35" spans="1:14">
      <c r="A35" s="143"/>
      <c r="B35" s="140"/>
      <c r="C35" s="162"/>
      <c r="D35" s="143" t="s">
        <v>365</v>
      </c>
      <c r="E35" s="149"/>
      <c r="F35" s="188">
        <f>F34/1000</f>
        <v>3.0800000000000001E-2</v>
      </c>
      <c r="G35" s="149"/>
      <c r="H35" s="149"/>
      <c r="I35" s="149"/>
      <c r="J35" s="149"/>
      <c r="K35" s="149"/>
      <c r="L35" s="149"/>
      <c r="M35" s="149"/>
      <c r="N35" s="168"/>
    </row>
    <row r="36" spans="1:14">
      <c r="A36" s="143" t="s">
        <v>57</v>
      </c>
      <c r="B36" s="140"/>
      <c r="C36" s="162" t="s">
        <v>15</v>
      </c>
      <c r="D36" s="143" t="s">
        <v>1</v>
      </c>
      <c r="E36" s="149">
        <v>91</v>
      </c>
      <c r="F36" s="149">
        <f>E36*F35</f>
        <v>2.8028</v>
      </c>
      <c r="G36" s="149"/>
      <c r="H36" s="149"/>
      <c r="I36" s="149"/>
      <c r="J36" s="149"/>
      <c r="K36" s="149"/>
      <c r="L36" s="149"/>
      <c r="M36" s="149"/>
    </row>
    <row r="37" spans="1:14">
      <c r="A37" s="143"/>
      <c r="B37" s="140"/>
      <c r="C37" s="153"/>
      <c r="D37" s="143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1:14">
      <c r="A38" s="143">
        <v>1.7</v>
      </c>
      <c r="B38" s="127" t="s">
        <v>371</v>
      </c>
      <c r="C38" s="162" t="s">
        <v>236</v>
      </c>
      <c r="D38" s="143" t="s">
        <v>349</v>
      </c>
      <c r="E38" s="149"/>
      <c r="F38" s="149">
        <v>14</v>
      </c>
      <c r="G38" s="149"/>
      <c r="H38" s="149"/>
      <c r="I38" s="149"/>
      <c r="J38" s="149"/>
      <c r="K38" s="149"/>
      <c r="L38" s="149"/>
      <c r="M38" s="149"/>
      <c r="N38" s="168"/>
    </row>
    <row r="39" spans="1:14">
      <c r="A39" s="143"/>
      <c r="B39" s="129"/>
      <c r="C39" s="130"/>
      <c r="D39" s="99" t="s">
        <v>372</v>
      </c>
      <c r="E39" s="120"/>
      <c r="F39" s="120">
        <f>F38</f>
        <v>14</v>
      </c>
      <c r="G39" s="120"/>
      <c r="H39" s="120"/>
      <c r="I39" s="120"/>
      <c r="J39" s="120"/>
      <c r="K39" s="120"/>
      <c r="L39" s="120"/>
      <c r="M39" s="120"/>
      <c r="N39" s="168"/>
    </row>
    <row r="40" spans="1:14">
      <c r="A40" s="143" t="s">
        <v>59</v>
      </c>
      <c r="B40" s="109"/>
      <c r="C40" s="102" t="s">
        <v>15</v>
      </c>
      <c r="D40" s="99" t="s">
        <v>1</v>
      </c>
      <c r="E40" s="126">
        <v>0.89</v>
      </c>
      <c r="F40" s="120">
        <f>E40*F39</f>
        <v>12.46</v>
      </c>
      <c r="G40" s="120"/>
      <c r="H40" s="120"/>
      <c r="I40" s="126"/>
      <c r="J40" s="120"/>
      <c r="K40" s="120"/>
      <c r="L40" s="120"/>
      <c r="M40" s="120"/>
    </row>
    <row r="41" spans="1:14">
      <c r="A41" s="143" t="s">
        <v>60</v>
      </c>
      <c r="B41" s="127" t="s">
        <v>373</v>
      </c>
      <c r="C41" s="102" t="s">
        <v>94</v>
      </c>
      <c r="D41" s="99" t="s">
        <v>349</v>
      </c>
      <c r="E41" s="126">
        <v>1.1499999999999999</v>
      </c>
      <c r="F41" s="120">
        <f>E41*F39</f>
        <v>16.099999999999998</v>
      </c>
      <c r="G41" s="120"/>
      <c r="H41" s="120"/>
      <c r="I41" s="120"/>
      <c r="J41" s="120"/>
      <c r="K41" s="120"/>
      <c r="L41" s="120"/>
      <c r="M41" s="120"/>
    </row>
    <row r="42" spans="1:14">
      <c r="A42" s="143"/>
      <c r="B42" s="81"/>
      <c r="C42" s="131" t="s">
        <v>13</v>
      </c>
      <c r="D42" s="83" t="s">
        <v>25</v>
      </c>
      <c r="E42" s="84">
        <v>0.37</v>
      </c>
      <c r="F42" s="84">
        <f>E42*F39</f>
        <v>5.18</v>
      </c>
      <c r="G42" s="84"/>
      <c r="H42" s="84"/>
      <c r="I42" s="84"/>
      <c r="J42" s="84"/>
      <c r="K42" s="84"/>
      <c r="L42" s="84"/>
      <c r="M42" s="84"/>
    </row>
    <row r="43" spans="1:14">
      <c r="A43" s="143"/>
      <c r="B43" s="132"/>
      <c r="C43" s="133" t="s">
        <v>14</v>
      </c>
      <c r="D43" s="118" t="s">
        <v>25</v>
      </c>
      <c r="E43" s="126">
        <v>0.02</v>
      </c>
      <c r="F43" s="126">
        <f>E43*F39</f>
        <v>0.28000000000000003</v>
      </c>
      <c r="G43" s="126"/>
      <c r="H43" s="126"/>
      <c r="I43" s="126"/>
      <c r="J43" s="126"/>
      <c r="K43" s="126"/>
      <c r="L43" s="126"/>
      <c r="M43" s="126"/>
    </row>
    <row r="44" spans="1:14">
      <c r="A44" s="143"/>
      <c r="B44" s="140"/>
      <c r="C44" s="153"/>
      <c r="D44" s="143"/>
      <c r="E44" s="149"/>
      <c r="F44" s="149"/>
      <c r="G44" s="149"/>
      <c r="H44" s="149"/>
      <c r="I44" s="149"/>
      <c r="J44" s="149"/>
      <c r="K44" s="149"/>
      <c r="L44" s="149"/>
      <c r="M44" s="149"/>
    </row>
    <row r="45" spans="1:14">
      <c r="A45" s="143">
        <v>1.8</v>
      </c>
      <c r="B45" s="183" t="s">
        <v>374</v>
      </c>
      <c r="C45" s="162" t="s">
        <v>237</v>
      </c>
      <c r="D45" s="143" t="s">
        <v>349</v>
      </c>
      <c r="E45" s="149"/>
      <c r="F45" s="149">
        <v>2.8</v>
      </c>
      <c r="G45" s="149"/>
      <c r="H45" s="149"/>
      <c r="I45" s="149"/>
      <c r="J45" s="149"/>
      <c r="K45" s="149"/>
      <c r="L45" s="149"/>
      <c r="M45" s="149"/>
    </row>
    <row r="46" spans="1:14">
      <c r="A46" s="143"/>
      <c r="B46" s="116"/>
      <c r="C46" s="102"/>
      <c r="D46" s="99" t="s">
        <v>362</v>
      </c>
      <c r="E46" s="120"/>
      <c r="F46" s="125">
        <f>F45/100</f>
        <v>2.7999999999999997E-2</v>
      </c>
      <c r="G46" s="120"/>
      <c r="H46" s="120"/>
      <c r="I46" s="120"/>
      <c r="J46" s="120"/>
      <c r="K46" s="120"/>
      <c r="L46" s="120"/>
      <c r="M46" s="120"/>
    </row>
    <row r="47" spans="1:14">
      <c r="A47" s="143" t="s">
        <v>61</v>
      </c>
      <c r="B47" s="116"/>
      <c r="C47" s="102" t="s">
        <v>15</v>
      </c>
      <c r="D47" s="99" t="s">
        <v>1</v>
      </c>
      <c r="E47" s="120">
        <v>137</v>
      </c>
      <c r="F47" s="120">
        <f>E47*F46</f>
        <v>3.8359999999999994</v>
      </c>
      <c r="G47" s="120"/>
      <c r="H47" s="120"/>
      <c r="I47" s="120"/>
      <c r="J47" s="120"/>
      <c r="K47" s="120"/>
      <c r="L47" s="120"/>
      <c r="M47" s="120"/>
    </row>
    <row r="48" spans="1:14">
      <c r="A48" s="143" t="s">
        <v>62</v>
      </c>
      <c r="B48" s="116"/>
      <c r="C48" s="102" t="s">
        <v>13</v>
      </c>
      <c r="D48" s="99" t="s">
        <v>25</v>
      </c>
      <c r="E48" s="120">
        <v>28.3</v>
      </c>
      <c r="F48" s="120">
        <f>E48*F46</f>
        <v>0.79239999999999999</v>
      </c>
      <c r="G48" s="120"/>
      <c r="H48" s="120"/>
      <c r="I48" s="120"/>
      <c r="J48" s="120"/>
      <c r="K48" s="120"/>
      <c r="L48" s="120"/>
      <c r="M48" s="120"/>
    </row>
    <row r="49" spans="1:14">
      <c r="A49" s="143" t="s">
        <v>203</v>
      </c>
      <c r="B49" s="132" t="s">
        <v>375</v>
      </c>
      <c r="C49" s="102" t="s">
        <v>161</v>
      </c>
      <c r="D49" s="99" t="s">
        <v>349</v>
      </c>
      <c r="E49" s="126">
        <v>102</v>
      </c>
      <c r="F49" s="120">
        <f>E49*F46</f>
        <v>2.8559999999999999</v>
      </c>
      <c r="G49" s="120"/>
      <c r="H49" s="120"/>
      <c r="I49" s="120"/>
      <c r="J49" s="120"/>
      <c r="K49" s="120"/>
      <c r="L49" s="120"/>
      <c r="M49" s="120"/>
    </row>
    <row r="50" spans="1:14">
      <c r="A50" s="143" t="s">
        <v>204</v>
      </c>
      <c r="B50" s="116"/>
      <c r="C50" s="102" t="s">
        <v>14</v>
      </c>
      <c r="D50" s="99" t="s">
        <v>25</v>
      </c>
      <c r="E50" s="120">
        <v>62</v>
      </c>
      <c r="F50" s="120">
        <f>E50*F46</f>
        <v>1.7359999999999998</v>
      </c>
      <c r="G50" s="120"/>
      <c r="H50" s="120"/>
      <c r="I50" s="120"/>
      <c r="J50" s="120"/>
      <c r="K50" s="120"/>
      <c r="L50" s="120"/>
      <c r="M50" s="120"/>
    </row>
    <row r="51" spans="1:14">
      <c r="A51" s="143"/>
      <c r="B51" s="183"/>
      <c r="C51" s="153"/>
      <c r="D51" s="143"/>
      <c r="E51" s="149"/>
      <c r="F51" s="149"/>
      <c r="G51" s="149"/>
      <c r="H51" s="149"/>
      <c r="I51" s="149"/>
      <c r="J51" s="149"/>
      <c r="K51" s="149"/>
      <c r="L51" s="149"/>
      <c r="M51" s="149"/>
    </row>
    <row r="52" spans="1:14">
      <c r="A52" s="143">
        <v>1.9</v>
      </c>
      <c r="B52" s="183" t="s">
        <v>376</v>
      </c>
      <c r="C52" s="162" t="s">
        <v>277</v>
      </c>
      <c r="D52" s="143" t="s">
        <v>349</v>
      </c>
      <c r="E52" s="149"/>
      <c r="F52" s="149">
        <v>10.43</v>
      </c>
      <c r="G52" s="149"/>
      <c r="H52" s="149"/>
      <c r="I52" s="149"/>
      <c r="J52" s="149"/>
      <c r="K52" s="149"/>
      <c r="L52" s="149"/>
      <c r="M52" s="149"/>
      <c r="N52" s="168"/>
    </row>
    <row r="53" spans="1:14">
      <c r="A53" s="143"/>
      <c r="B53" s="116"/>
      <c r="C53" s="102"/>
      <c r="D53" s="99" t="s">
        <v>362</v>
      </c>
      <c r="E53" s="120"/>
      <c r="F53" s="125">
        <f>F52/100</f>
        <v>0.1043</v>
      </c>
      <c r="G53" s="120"/>
      <c r="H53" s="120"/>
      <c r="I53" s="120"/>
      <c r="J53" s="120"/>
      <c r="K53" s="120"/>
      <c r="L53" s="120"/>
      <c r="M53" s="120"/>
      <c r="N53" s="168"/>
    </row>
    <row r="54" spans="1:14">
      <c r="A54" s="143" t="s">
        <v>63</v>
      </c>
      <c r="B54" s="116"/>
      <c r="C54" s="102" t="s">
        <v>15</v>
      </c>
      <c r="D54" s="99" t="s">
        <v>1</v>
      </c>
      <c r="E54" s="120">
        <v>187</v>
      </c>
      <c r="F54" s="120">
        <f>E54*F53</f>
        <v>19.504100000000001</v>
      </c>
      <c r="G54" s="120"/>
      <c r="H54" s="120"/>
      <c r="I54" s="120"/>
      <c r="J54" s="120"/>
      <c r="K54" s="120"/>
      <c r="L54" s="120"/>
      <c r="M54" s="120"/>
    </row>
    <row r="55" spans="1:14">
      <c r="A55" s="143" t="s">
        <v>64</v>
      </c>
      <c r="B55" s="116"/>
      <c r="C55" s="102" t="s">
        <v>13</v>
      </c>
      <c r="D55" s="99" t="s">
        <v>25</v>
      </c>
      <c r="E55" s="120">
        <v>77</v>
      </c>
      <c r="F55" s="120">
        <f>E55*F53</f>
        <v>8.0311000000000003</v>
      </c>
      <c r="G55" s="120"/>
      <c r="H55" s="120"/>
      <c r="I55" s="120"/>
      <c r="J55" s="120"/>
      <c r="K55" s="120"/>
      <c r="L55" s="120"/>
      <c r="M55" s="120"/>
    </row>
    <row r="56" spans="1:14">
      <c r="A56" s="143" t="s">
        <v>205</v>
      </c>
      <c r="B56" s="132" t="s">
        <v>380</v>
      </c>
      <c r="C56" s="102" t="s">
        <v>172</v>
      </c>
      <c r="D56" s="99" t="s">
        <v>349</v>
      </c>
      <c r="E56" s="120">
        <v>101.5</v>
      </c>
      <c r="F56" s="120">
        <f>E56*F53</f>
        <v>10.586450000000001</v>
      </c>
      <c r="G56" s="126"/>
      <c r="H56" s="120"/>
      <c r="I56" s="120"/>
      <c r="J56" s="120"/>
      <c r="K56" s="120"/>
      <c r="L56" s="120"/>
      <c r="M56" s="120"/>
    </row>
    <row r="57" spans="1:14">
      <c r="A57" s="143" t="s">
        <v>206</v>
      </c>
      <c r="B57" s="132" t="s">
        <v>379</v>
      </c>
      <c r="C57" s="102" t="s">
        <v>124</v>
      </c>
      <c r="D57" s="99" t="s">
        <v>23</v>
      </c>
      <c r="E57" s="120" t="s">
        <v>89</v>
      </c>
      <c r="F57" s="125">
        <v>1.0329999999999999</v>
      </c>
      <c r="G57" s="126"/>
      <c r="H57" s="120"/>
      <c r="I57" s="120"/>
      <c r="J57" s="120"/>
      <c r="K57" s="104"/>
      <c r="L57" s="120"/>
      <c r="M57" s="120"/>
    </row>
    <row r="58" spans="1:14">
      <c r="A58" s="143" t="s">
        <v>207</v>
      </c>
      <c r="B58" s="132" t="s">
        <v>378</v>
      </c>
      <c r="C58" s="133" t="s">
        <v>377</v>
      </c>
      <c r="D58" s="99" t="s">
        <v>359</v>
      </c>
      <c r="E58" s="120">
        <v>7.54</v>
      </c>
      <c r="F58" s="120">
        <f>E58*F53</f>
        <v>0.78642200000000007</v>
      </c>
      <c r="G58" s="120"/>
      <c r="H58" s="120"/>
      <c r="I58" s="120"/>
      <c r="J58" s="120"/>
      <c r="K58" s="120"/>
      <c r="L58" s="120"/>
      <c r="M58" s="120"/>
    </row>
    <row r="59" spans="1:14">
      <c r="A59" s="143" t="s">
        <v>208</v>
      </c>
      <c r="B59" s="132" t="s">
        <v>382</v>
      </c>
      <c r="C59" s="102" t="s">
        <v>381</v>
      </c>
      <c r="D59" s="99" t="s">
        <v>349</v>
      </c>
      <c r="E59" s="120">
        <v>0.08</v>
      </c>
      <c r="F59" s="120">
        <f>E59*F53</f>
        <v>8.3440000000000007E-3</v>
      </c>
      <c r="G59" s="126"/>
      <c r="H59" s="120"/>
      <c r="I59" s="120"/>
      <c r="J59" s="120"/>
      <c r="K59" s="120"/>
      <c r="L59" s="120"/>
      <c r="M59" s="120"/>
    </row>
    <row r="60" spans="1:14">
      <c r="A60" s="143" t="s">
        <v>221</v>
      </c>
      <c r="B60" s="116"/>
      <c r="C60" s="102" t="s">
        <v>14</v>
      </c>
      <c r="D60" s="99" t="s">
        <v>25</v>
      </c>
      <c r="E60" s="120">
        <v>7</v>
      </c>
      <c r="F60" s="120">
        <f>E60*F53</f>
        <v>0.73009999999999997</v>
      </c>
      <c r="G60" s="120"/>
      <c r="H60" s="120"/>
      <c r="I60" s="120"/>
      <c r="J60" s="120"/>
      <c r="K60" s="120"/>
      <c r="L60" s="120"/>
      <c r="M60" s="120"/>
    </row>
    <row r="61" spans="1:14">
      <c r="A61" s="143"/>
      <c r="B61" s="183"/>
      <c r="C61" s="153"/>
      <c r="D61" s="143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1:14">
      <c r="A62" s="167">
        <v>1.1000000000000001</v>
      </c>
      <c r="B62" s="132" t="s">
        <v>386</v>
      </c>
      <c r="C62" s="102" t="s">
        <v>391</v>
      </c>
      <c r="D62" s="143" t="s">
        <v>349</v>
      </c>
      <c r="E62" s="149"/>
      <c r="F62" s="149">
        <v>12.25</v>
      </c>
      <c r="G62" s="149"/>
      <c r="H62" s="149"/>
      <c r="I62" s="149"/>
      <c r="J62" s="149"/>
      <c r="K62" s="149"/>
      <c r="L62" s="149"/>
      <c r="M62" s="149"/>
      <c r="N62" s="168"/>
    </row>
    <row r="63" spans="1:14">
      <c r="A63" s="143"/>
      <c r="B63" s="116"/>
      <c r="C63" s="102"/>
      <c r="D63" s="99" t="s">
        <v>362</v>
      </c>
      <c r="E63" s="120"/>
      <c r="F63" s="125">
        <f>F62/100</f>
        <v>0.1225</v>
      </c>
      <c r="G63" s="120"/>
      <c r="H63" s="120"/>
      <c r="I63" s="120"/>
      <c r="J63" s="120"/>
      <c r="K63" s="120"/>
      <c r="L63" s="120"/>
      <c r="M63" s="120"/>
    </row>
    <row r="64" spans="1:14">
      <c r="A64" s="143" t="s">
        <v>65</v>
      </c>
      <c r="B64" s="116"/>
      <c r="C64" s="102" t="s">
        <v>40</v>
      </c>
      <c r="D64" s="99" t="s">
        <v>1</v>
      </c>
      <c r="E64" s="126">
        <v>599</v>
      </c>
      <c r="F64" s="120">
        <f>E64*F63</f>
        <v>73.377499999999998</v>
      </c>
      <c r="G64" s="120"/>
      <c r="H64" s="120"/>
      <c r="I64" s="120"/>
      <c r="J64" s="120"/>
      <c r="K64" s="120"/>
      <c r="L64" s="120"/>
      <c r="M64" s="120"/>
    </row>
    <row r="65" spans="1:14">
      <c r="A65" s="143" t="s">
        <v>209</v>
      </c>
      <c r="B65" s="116"/>
      <c r="C65" s="133" t="s">
        <v>385</v>
      </c>
      <c r="D65" s="99" t="s">
        <v>25</v>
      </c>
      <c r="E65" s="126">
        <v>109</v>
      </c>
      <c r="F65" s="120">
        <f>E65*F63</f>
        <v>13.352499999999999</v>
      </c>
      <c r="G65" s="120"/>
      <c r="H65" s="120"/>
      <c r="I65" s="120"/>
      <c r="J65" s="120"/>
      <c r="K65" s="120"/>
      <c r="L65" s="120"/>
      <c r="M65" s="120"/>
    </row>
    <row r="66" spans="1:14">
      <c r="A66" s="143" t="s">
        <v>210</v>
      </c>
      <c r="B66" s="132" t="s">
        <v>380</v>
      </c>
      <c r="C66" s="102" t="s">
        <v>172</v>
      </c>
      <c r="D66" s="99" t="s">
        <v>349</v>
      </c>
      <c r="E66" s="126">
        <v>101.5</v>
      </c>
      <c r="F66" s="120">
        <f>E66*F63</f>
        <v>12.43375</v>
      </c>
      <c r="G66" s="126"/>
      <c r="H66" s="120"/>
      <c r="I66" s="120"/>
      <c r="J66" s="120"/>
      <c r="K66" s="120"/>
      <c r="L66" s="120"/>
      <c r="M66" s="120"/>
    </row>
    <row r="67" spans="1:14">
      <c r="A67" s="143" t="s">
        <v>250</v>
      </c>
      <c r="B67" s="132" t="s">
        <v>379</v>
      </c>
      <c r="C67" s="102" t="s">
        <v>124</v>
      </c>
      <c r="D67" s="99" t="s">
        <v>23</v>
      </c>
      <c r="E67" s="104" t="s">
        <v>89</v>
      </c>
      <c r="F67" s="125">
        <v>1.2130000000000001</v>
      </c>
      <c r="G67" s="126"/>
      <c r="H67" s="120"/>
      <c r="I67" s="120"/>
      <c r="J67" s="120"/>
      <c r="K67" s="104"/>
      <c r="L67" s="120"/>
      <c r="M67" s="120"/>
    </row>
    <row r="68" spans="1:14">
      <c r="A68" s="143" t="s">
        <v>278</v>
      </c>
      <c r="B68" s="132" t="s">
        <v>378</v>
      </c>
      <c r="C68" s="133" t="s">
        <v>377</v>
      </c>
      <c r="D68" s="118" t="s">
        <v>359</v>
      </c>
      <c r="E68" s="126">
        <v>118</v>
      </c>
      <c r="F68" s="126">
        <f>E68*F63</f>
        <v>14.455</v>
      </c>
      <c r="G68" s="126"/>
      <c r="H68" s="126"/>
      <c r="I68" s="126"/>
      <c r="J68" s="126"/>
      <c r="K68" s="126"/>
      <c r="L68" s="126"/>
      <c r="M68" s="126"/>
    </row>
    <row r="69" spans="1:14">
      <c r="A69" s="143" t="s">
        <v>279</v>
      </c>
      <c r="B69" s="132" t="s">
        <v>382</v>
      </c>
      <c r="C69" s="102" t="s">
        <v>381</v>
      </c>
      <c r="D69" s="99" t="s">
        <v>349</v>
      </c>
      <c r="E69" s="126">
        <f>0.21+2.78</f>
        <v>2.9899999999999998</v>
      </c>
      <c r="F69" s="120">
        <f>E69*F63</f>
        <v>0.36627499999999996</v>
      </c>
      <c r="G69" s="126"/>
      <c r="H69" s="120"/>
      <c r="I69" s="120"/>
      <c r="J69" s="120"/>
      <c r="K69" s="120"/>
      <c r="L69" s="120"/>
      <c r="M69" s="120"/>
    </row>
    <row r="70" spans="1:14">
      <c r="A70" s="143" t="s">
        <v>413</v>
      </c>
      <c r="B70" s="132" t="s">
        <v>387</v>
      </c>
      <c r="C70" s="133" t="s">
        <v>389</v>
      </c>
      <c r="D70" s="118" t="s">
        <v>327</v>
      </c>
      <c r="E70" s="126">
        <v>110</v>
      </c>
      <c r="F70" s="126">
        <f>E70*F63</f>
        <v>13.475</v>
      </c>
      <c r="G70" s="126"/>
      <c r="H70" s="126"/>
      <c r="I70" s="126"/>
      <c r="J70" s="126"/>
      <c r="K70" s="126"/>
      <c r="L70" s="126"/>
      <c r="M70" s="126"/>
    </row>
    <row r="71" spans="1:14">
      <c r="A71" s="143" t="s">
        <v>414</v>
      </c>
      <c r="B71" s="132" t="s">
        <v>388</v>
      </c>
      <c r="C71" s="133" t="s">
        <v>390</v>
      </c>
      <c r="D71" s="118" t="s">
        <v>327</v>
      </c>
      <c r="E71" s="126">
        <v>140</v>
      </c>
      <c r="F71" s="126">
        <f>E71*F63</f>
        <v>17.149999999999999</v>
      </c>
      <c r="G71" s="126"/>
      <c r="H71" s="126"/>
      <c r="I71" s="126"/>
      <c r="J71" s="126"/>
      <c r="K71" s="126"/>
      <c r="L71" s="126"/>
      <c r="M71" s="126"/>
    </row>
    <row r="72" spans="1:14">
      <c r="A72" s="143" t="s">
        <v>415</v>
      </c>
      <c r="B72" s="116"/>
      <c r="C72" s="102" t="s">
        <v>99</v>
      </c>
      <c r="D72" s="99" t="s">
        <v>25</v>
      </c>
      <c r="E72" s="126">
        <v>32</v>
      </c>
      <c r="F72" s="120">
        <f>E72*F63</f>
        <v>3.92</v>
      </c>
      <c r="G72" s="120"/>
      <c r="H72" s="120"/>
      <c r="I72" s="120"/>
      <c r="J72" s="120"/>
      <c r="K72" s="120"/>
      <c r="L72" s="120"/>
      <c r="M72" s="120"/>
    </row>
    <row r="73" spans="1:14">
      <c r="A73" s="143"/>
      <c r="B73" s="183"/>
      <c r="C73" s="153"/>
      <c r="D73" s="143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1:14">
      <c r="A74" s="167">
        <v>1.1100000000000001</v>
      </c>
      <c r="B74" s="139" t="s">
        <v>392</v>
      </c>
      <c r="C74" s="162" t="s">
        <v>251</v>
      </c>
      <c r="D74" s="143" t="s">
        <v>359</v>
      </c>
      <c r="E74" s="149"/>
      <c r="F74" s="149">
        <v>49</v>
      </c>
      <c r="G74" s="149"/>
      <c r="H74" s="149"/>
      <c r="I74" s="149"/>
      <c r="J74" s="149"/>
      <c r="K74" s="149"/>
      <c r="L74" s="149"/>
      <c r="M74" s="149"/>
      <c r="N74" s="168"/>
    </row>
    <row r="75" spans="1:14">
      <c r="A75" s="167"/>
      <c r="B75" s="129"/>
      <c r="C75" s="102"/>
      <c r="D75" s="99" t="s">
        <v>364</v>
      </c>
      <c r="E75" s="120"/>
      <c r="F75" s="125">
        <f>F74/100</f>
        <v>0.49</v>
      </c>
      <c r="G75" s="120"/>
      <c r="H75" s="120"/>
      <c r="I75" s="120"/>
      <c r="J75" s="120"/>
      <c r="K75" s="120"/>
      <c r="L75" s="120"/>
      <c r="M75" s="120"/>
      <c r="N75" s="168"/>
    </row>
    <row r="76" spans="1:14">
      <c r="A76" s="143" t="s">
        <v>67</v>
      </c>
      <c r="B76" s="109"/>
      <c r="C76" s="102" t="s">
        <v>15</v>
      </c>
      <c r="D76" s="99" t="s">
        <v>1</v>
      </c>
      <c r="E76" s="126">
        <v>33.6</v>
      </c>
      <c r="F76" s="120">
        <f>E76*F75</f>
        <v>16.463999999999999</v>
      </c>
      <c r="G76" s="120"/>
      <c r="H76" s="120"/>
      <c r="I76" s="126"/>
      <c r="J76" s="120"/>
      <c r="K76" s="120"/>
      <c r="L76" s="120"/>
      <c r="M76" s="120"/>
    </row>
    <row r="77" spans="1:14">
      <c r="A77" s="143" t="s">
        <v>196</v>
      </c>
      <c r="B77" s="109"/>
      <c r="C77" s="102" t="s">
        <v>13</v>
      </c>
      <c r="D77" s="99" t="s">
        <v>25</v>
      </c>
      <c r="E77" s="126">
        <v>1.5</v>
      </c>
      <c r="F77" s="120">
        <f>E77*F75</f>
        <v>0.73499999999999999</v>
      </c>
      <c r="G77" s="120"/>
      <c r="H77" s="120"/>
      <c r="I77" s="120"/>
      <c r="J77" s="120"/>
      <c r="K77" s="120"/>
      <c r="L77" s="120"/>
      <c r="M77" s="120"/>
    </row>
    <row r="78" spans="1:14">
      <c r="A78" s="143" t="s">
        <v>258</v>
      </c>
      <c r="B78" s="139" t="s">
        <v>393</v>
      </c>
      <c r="C78" s="141" t="s">
        <v>394</v>
      </c>
      <c r="D78" s="99" t="s">
        <v>23</v>
      </c>
      <c r="E78" s="126">
        <v>0.24</v>
      </c>
      <c r="F78" s="120">
        <f>E78*F75</f>
        <v>0.1176</v>
      </c>
      <c r="G78" s="126"/>
      <c r="H78" s="120"/>
      <c r="I78" s="120"/>
      <c r="J78" s="120"/>
      <c r="K78" s="120"/>
      <c r="L78" s="120"/>
      <c r="M78" s="120"/>
    </row>
    <row r="79" spans="1:14">
      <c r="A79" s="143" t="s">
        <v>280</v>
      </c>
      <c r="B79" s="109"/>
      <c r="C79" s="102" t="s">
        <v>99</v>
      </c>
      <c r="D79" s="99" t="s">
        <v>25</v>
      </c>
      <c r="E79" s="126">
        <v>2.2799999999999998</v>
      </c>
      <c r="F79" s="120">
        <f>E79*F75</f>
        <v>1.1172</v>
      </c>
      <c r="G79" s="120"/>
      <c r="H79" s="120"/>
      <c r="I79" s="120"/>
      <c r="J79" s="120"/>
      <c r="K79" s="120"/>
      <c r="L79" s="120"/>
      <c r="M79" s="120"/>
    </row>
    <row r="80" spans="1:14">
      <c r="A80" s="143"/>
      <c r="B80" s="140"/>
      <c r="C80" s="153"/>
      <c r="D80" s="143"/>
      <c r="E80" s="149"/>
      <c r="F80" s="149"/>
      <c r="G80" s="149"/>
      <c r="H80" s="149"/>
      <c r="I80" s="149"/>
      <c r="J80" s="149"/>
      <c r="K80" s="149"/>
      <c r="L80" s="149"/>
      <c r="M80" s="149"/>
    </row>
    <row r="81" spans="1:14">
      <c r="A81" s="167">
        <v>1.1200000000000001</v>
      </c>
      <c r="B81" s="139" t="s">
        <v>395</v>
      </c>
      <c r="C81" s="102" t="s">
        <v>253</v>
      </c>
      <c r="D81" s="143" t="s">
        <v>359</v>
      </c>
      <c r="E81" s="120"/>
      <c r="F81" s="120">
        <v>98</v>
      </c>
      <c r="G81" s="120"/>
      <c r="H81" s="120"/>
      <c r="I81" s="120"/>
      <c r="J81" s="120"/>
      <c r="K81" s="120"/>
      <c r="L81" s="120"/>
      <c r="M81" s="120"/>
    </row>
    <row r="82" spans="1:14">
      <c r="A82" s="167"/>
      <c r="B82" s="139" t="s">
        <v>396</v>
      </c>
      <c r="C82" s="102"/>
      <c r="D82" s="99" t="s">
        <v>364</v>
      </c>
      <c r="E82" s="120"/>
      <c r="F82" s="125">
        <f>F81/100</f>
        <v>0.98</v>
      </c>
      <c r="G82" s="120"/>
      <c r="H82" s="120"/>
      <c r="I82" s="120"/>
      <c r="J82" s="120"/>
      <c r="K82" s="120"/>
      <c r="L82" s="120"/>
      <c r="M82" s="120"/>
    </row>
    <row r="83" spans="1:14">
      <c r="A83" s="143" t="s">
        <v>211</v>
      </c>
      <c r="B83" s="109"/>
      <c r="C83" s="102" t="s">
        <v>15</v>
      </c>
      <c r="D83" s="99" t="s">
        <v>1</v>
      </c>
      <c r="E83" s="126">
        <f>95.94-14.36</f>
        <v>81.58</v>
      </c>
      <c r="F83" s="120">
        <f>E83*F82</f>
        <v>79.948399999999992</v>
      </c>
      <c r="G83" s="120"/>
      <c r="H83" s="120"/>
      <c r="I83" s="120"/>
      <c r="J83" s="120"/>
      <c r="K83" s="120"/>
      <c r="L83" s="120"/>
      <c r="M83" s="120"/>
    </row>
    <row r="84" spans="1:14">
      <c r="A84" s="143" t="s">
        <v>256</v>
      </c>
      <c r="B84" s="139" t="s">
        <v>397</v>
      </c>
      <c r="C84" s="102" t="s">
        <v>252</v>
      </c>
      <c r="D84" s="99" t="s">
        <v>359</v>
      </c>
      <c r="E84" s="126">
        <v>206</v>
      </c>
      <c r="F84" s="120">
        <f>E84*F82</f>
        <v>201.88</v>
      </c>
      <c r="G84" s="120"/>
      <c r="H84" s="120"/>
      <c r="I84" s="120"/>
      <c r="J84" s="120"/>
      <c r="K84" s="120"/>
      <c r="L84" s="120"/>
      <c r="M84" s="120"/>
    </row>
    <row r="85" spans="1:14">
      <c r="A85" s="143"/>
      <c r="B85" s="140"/>
      <c r="C85" s="153"/>
      <c r="D85" s="143"/>
      <c r="E85" s="149"/>
      <c r="F85" s="149"/>
      <c r="G85" s="149"/>
      <c r="H85" s="149"/>
      <c r="I85" s="149"/>
      <c r="J85" s="149"/>
      <c r="K85" s="149"/>
      <c r="L85" s="149"/>
      <c r="M85" s="149"/>
    </row>
    <row r="86" spans="1:14">
      <c r="A86" s="143">
        <v>1.1299999999999999</v>
      </c>
      <c r="B86" s="139" t="s">
        <v>398</v>
      </c>
      <c r="C86" s="102" t="s">
        <v>254</v>
      </c>
      <c r="D86" s="143" t="s">
        <v>359</v>
      </c>
      <c r="E86" s="120"/>
      <c r="F86" s="120">
        <v>35</v>
      </c>
      <c r="G86" s="120"/>
      <c r="H86" s="120"/>
      <c r="I86" s="120"/>
      <c r="J86" s="120"/>
      <c r="K86" s="120"/>
      <c r="L86" s="120"/>
      <c r="M86" s="120"/>
    </row>
    <row r="87" spans="1:14">
      <c r="A87" s="143"/>
      <c r="B87" s="142"/>
      <c r="C87" s="102"/>
      <c r="D87" s="99" t="s">
        <v>364</v>
      </c>
      <c r="E87" s="120"/>
      <c r="F87" s="125">
        <f>F86/100</f>
        <v>0.35</v>
      </c>
      <c r="G87" s="120"/>
      <c r="H87" s="120"/>
      <c r="I87" s="120"/>
      <c r="J87" s="120"/>
      <c r="K87" s="120"/>
      <c r="L87" s="120"/>
      <c r="M87" s="120"/>
    </row>
    <row r="88" spans="1:14">
      <c r="A88" s="143" t="s">
        <v>68</v>
      </c>
      <c r="B88" s="109"/>
      <c r="C88" s="102" t="s">
        <v>15</v>
      </c>
      <c r="D88" s="99" t="s">
        <v>1</v>
      </c>
      <c r="E88" s="126">
        <v>7</v>
      </c>
      <c r="F88" s="120">
        <f>E88*F87</f>
        <v>2.4499999999999997</v>
      </c>
      <c r="G88" s="120"/>
      <c r="H88" s="120"/>
      <c r="I88" s="120"/>
      <c r="J88" s="120"/>
      <c r="K88" s="120"/>
      <c r="L88" s="120"/>
      <c r="M88" s="120"/>
    </row>
    <row r="89" spans="1:14">
      <c r="A89" s="143" t="s">
        <v>281</v>
      </c>
      <c r="B89" s="139" t="s">
        <v>399</v>
      </c>
      <c r="C89" s="102" t="s">
        <v>255</v>
      </c>
      <c r="D89" s="99" t="s">
        <v>359</v>
      </c>
      <c r="E89" s="126">
        <v>115</v>
      </c>
      <c r="F89" s="120">
        <f>E89*F87</f>
        <v>40.25</v>
      </c>
      <c r="G89" s="126"/>
      <c r="H89" s="120"/>
      <c r="I89" s="120"/>
      <c r="J89" s="120"/>
      <c r="K89" s="120"/>
      <c r="L89" s="120"/>
      <c r="M89" s="120"/>
    </row>
    <row r="90" spans="1:14">
      <c r="A90" s="143" t="s">
        <v>402</v>
      </c>
      <c r="B90" s="139" t="s">
        <v>400</v>
      </c>
      <c r="C90" s="150" t="s">
        <v>401</v>
      </c>
      <c r="D90" s="151" t="s">
        <v>88</v>
      </c>
      <c r="E90" s="152">
        <v>400</v>
      </c>
      <c r="F90" s="152">
        <f>E90*F87</f>
        <v>140</v>
      </c>
      <c r="G90" s="152"/>
      <c r="H90" s="126"/>
      <c r="I90" s="126"/>
      <c r="J90" s="126"/>
      <c r="K90" s="126"/>
      <c r="L90" s="126"/>
      <c r="M90" s="126"/>
    </row>
    <row r="91" spans="1:14">
      <c r="A91" s="143"/>
      <c r="B91" s="140"/>
      <c r="C91" s="153"/>
      <c r="D91" s="143"/>
      <c r="E91" s="149"/>
      <c r="F91" s="149"/>
      <c r="G91" s="149"/>
      <c r="H91" s="149"/>
      <c r="I91" s="149"/>
      <c r="J91" s="149"/>
      <c r="K91" s="149"/>
      <c r="L91" s="149"/>
      <c r="M91" s="149"/>
    </row>
    <row r="92" spans="1:14">
      <c r="A92" s="167">
        <v>1.1399999999999999</v>
      </c>
      <c r="B92" s="109" t="s">
        <v>383</v>
      </c>
      <c r="C92" s="102" t="s">
        <v>259</v>
      </c>
      <c r="D92" s="143" t="s">
        <v>349</v>
      </c>
      <c r="E92" s="120"/>
      <c r="F92" s="120">
        <v>21</v>
      </c>
      <c r="G92" s="120"/>
      <c r="H92" s="120"/>
      <c r="I92" s="120"/>
      <c r="J92" s="120"/>
      <c r="K92" s="120"/>
      <c r="L92" s="120"/>
      <c r="M92" s="120"/>
      <c r="N92" s="168"/>
    </row>
    <row r="93" spans="1:14">
      <c r="A93" s="167"/>
      <c r="B93" s="109"/>
      <c r="C93" s="102"/>
      <c r="D93" s="99" t="s">
        <v>363</v>
      </c>
      <c r="E93" s="120"/>
      <c r="F93" s="125">
        <f>F92/10</f>
        <v>2.1</v>
      </c>
      <c r="G93" s="120"/>
      <c r="H93" s="120"/>
      <c r="I93" s="120"/>
      <c r="J93" s="120"/>
      <c r="K93" s="120"/>
      <c r="L93" s="120"/>
      <c r="M93" s="120"/>
      <c r="N93" s="168"/>
    </row>
    <row r="94" spans="1:14">
      <c r="A94" s="143" t="s">
        <v>197</v>
      </c>
      <c r="B94" s="109"/>
      <c r="C94" s="102" t="s">
        <v>15</v>
      </c>
      <c r="D94" s="99" t="s">
        <v>1</v>
      </c>
      <c r="E94" s="120">
        <v>17.8</v>
      </c>
      <c r="F94" s="120">
        <f>E94*F93</f>
        <v>37.380000000000003</v>
      </c>
      <c r="G94" s="120"/>
      <c r="H94" s="120"/>
      <c r="I94" s="120"/>
      <c r="J94" s="120"/>
      <c r="K94" s="120"/>
      <c r="L94" s="120"/>
      <c r="M94" s="120"/>
    </row>
    <row r="95" spans="1:14">
      <c r="A95" s="143" t="s">
        <v>216</v>
      </c>
      <c r="B95" s="81" t="s">
        <v>353</v>
      </c>
      <c r="C95" s="82" t="s">
        <v>352</v>
      </c>
      <c r="D95" s="99" t="s">
        <v>349</v>
      </c>
      <c r="E95" s="120">
        <v>11</v>
      </c>
      <c r="F95" s="120">
        <f>E95*F93</f>
        <v>23.1</v>
      </c>
      <c r="G95" s="126"/>
      <c r="H95" s="120"/>
      <c r="I95" s="120"/>
      <c r="J95" s="120"/>
      <c r="K95" s="120"/>
      <c r="L95" s="120"/>
      <c r="M95" s="120"/>
    </row>
    <row r="96" spans="1:14">
      <c r="A96" s="143"/>
      <c r="B96" s="140"/>
      <c r="C96" s="153"/>
      <c r="D96" s="143"/>
      <c r="E96" s="149"/>
      <c r="F96" s="149"/>
      <c r="G96" s="149"/>
      <c r="H96" s="149"/>
      <c r="I96" s="149"/>
      <c r="J96" s="149"/>
      <c r="K96" s="149"/>
      <c r="L96" s="149"/>
      <c r="M96" s="149"/>
    </row>
    <row r="97" spans="1:14">
      <c r="A97" s="143">
        <v>1.1499999999999999</v>
      </c>
      <c r="B97" s="154" t="s">
        <v>403</v>
      </c>
      <c r="C97" s="153" t="s">
        <v>404</v>
      </c>
      <c r="D97" s="143" t="s">
        <v>96</v>
      </c>
      <c r="E97" s="120"/>
      <c r="F97" s="120">
        <v>2</v>
      </c>
      <c r="G97" s="120"/>
      <c r="H97" s="120"/>
      <c r="I97" s="120"/>
      <c r="J97" s="120"/>
      <c r="K97" s="120"/>
      <c r="L97" s="120"/>
      <c r="M97" s="120"/>
      <c r="N97" s="168"/>
    </row>
    <row r="98" spans="1:14">
      <c r="A98" s="143"/>
      <c r="B98" s="155"/>
      <c r="C98" s="153"/>
      <c r="D98" s="143" t="s">
        <v>92</v>
      </c>
      <c r="E98" s="120"/>
      <c r="F98" s="125">
        <f>F97/100</f>
        <v>0.02</v>
      </c>
      <c r="G98" s="120"/>
      <c r="H98" s="120"/>
      <c r="I98" s="120"/>
      <c r="J98" s="120"/>
      <c r="K98" s="120"/>
      <c r="L98" s="120"/>
      <c r="M98" s="120"/>
      <c r="N98" s="168"/>
    </row>
    <row r="99" spans="1:14">
      <c r="A99" s="143" t="s">
        <v>73</v>
      </c>
      <c r="B99" s="116"/>
      <c r="C99" s="102" t="s">
        <v>40</v>
      </c>
      <c r="D99" s="99" t="s">
        <v>1</v>
      </c>
      <c r="E99" s="126">
        <v>33.1</v>
      </c>
      <c r="F99" s="120">
        <f>E99*F98</f>
        <v>0.66200000000000003</v>
      </c>
      <c r="G99" s="120"/>
      <c r="H99" s="120"/>
      <c r="I99" s="120"/>
      <c r="J99" s="120"/>
      <c r="K99" s="120"/>
      <c r="L99" s="120"/>
      <c r="M99" s="120"/>
    </row>
    <row r="100" spans="1:14">
      <c r="A100" s="143" t="s">
        <v>74</v>
      </c>
      <c r="B100" s="116"/>
      <c r="C100" s="102" t="s">
        <v>13</v>
      </c>
      <c r="D100" s="99" t="s">
        <v>25</v>
      </c>
      <c r="E100" s="126">
        <v>0.47</v>
      </c>
      <c r="F100" s="120">
        <f>E100*F98</f>
        <v>9.4000000000000004E-3</v>
      </c>
      <c r="G100" s="120"/>
      <c r="H100" s="120"/>
      <c r="I100" s="120"/>
      <c r="J100" s="120"/>
      <c r="K100" s="120"/>
      <c r="L100" s="120"/>
      <c r="M100" s="120"/>
    </row>
    <row r="101" spans="1:14">
      <c r="A101" s="143" t="s">
        <v>75</v>
      </c>
      <c r="B101" s="154" t="s">
        <v>406</v>
      </c>
      <c r="C101" s="156" t="s">
        <v>405</v>
      </c>
      <c r="D101" s="99" t="s">
        <v>96</v>
      </c>
      <c r="E101" s="152" t="s">
        <v>407</v>
      </c>
      <c r="F101" s="120">
        <v>5</v>
      </c>
      <c r="G101" s="126"/>
      <c r="H101" s="120"/>
      <c r="I101" s="120"/>
      <c r="J101" s="120"/>
      <c r="K101" s="120"/>
      <c r="L101" s="120"/>
      <c r="M101" s="120"/>
    </row>
    <row r="102" spans="1:14">
      <c r="A102" s="143" t="s">
        <v>76</v>
      </c>
      <c r="B102" s="116"/>
      <c r="C102" s="102" t="s">
        <v>99</v>
      </c>
      <c r="D102" s="99" t="s">
        <v>25</v>
      </c>
      <c r="E102" s="126">
        <v>10.9</v>
      </c>
      <c r="F102" s="120">
        <f>E102*F98</f>
        <v>0.218</v>
      </c>
      <c r="G102" s="120"/>
      <c r="H102" s="120"/>
      <c r="I102" s="120"/>
      <c r="J102" s="120"/>
      <c r="K102" s="120"/>
      <c r="L102" s="120"/>
      <c r="M102" s="120"/>
    </row>
    <row r="103" spans="1:14">
      <c r="A103" s="143"/>
      <c r="B103" s="183"/>
      <c r="C103" s="153"/>
      <c r="D103" s="143"/>
      <c r="E103" s="149"/>
      <c r="F103" s="149"/>
      <c r="G103" s="149"/>
      <c r="H103" s="149"/>
      <c r="I103" s="149"/>
      <c r="J103" s="149"/>
      <c r="K103" s="149"/>
      <c r="L103" s="149"/>
      <c r="M103" s="149"/>
    </row>
    <row r="104" spans="1:14">
      <c r="A104" s="167">
        <v>1.1599999999999999</v>
      </c>
      <c r="B104" s="140" t="s">
        <v>178</v>
      </c>
      <c r="C104" s="162" t="s">
        <v>238</v>
      </c>
      <c r="D104" s="143" t="s">
        <v>349</v>
      </c>
      <c r="E104" s="149"/>
      <c r="F104" s="149">
        <v>133</v>
      </c>
      <c r="G104" s="149"/>
      <c r="H104" s="149"/>
      <c r="I104" s="149"/>
      <c r="J104" s="149"/>
      <c r="K104" s="149"/>
      <c r="L104" s="149"/>
      <c r="M104" s="149"/>
      <c r="N104" s="168"/>
    </row>
    <row r="105" spans="1:14">
      <c r="A105" s="167"/>
      <c r="B105" s="109"/>
      <c r="C105" s="102"/>
      <c r="D105" s="99" t="s">
        <v>350</v>
      </c>
      <c r="E105" s="120"/>
      <c r="F105" s="125">
        <f>F104/1000</f>
        <v>0.13300000000000001</v>
      </c>
      <c r="G105" s="120"/>
      <c r="H105" s="120"/>
      <c r="I105" s="120"/>
      <c r="J105" s="120"/>
      <c r="K105" s="120"/>
      <c r="L105" s="120"/>
      <c r="M105" s="120"/>
      <c r="N105" s="168"/>
    </row>
    <row r="106" spans="1:14">
      <c r="A106" s="143" t="s">
        <v>77</v>
      </c>
      <c r="B106" s="109"/>
      <c r="C106" s="102" t="s">
        <v>15</v>
      </c>
      <c r="D106" s="99" t="s">
        <v>1</v>
      </c>
      <c r="E106" s="120">
        <v>15.5</v>
      </c>
      <c r="F106" s="120">
        <f>E106*F105</f>
        <v>2.0615000000000001</v>
      </c>
      <c r="G106" s="120"/>
      <c r="H106" s="120"/>
      <c r="I106" s="120"/>
      <c r="J106" s="120"/>
      <c r="K106" s="120"/>
      <c r="L106" s="120"/>
      <c r="M106" s="120"/>
    </row>
    <row r="107" spans="1:14">
      <c r="A107" s="143" t="s">
        <v>179</v>
      </c>
      <c r="B107" s="81" t="s">
        <v>357</v>
      </c>
      <c r="C107" s="79" t="s">
        <v>356</v>
      </c>
      <c r="D107" s="99" t="s">
        <v>24</v>
      </c>
      <c r="E107" s="120">
        <v>34.700000000000003</v>
      </c>
      <c r="F107" s="120">
        <f>E107*F105</f>
        <v>4.6151000000000009</v>
      </c>
      <c r="G107" s="120"/>
      <c r="H107" s="120"/>
      <c r="I107" s="120"/>
      <c r="J107" s="120"/>
      <c r="K107" s="120"/>
      <c r="L107" s="120"/>
      <c r="M107" s="120"/>
    </row>
    <row r="108" spans="1:14">
      <c r="A108" s="143" t="s">
        <v>180</v>
      </c>
      <c r="B108" s="109"/>
      <c r="C108" s="102" t="s">
        <v>13</v>
      </c>
      <c r="D108" s="99" t="s">
        <v>25</v>
      </c>
      <c r="E108" s="120">
        <v>2.1</v>
      </c>
      <c r="F108" s="120">
        <f>E108*F105</f>
        <v>0.27930000000000005</v>
      </c>
      <c r="G108" s="120"/>
      <c r="H108" s="120"/>
      <c r="I108" s="120"/>
      <c r="J108" s="120"/>
      <c r="K108" s="120"/>
      <c r="L108" s="120"/>
      <c r="M108" s="120"/>
    </row>
    <row r="109" spans="1:14">
      <c r="A109" s="143" t="s">
        <v>283</v>
      </c>
      <c r="B109" s="81" t="s">
        <v>353</v>
      </c>
      <c r="C109" s="82" t="s">
        <v>352</v>
      </c>
      <c r="D109" s="99" t="s">
        <v>349</v>
      </c>
      <c r="E109" s="120">
        <v>0.04</v>
      </c>
      <c r="F109" s="120">
        <f>E109*F105</f>
        <v>5.3200000000000001E-3</v>
      </c>
      <c r="G109" s="126"/>
      <c r="H109" s="120"/>
      <c r="I109" s="120"/>
      <c r="J109" s="120"/>
      <c r="K109" s="120"/>
      <c r="L109" s="120"/>
      <c r="M109" s="120"/>
    </row>
    <row r="110" spans="1:14">
      <c r="A110" s="143"/>
      <c r="B110" s="140"/>
      <c r="C110" s="153"/>
      <c r="D110" s="143"/>
      <c r="E110" s="149"/>
      <c r="F110" s="149"/>
      <c r="G110" s="149"/>
      <c r="H110" s="149"/>
      <c r="I110" s="149"/>
      <c r="J110" s="149"/>
      <c r="K110" s="149"/>
      <c r="L110" s="149"/>
      <c r="M110" s="149"/>
    </row>
    <row r="111" spans="1:14">
      <c r="A111" s="143">
        <v>1.17</v>
      </c>
      <c r="B111" s="140" t="s">
        <v>260</v>
      </c>
      <c r="C111" s="162" t="s">
        <v>262</v>
      </c>
      <c r="D111" s="143" t="s">
        <v>349</v>
      </c>
      <c r="E111" s="149"/>
      <c r="F111" s="149">
        <f>F104</f>
        <v>133</v>
      </c>
      <c r="G111" s="149"/>
      <c r="H111" s="149"/>
      <c r="I111" s="149"/>
      <c r="J111" s="149"/>
      <c r="K111" s="149"/>
      <c r="L111" s="149"/>
      <c r="M111" s="149"/>
      <c r="N111" s="168"/>
    </row>
    <row r="112" spans="1:14">
      <c r="A112" s="143"/>
      <c r="B112" s="109"/>
      <c r="C112" s="102"/>
      <c r="D112" s="99" t="s">
        <v>362</v>
      </c>
      <c r="E112" s="120"/>
      <c r="F112" s="125">
        <f>F111/100</f>
        <v>1.33</v>
      </c>
      <c r="G112" s="120"/>
      <c r="H112" s="120"/>
      <c r="I112" s="120"/>
      <c r="J112" s="120"/>
      <c r="K112" s="120"/>
      <c r="L112" s="120"/>
      <c r="M112" s="120"/>
      <c r="N112" s="168"/>
    </row>
    <row r="113" spans="1:13">
      <c r="A113" s="143" t="s">
        <v>181</v>
      </c>
      <c r="B113" s="109"/>
      <c r="C113" s="102" t="s">
        <v>15</v>
      </c>
      <c r="D113" s="99" t="s">
        <v>1</v>
      </c>
      <c r="E113" s="120">
        <v>13.4</v>
      </c>
      <c r="F113" s="120">
        <f>E113*F112</f>
        <v>17.822000000000003</v>
      </c>
      <c r="G113" s="120"/>
      <c r="H113" s="120"/>
      <c r="I113" s="120"/>
      <c r="J113" s="120"/>
      <c r="K113" s="120"/>
      <c r="L113" s="120"/>
      <c r="M113" s="120"/>
    </row>
    <row r="114" spans="1:13">
      <c r="A114" s="143" t="s">
        <v>284</v>
      </c>
      <c r="B114" s="139" t="s">
        <v>408</v>
      </c>
      <c r="C114" s="102" t="s">
        <v>261</v>
      </c>
      <c r="D114" s="99" t="s">
        <v>24</v>
      </c>
      <c r="E114" s="120">
        <v>13</v>
      </c>
      <c r="F114" s="120">
        <f>E114*F112</f>
        <v>17.29</v>
      </c>
      <c r="G114" s="120"/>
      <c r="H114" s="120"/>
      <c r="I114" s="120"/>
      <c r="J114" s="120"/>
      <c r="K114" s="120"/>
      <c r="L114" s="120"/>
      <c r="M114" s="120"/>
    </row>
    <row r="115" spans="1:13">
      <c r="A115" s="143" t="s">
        <v>285</v>
      </c>
      <c r="B115" s="139" t="s">
        <v>409</v>
      </c>
      <c r="C115" s="102" t="s">
        <v>384</v>
      </c>
      <c r="D115" s="99" t="s">
        <v>24</v>
      </c>
      <c r="E115" s="120">
        <f>E114/4</f>
        <v>3.25</v>
      </c>
      <c r="F115" s="120">
        <f>E115*F112</f>
        <v>4.3224999999999998</v>
      </c>
      <c r="G115" s="120"/>
      <c r="H115" s="120"/>
      <c r="I115" s="120"/>
      <c r="J115" s="120"/>
      <c r="K115" s="126"/>
      <c r="L115" s="120"/>
      <c r="M115" s="120"/>
    </row>
    <row r="116" spans="1:13">
      <c r="A116" s="143"/>
      <c r="B116" s="140"/>
      <c r="C116" s="153"/>
      <c r="D116" s="143"/>
      <c r="E116" s="149"/>
      <c r="F116" s="149"/>
      <c r="G116" s="149"/>
      <c r="H116" s="149"/>
      <c r="I116" s="149"/>
      <c r="J116" s="149"/>
      <c r="K116" s="149"/>
      <c r="L116" s="149"/>
      <c r="M116" s="149"/>
    </row>
    <row r="117" spans="1:13">
      <c r="A117" s="143">
        <v>1.18</v>
      </c>
      <c r="B117" s="140" t="s">
        <v>91</v>
      </c>
      <c r="C117" s="117" t="s">
        <v>264</v>
      </c>
      <c r="D117" s="143" t="s">
        <v>420</v>
      </c>
      <c r="E117" s="169"/>
      <c r="F117" s="169">
        <v>1.3</v>
      </c>
      <c r="G117" s="105"/>
      <c r="H117" s="170"/>
      <c r="I117" s="105"/>
      <c r="J117" s="170"/>
      <c r="K117" s="105"/>
      <c r="L117" s="106"/>
      <c r="M117" s="149"/>
    </row>
    <row r="118" spans="1:13">
      <c r="A118" s="143" t="s">
        <v>286</v>
      </c>
      <c r="B118" s="140"/>
      <c r="C118" s="117" t="s">
        <v>90</v>
      </c>
      <c r="D118" s="143" t="s">
        <v>1</v>
      </c>
      <c r="E118" s="170">
        <v>2</v>
      </c>
      <c r="F118" s="169">
        <f>F117*E118</f>
        <v>2.6</v>
      </c>
      <c r="G118" s="171"/>
      <c r="H118" s="170"/>
      <c r="I118" s="170"/>
      <c r="J118" s="170"/>
      <c r="K118" s="171"/>
      <c r="L118" s="106"/>
      <c r="M118" s="149"/>
    </row>
    <row r="119" spans="1:13">
      <c r="A119" s="143" t="s">
        <v>287</v>
      </c>
      <c r="B119" s="139" t="s">
        <v>410</v>
      </c>
      <c r="C119" s="117" t="s">
        <v>263</v>
      </c>
      <c r="D119" s="143" t="s">
        <v>420</v>
      </c>
      <c r="E119" s="170">
        <v>1.1000000000000001</v>
      </c>
      <c r="F119" s="169">
        <f>F117*E119</f>
        <v>1.4300000000000002</v>
      </c>
      <c r="G119" s="192"/>
      <c r="H119" s="170"/>
      <c r="I119" s="171"/>
      <c r="J119" s="170"/>
      <c r="K119" s="172"/>
      <c r="L119" s="106"/>
      <c r="M119" s="149"/>
    </row>
    <row r="120" spans="1:13">
      <c r="A120" s="143"/>
      <c r="B120" s="140"/>
      <c r="C120" s="117"/>
      <c r="D120" s="143"/>
      <c r="E120" s="170"/>
      <c r="F120" s="169"/>
      <c r="G120" s="170"/>
      <c r="H120" s="170"/>
      <c r="I120" s="171"/>
      <c r="J120" s="170"/>
      <c r="K120" s="172"/>
      <c r="L120" s="106"/>
      <c r="M120" s="149"/>
    </row>
    <row r="121" spans="1:13">
      <c r="A121" s="143">
        <v>1.19</v>
      </c>
      <c r="B121" s="139" t="s">
        <v>412</v>
      </c>
      <c r="C121" s="185" t="s">
        <v>288</v>
      </c>
      <c r="D121" s="143" t="s">
        <v>359</v>
      </c>
      <c r="E121" s="119"/>
      <c r="F121" s="119">
        <v>21</v>
      </c>
      <c r="G121" s="105"/>
      <c r="H121" s="106"/>
      <c r="I121" s="105"/>
      <c r="J121" s="106"/>
      <c r="K121" s="105"/>
      <c r="L121" s="106"/>
      <c r="M121" s="149"/>
    </row>
    <row r="122" spans="1:13">
      <c r="A122" s="143"/>
      <c r="B122" s="142"/>
      <c r="C122" s="158"/>
      <c r="D122" s="143" t="s">
        <v>364</v>
      </c>
      <c r="E122" s="119"/>
      <c r="F122" s="159">
        <f>F121/100</f>
        <v>0.21</v>
      </c>
      <c r="G122" s="105"/>
      <c r="H122" s="106"/>
      <c r="I122" s="105"/>
      <c r="J122" s="106"/>
      <c r="K122" s="105"/>
      <c r="L122" s="106"/>
      <c r="M122" s="120"/>
    </row>
    <row r="123" spans="1:13">
      <c r="A123" s="143" t="s">
        <v>289</v>
      </c>
      <c r="B123" s="109"/>
      <c r="C123" s="117" t="s">
        <v>90</v>
      </c>
      <c r="D123" s="99" t="s">
        <v>1</v>
      </c>
      <c r="E123" s="106">
        <v>880</v>
      </c>
      <c r="F123" s="119">
        <f>F122*E123</f>
        <v>184.79999999999998</v>
      </c>
      <c r="G123" s="105"/>
      <c r="H123" s="106"/>
      <c r="I123" s="106"/>
      <c r="J123" s="106"/>
      <c r="K123" s="105"/>
      <c r="L123" s="106"/>
      <c r="M123" s="120"/>
    </row>
    <row r="124" spans="1:13">
      <c r="A124" s="143"/>
      <c r="B124" s="116"/>
      <c r="C124" s="133" t="s">
        <v>13</v>
      </c>
      <c r="D124" s="118" t="s">
        <v>25</v>
      </c>
      <c r="E124" s="126">
        <v>5</v>
      </c>
      <c r="F124" s="126">
        <f>E124*F122</f>
        <v>1.05</v>
      </c>
      <c r="G124" s="126"/>
      <c r="H124" s="126"/>
      <c r="I124" s="126"/>
      <c r="J124" s="126"/>
      <c r="K124" s="126"/>
      <c r="L124" s="126"/>
      <c r="M124" s="126"/>
    </row>
    <row r="125" spans="1:13">
      <c r="A125" s="143" t="s">
        <v>290</v>
      </c>
      <c r="B125" s="139" t="s">
        <v>411</v>
      </c>
      <c r="C125" s="117" t="s">
        <v>291</v>
      </c>
      <c r="D125" s="99" t="s">
        <v>359</v>
      </c>
      <c r="E125" s="106">
        <v>100</v>
      </c>
      <c r="F125" s="119">
        <f>F122*E125</f>
        <v>21</v>
      </c>
      <c r="G125" s="106"/>
      <c r="H125" s="106"/>
      <c r="I125" s="105"/>
      <c r="J125" s="106"/>
      <c r="K125" s="120"/>
      <c r="L125" s="120"/>
      <c r="M125" s="120"/>
    </row>
    <row r="126" spans="1:13">
      <c r="A126" s="143"/>
      <c r="B126" s="139" t="s">
        <v>416</v>
      </c>
      <c r="C126" s="141" t="s">
        <v>103</v>
      </c>
      <c r="D126" s="151" t="s">
        <v>349</v>
      </c>
      <c r="E126" s="152">
        <v>52.5</v>
      </c>
      <c r="F126" s="152">
        <f>E126*F122</f>
        <v>11.025</v>
      </c>
      <c r="G126" s="152"/>
      <c r="H126" s="152"/>
      <c r="I126" s="152"/>
      <c r="J126" s="152"/>
      <c r="K126" s="152"/>
      <c r="L126" s="152"/>
      <c r="M126" s="152"/>
    </row>
    <row r="127" spans="1:13">
      <c r="A127" s="143"/>
      <c r="B127" s="139"/>
      <c r="C127" s="141" t="s">
        <v>99</v>
      </c>
      <c r="D127" s="151" t="s">
        <v>25</v>
      </c>
      <c r="E127" s="152">
        <v>11</v>
      </c>
      <c r="F127" s="152">
        <f>E127*F122</f>
        <v>2.31</v>
      </c>
      <c r="G127" s="152"/>
      <c r="H127" s="152"/>
      <c r="I127" s="152"/>
      <c r="J127" s="152"/>
      <c r="K127" s="152"/>
      <c r="L127" s="152"/>
      <c r="M127" s="152"/>
    </row>
    <row r="128" spans="1:13">
      <c r="A128" s="143"/>
      <c r="B128" s="140"/>
      <c r="C128" s="117"/>
      <c r="D128" s="143"/>
      <c r="E128" s="170"/>
      <c r="F128" s="169"/>
      <c r="G128" s="170"/>
      <c r="H128" s="170"/>
      <c r="I128" s="171"/>
      <c r="J128" s="170"/>
      <c r="K128" s="172"/>
      <c r="L128" s="149"/>
      <c r="M128" s="149"/>
    </row>
    <row r="129" spans="1:13">
      <c r="A129" s="143"/>
      <c r="B129" s="140"/>
      <c r="C129" s="117"/>
      <c r="D129" s="143"/>
      <c r="E129" s="170"/>
      <c r="F129" s="169"/>
      <c r="G129" s="170"/>
      <c r="H129" s="170"/>
      <c r="I129" s="171"/>
      <c r="J129" s="170"/>
      <c r="K129" s="172"/>
      <c r="L129" s="149"/>
      <c r="M129" s="149"/>
    </row>
    <row r="130" spans="1:13">
      <c r="A130" s="100">
        <v>1.2</v>
      </c>
      <c r="B130" s="109" t="s">
        <v>417</v>
      </c>
      <c r="C130" s="107" t="s">
        <v>313</v>
      </c>
      <c r="D130" s="99" t="s">
        <v>349</v>
      </c>
      <c r="E130" s="108"/>
      <c r="F130" s="108">
        <v>28</v>
      </c>
      <c r="G130" s="108"/>
      <c r="H130" s="108"/>
      <c r="I130" s="108"/>
      <c r="J130" s="108"/>
      <c r="K130" s="108"/>
      <c r="L130" s="108"/>
      <c r="M130" s="120"/>
    </row>
    <row r="131" spans="1:13">
      <c r="A131" s="99" t="s">
        <v>311</v>
      </c>
      <c r="B131" s="140" t="s">
        <v>396</v>
      </c>
      <c r="C131" s="102" t="s">
        <v>15</v>
      </c>
      <c r="D131" s="99" t="s">
        <v>1</v>
      </c>
      <c r="E131" s="161">
        <v>8.35</v>
      </c>
      <c r="F131" s="120">
        <f>E131*F130</f>
        <v>233.79999999999998</v>
      </c>
      <c r="G131" s="120"/>
      <c r="H131" s="120"/>
      <c r="I131" s="120"/>
      <c r="J131" s="120"/>
      <c r="K131" s="120"/>
      <c r="L131" s="120"/>
      <c r="M131" s="120"/>
    </row>
    <row r="132" spans="1:13">
      <c r="A132" s="99" t="s">
        <v>312</v>
      </c>
      <c r="B132" s="139" t="s">
        <v>418</v>
      </c>
      <c r="C132" s="153" t="s">
        <v>419</v>
      </c>
      <c r="D132" s="99" t="s">
        <v>24</v>
      </c>
      <c r="E132" s="126">
        <v>2.78</v>
      </c>
      <c r="F132" s="120">
        <f>E132*F130</f>
        <v>77.839999999999989</v>
      </c>
      <c r="G132" s="120"/>
      <c r="H132" s="120"/>
      <c r="I132" s="120"/>
      <c r="J132" s="120"/>
      <c r="K132" s="120"/>
      <c r="L132" s="120"/>
      <c r="M132" s="120"/>
    </row>
    <row r="133" spans="1:13">
      <c r="A133" s="99" t="s">
        <v>317</v>
      </c>
      <c r="B133" s="139" t="s">
        <v>409</v>
      </c>
      <c r="C133" s="102" t="s">
        <v>384</v>
      </c>
      <c r="D133" s="99" t="s">
        <v>24</v>
      </c>
      <c r="E133" s="126">
        <v>1.39</v>
      </c>
      <c r="F133" s="120">
        <f>E133*F130</f>
        <v>38.919999999999995</v>
      </c>
      <c r="G133" s="120"/>
      <c r="H133" s="120"/>
      <c r="I133" s="120"/>
      <c r="J133" s="120"/>
      <c r="K133" s="126"/>
      <c r="L133" s="120"/>
      <c r="M133" s="120"/>
    </row>
    <row r="134" spans="1:13">
      <c r="A134" s="143"/>
      <c r="B134" s="140"/>
      <c r="C134" s="107"/>
      <c r="D134" s="189"/>
      <c r="E134" s="191"/>
      <c r="F134" s="149"/>
      <c r="G134" s="108"/>
      <c r="H134" s="108"/>
      <c r="I134" s="108"/>
      <c r="J134" s="108"/>
      <c r="K134" s="149"/>
      <c r="L134" s="149"/>
      <c r="M134" s="149"/>
    </row>
    <row r="135" spans="1:13">
      <c r="A135" s="143"/>
      <c r="B135" s="140"/>
      <c r="C135" s="107"/>
      <c r="D135" s="189"/>
      <c r="E135" s="191"/>
      <c r="F135" s="149"/>
      <c r="G135" s="108"/>
      <c r="H135" s="108"/>
      <c r="I135" s="108"/>
      <c r="J135" s="108"/>
      <c r="K135" s="149"/>
      <c r="L135" s="149"/>
      <c r="M135" s="149"/>
    </row>
    <row r="136" spans="1:13" s="86" customFormat="1">
      <c r="A136" s="92"/>
      <c r="B136" s="85"/>
      <c r="C136" s="92" t="s">
        <v>4</v>
      </c>
      <c r="D136" s="92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s="163" customFormat="1">
      <c r="A137" s="143"/>
      <c r="B137" s="140"/>
      <c r="C137" s="143"/>
      <c r="D137" s="143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s="163" customFormat="1">
      <c r="A138" s="143"/>
      <c r="B138" s="140"/>
      <c r="C138" s="143" t="s">
        <v>10</v>
      </c>
      <c r="D138" s="164">
        <v>0.1</v>
      </c>
      <c r="E138" s="149"/>
      <c r="F138" s="149"/>
      <c r="G138" s="149"/>
      <c r="H138" s="149"/>
      <c r="I138" s="149"/>
      <c r="J138" s="149"/>
      <c r="K138" s="149"/>
      <c r="L138" s="149"/>
      <c r="M138" s="149"/>
    </row>
    <row r="139" spans="1:13" s="163" customFormat="1">
      <c r="A139" s="143"/>
      <c r="B139" s="140"/>
      <c r="C139" s="143" t="s">
        <v>4</v>
      </c>
      <c r="D139" s="164"/>
      <c r="E139" s="149"/>
      <c r="F139" s="149"/>
      <c r="G139" s="149"/>
      <c r="H139" s="149"/>
      <c r="I139" s="149"/>
      <c r="J139" s="149"/>
      <c r="K139" s="149"/>
      <c r="L139" s="149"/>
      <c r="M139" s="149"/>
    </row>
    <row r="140" spans="1:13" s="163" customFormat="1">
      <c r="A140" s="143"/>
      <c r="B140" s="140"/>
      <c r="C140" s="143" t="s">
        <v>11</v>
      </c>
      <c r="D140" s="164">
        <v>0.08</v>
      </c>
      <c r="E140" s="149"/>
      <c r="F140" s="149"/>
      <c r="G140" s="149"/>
      <c r="H140" s="149"/>
      <c r="I140" s="149"/>
      <c r="J140" s="149"/>
      <c r="K140" s="149"/>
      <c r="L140" s="149"/>
      <c r="M140" s="149"/>
    </row>
    <row r="141" spans="1:13" s="163" customFormat="1">
      <c r="A141" s="143"/>
      <c r="B141" s="140"/>
      <c r="C141" s="143"/>
      <c r="D141" s="164"/>
      <c r="E141" s="149"/>
      <c r="F141" s="149"/>
      <c r="G141" s="149"/>
      <c r="H141" s="149"/>
      <c r="I141" s="149"/>
      <c r="J141" s="149"/>
      <c r="K141" s="149"/>
      <c r="L141" s="149"/>
      <c r="M141" s="149"/>
    </row>
    <row r="142" spans="1:13" s="163" customFormat="1">
      <c r="A142" s="92"/>
      <c r="B142" s="85"/>
      <c r="C142" s="92" t="s">
        <v>4</v>
      </c>
      <c r="D142" s="92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>
      <c r="B143" s="175"/>
      <c r="C143" s="174"/>
      <c r="D143" s="175"/>
      <c r="E143" s="175"/>
      <c r="F143" s="175"/>
      <c r="G143" s="175"/>
      <c r="H143" s="175"/>
      <c r="I143" s="175"/>
      <c r="J143" s="175"/>
      <c r="K143" s="175"/>
      <c r="L143" s="175"/>
      <c r="M143" s="176"/>
    </row>
    <row r="144" spans="1:13">
      <c r="B144" s="175"/>
      <c r="C144" s="174"/>
      <c r="D144" s="175"/>
      <c r="E144" s="175"/>
      <c r="F144" s="175"/>
      <c r="G144" s="175"/>
      <c r="H144" s="175"/>
      <c r="I144" s="175"/>
      <c r="J144" s="175"/>
      <c r="K144" s="175"/>
      <c r="L144" s="175"/>
      <c r="M144" s="176"/>
    </row>
    <row r="145" spans="1:13">
      <c r="B145" s="175"/>
      <c r="C145" s="174"/>
      <c r="D145" s="175"/>
      <c r="E145" s="175"/>
      <c r="F145" s="175"/>
      <c r="G145" s="175"/>
      <c r="H145" s="175"/>
      <c r="I145" s="175"/>
      <c r="J145" s="175"/>
      <c r="K145" s="175"/>
      <c r="L145" s="175"/>
      <c r="M145" s="176"/>
    </row>
    <row r="146" spans="1:13">
      <c r="B146" s="175"/>
      <c r="C146" s="174"/>
      <c r="D146" s="175"/>
      <c r="E146" s="175"/>
      <c r="F146" s="175"/>
      <c r="G146" s="175"/>
      <c r="H146" s="175"/>
      <c r="I146" s="175"/>
      <c r="J146" s="175"/>
      <c r="K146" s="175"/>
      <c r="L146" s="175"/>
      <c r="M146" s="176"/>
    </row>
    <row r="147" spans="1:13">
      <c r="B147" s="175"/>
      <c r="C147" s="174"/>
      <c r="D147" s="175"/>
      <c r="E147" s="175"/>
      <c r="F147" s="175"/>
      <c r="G147" s="175"/>
      <c r="H147" s="175"/>
      <c r="I147" s="175"/>
      <c r="J147" s="175"/>
      <c r="K147" s="175"/>
      <c r="L147" s="175"/>
      <c r="M147" s="176"/>
    </row>
    <row r="148" spans="1:13">
      <c r="B148" s="175"/>
      <c r="C148" s="174"/>
      <c r="D148" s="175"/>
      <c r="E148" s="175"/>
      <c r="F148" s="175"/>
      <c r="G148" s="175"/>
      <c r="H148" s="175"/>
      <c r="I148" s="175"/>
      <c r="J148" s="175"/>
      <c r="K148" s="175"/>
      <c r="L148" s="175"/>
      <c r="M148" s="176"/>
    </row>
    <row r="149" spans="1:13">
      <c r="B149" s="175"/>
      <c r="C149" s="174"/>
      <c r="D149" s="175"/>
      <c r="E149" s="175"/>
      <c r="F149" s="175"/>
      <c r="G149" s="175"/>
      <c r="H149" s="175"/>
      <c r="I149" s="175"/>
      <c r="J149" s="175"/>
      <c r="K149" s="175"/>
      <c r="L149" s="175"/>
      <c r="M149" s="176"/>
    </row>
    <row r="150" spans="1:13">
      <c r="B150" s="175"/>
      <c r="C150" s="174"/>
      <c r="D150" s="175"/>
      <c r="E150" s="175"/>
      <c r="F150" s="175"/>
      <c r="G150" s="175"/>
      <c r="H150" s="175"/>
      <c r="I150" s="175"/>
      <c r="J150" s="175"/>
      <c r="K150" s="175"/>
      <c r="L150" s="175"/>
      <c r="M150" s="176"/>
    </row>
    <row r="151" spans="1:13">
      <c r="B151" s="175"/>
      <c r="C151" s="174"/>
      <c r="D151" s="175"/>
      <c r="E151" s="175"/>
      <c r="F151" s="175"/>
      <c r="G151" s="175"/>
      <c r="H151" s="175"/>
      <c r="I151" s="175"/>
      <c r="J151" s="175"/>
      <c r="K151" s="175"/>
      <c r="L151" s="175"/>
      <c r="M151" s="176"/>
    </row>
    <row r="152" spans="1:13">
      <c r="A152" s="165"/>
      <c r="B152" s="175"/>
      <c r="C152" s="174"/>
      <c r="D152" s="175"/>
      <c r="E152" s="175"/>
      <c r="F152" s="175"/>
      <c r="G152" s="175"/>
      <c r="H152" s="175"/>
      <c r="I152" s="175"/>
      <c r="J152" s="175"/>
      <c r="K152" s="175"/>
      <c r="L152" s="175"/>
      <c r="M152" s="176"/>
    </row>
    <row r="153" spans="1:13">
      <c r="A153" s="165"/>
      <c r="B153" s="175"/>
      <c r="C153" s="174"/>
      <c r="D153" s="175"/>
      <c r="E153" s="175"/>
      <c r="F153" s="175"/>
      <c r="G153" s="175"/>
      <c r="H153" s="175"/>
      <c r="I153" s="175"/>
      <c r="J153" s="175"/>
      <c r="K153" s="175"/>
      <c r="L153" s="175"/>
      <c r="M153" s="176"/>
    </row>
    <row r="154" spans="1:13">
      <c r="A154" s="165"/>
      <c r="B154" s="175"/>
      <c r="C154" s="174"/>
      <c r="D154" s="175"/>
      <c r="E154" s="175"/>
      <c r="F154" s="175"/>
      <c r="G154" s="175"/>
      <c r="H154" s="175"/>
      <c r="I154" s="175"/>
      <c r="J154" s="175"/>
      <c r="K154" s="175"/>
      <c r="L154" s="175"/>
      <c r="M154" s="176"/>
    </row>
    <row r="155" spans="1:13">
      <c r="A155" s="165"/>
      <c r="B155" s="175"/>
      <c r="C155" s="174"/>
      <c r="D155" s="175"/>
      <c r="E155" s="175"/>
      <c r="F155" s="175"/>
      <c r="G155" s="175"/>
      <c r="H155" s="175"/>
      <c r="I155" s="175"/>
      <c r="J155" s="175"/>
      <c r="K155" s="175"/>
      <c r="L155" s="175"/>
      <c r="M155" s="176"/>
    </row>
    <row r="156" spans="1:13">
      <c r="A156" s="165"/>
      <c r="B156" s="175"/>
      <c r="C156" s="174"/>
      <c r="D156" s="175"/>
      <c r="E156" s="175"/>
      <c r="F156" s="175"/>
      <c r="G156" s="175"/>
      <c r="H156" s="175"/>
      <c r="I156" s="175"/>
      <c r="J156" s="175"/>
      <c r="K156" s="175"/>
      <c r="L156" s="175"/>
      <c r="M156" s="176"/>
    </row>
    <row r="157" spans="1:13">
      <c r="A157" s="165"/>
      <c r="B157" s="175"/>
      <c r="C157" s="174"/>
      <c r="D157" s="175"/>
      <c r="E157" s="175"/>
      <c r="F157" s="175"/>
      <c r="G157" s="175"/>
      <c r="H157" s="175"/>
      <c r="I157" s="175"/>
      <c r="J157" s="175"/>
      <c r="K157" s="175"/>
      <c r="L157" s="175"/>
      <c r="M157" s="176"/>
    </row>
    <row r="158" spans="1:13">
      <c r="A158" s="165"/>
      <c r="B158" s="175"/>
      <c r="C158" s="174"/>
      <c r="D158" s="175"/>
      <c r="E158" s="175"/>
      <c r="F158" s="175"/>
      <c r="G158" s="175"/>
      <c r="H158" s="175"/>
      <c r="I158" s="175"/>
      <c r="J158" s="175"/>
      <c r="K158" s="175"/>
      <c r="L158" s="175"/>
      <c r="M158" s="176"/>
    </row>
    <row r="159" spans="1:13">
      <c r="A159" s="165"/>
      <c r="B159" s="175"/>
      <c r="C159" s="174"/>
      <c r="D159" s="175"/>
      <c r="E159" s="175"/>
      <c r="F159" s="175"/>
      <c r="G159" s="175"/>
      <c r="H159" s="175"/>
      <c r="I159" s="175"/>
      <c r="J159" s="175"/>
      <c r="K159" s="175"/>
      <c r="L159" s="175"/>
      <c r="M159" s="176"/>
    </row>
    <row r="160" spans="1:13">
      <c r="A160" s="165"/>
      <c r="B160" s="175"/>
      <c r="C160" s="174"/>
      <c r="D160" s="175"/>
      <c r="E160" s="175"/>
      <c r="F160" s="175"/>
      <c r="G160" s="175"/>
      <c r="H160" s="175"/>
      <c r="I160" s="175"/>
      <c r="J160" s="175"/>
      <c r="K160" s="175"/>
      <c r="L160" s="175"/>
      <c r="M160" s="176"/>
    </row>
    <row r="161" spans="1:13">
      <c r="A161" s="165"/>
      <c r="B161" s="175"/>
      <c r="C161" s="174"/>
      <c r="D161" s="175"/>
      <c r="E161" s="175"/>
      <c r="F161" s="175"/>
      <c r="G161" s="175"/>
      <c r="H161" s="175"/>
      <c r="I161" s="175"/>
      <c r="J161" s="175"/>
      <c r="K161" s="175"/>
      <c r="L161" s="175"/>
      <c r="M161" s="176"/>
    </row>
    <row r="162" spans="1:13">
      <c r="A162" s="165"/>
      <c r="B162" s="175"/>
      <c r="C162" s="174"/>
      <c r="D162" s="175"/>
      <c r="E162" s="175"/>
      <c r="F162" s="175"/>
      <c r="G162" s="175"/>
      <c r="H162" s="175"/>
      <c r="I162" s="175"/>
      <c r="J162" s="175"/>
      <c r="K162" s="175"/>
      <c r="L162" s="175"/>
      <c r="M162" s="176"/>
    </row>
    <row r="163" spans="1:13">
      <c r="A163" s="165"/>
      <c r="B163" s="175"/>
      <c r="C163" s="174"/>
      <c r="D163" s="175"/>
      <c r="E163" s="175"/>
      <c r="F163" s="175"/>
      <c r="G163" s="175"/>
      <c r="H163" s="175"/>
      <c r="I163" s="175"/>
      <c r="J163" s="175"/>
      <c r="K163" s="175"/>
      <c r="L163" s="175"/>
      <c r="M163" s="176"/>
    </row>
    <row r="164" spans="1:13">
      <c r="A164" s="165"/>
      <c r="B164" s="175"/>
      <c r="C164" s="174"/>
      <c r="D164" s="175"/>
      <c r="E164" s="175"/>
      <c r="F164" s="175"/>
      <c r="G164" s="175"/>
      <c r="H164" s="175"/>
      <c r="I164" s="175"/>
      <c r="J164" s="175"/>
      <c r="K164" s="175"/>
      <c r="L164" s="175"/>
      <c r="M164" s="176"/>
    </row>
    <row r="165" spans="1:13">
      <c r="A165" s="165"/>
      <c r="B165" s="175"/>
      <c r="C165" s="174"/>
      <c r="D165" s="175"/>
      <c r="E165" s="175"/>
      <c r="F165" s="175"/>
      <c r="G165" s="175"/>
      <c r="H165" s="175"/>
      <c r="I165" s="175"/>
      <c r="J165" s="175"/>
      <c r="K165" s="175"/>
      <c r="L165" s="175"/>
      <c r="M165" s="176"/>
    </row>
    <row r="166" spans="1:13">
      <c r="A166" s="165"/>
      <c r="B166" s="175"/>
      <c r="C166" s="174"/>
      <c r="D166" s="175"/>
      <c r="E166" s="175"/>
      <c r="F166" s="175"/>
      <c r="G166" s="175"/>
      <c r="H166" s="175"/>
      <c r="I166" s="175"/>
      <c r="J166" s="175"/>
      <c r="K166" s="175"/>
      <c r="L166" s="175"/>
      <c r="M166" s="176"/>
    </row>
    <row r="167" spans="1:13">
      <c r="A167" s="165"/>
      <c r="B167" s="175"/>
      <c r="C167" s="174"/>
      <c r="D167" s="175"/>
      <c r="E167" s="175"/>
      <c r="F167" s="175"/>
      <c r="G167" s="175"/>
      <c r="H167" s="175"/>
      <c r="I167" s="175"/>
      <c r="J167" s="175"/>
      <c r="K167" s="175"/>
      <c r="L167" s="175"/>
      <c r="M167" s="176"/>
    </row>
    <row r="168" spans="1:13">
      <c r="A168" s="165"/>
      <c r="B168" s="175"/>
      <c r="C168" s="174"/>
      <c r="D168" s="175"/>
      <c r="E168" s="175"/>
      <c r="F168" s="175"/>
      <c r="G168" s="175"/>
      <c r="H168" s="175"/>
      <c r="I168" s="175"/>
      <c r="J168" s="175"/>
      <c r="K168" s="175"/>
      <c r="L168" s="175"/>
      <c r="M168" s="176"/>
    </row>
    <row r="169" spans="1:13">
      <c r="A169" s="165"/>
      <c r="B169" s="175"/>
      <c r="C169" s="174"/>
      <c r="D169" s="175"/>
      <c r="E169" s="175"/>
      <c r="F169" s="175"/>
      <c r="G169" s="175"/>
      <c r="H169" s="175"/>
      <c r="I169" s="175"/>
      <c r="J169" s="175"/>
      <c r="K169" s="175"/>
      <c r="L169" s="175"/>
      <c r="M169" s="176"/>
    </row>
    <row r="170" spans="1:13">
      <c r="A170" s="165"/>
      <c r="B170" s="175"/>
      <c r="C170" s="174"/>
      <c r="D170" s="175"/>
      <c r="E170" s="175"/>
      <c r="F170" s="175"/>
      <c r="G170" s="175"/>
      <c r="H170" s="175"/>
      <c r="I170" s="175"/>
      <c r="J170" s="175"/>
      <c r="K170" s="175"/>
      <c r="L170" s="175"/>
      <c r="M170" s="176"/>
    </row>
    <row r="171" spans="1:13">
      <c r="A171" s="165"/>
      <c r="B171" s="175"/>
      <c r="C171" s="174"/>
      <c r="D171" s="175"/>
      <c r="E171" s="175"/>
      <c r="F171" s="175"/>
      <c r="G171" s="175"/>
      <c r="H171" s="175"/>
      <c r="I171" s="175"/>
      <c r="J171" s="175"/>
      <c r="K171" s="175"/>
      <c r="L171" s="175"/>
      <c r="M171" s="176"/>
    </row>
    <row r="172" spans="1:13">
      <c r="A172" s="165"/>
      <c r="B172" s="175"/>
      <c r="C172" s="174"/>
      <c r="D172" s="175"/>
      <c r="E172" s="175"/>
      <c r="F172" s="175"/>
      <c r="G172" s="175"/>
      <c r="H172" s="175"/>
      <c r="I172" s="175"/>
      <c r="J172" s="175"/>
      <c r="K172" s="175"/>
      <c r="L172" s="175"/>
      <c r="M172" s="176"/>
    </row>
    <row r="173" spans="1:13">
      <c r="A173" s="165"/>
      <c r="B173" s="175"/>
      <c r="C173" s="174"/>
      <c r="D173" s="175"/>
      <c r="E173" s="175"/>
      <c r="F173" s="175"/>
      <c r="G173" s="175"/>
      <c r="H173" s="175"/>
      <c r="I173" s="175"/>
      <c r="J173" s="175"/>
      <c r="K173" s="175"/>
      <c r="L173" s="175"/>
      <c r="M173" s="176"/>
    </row>
    <row r="174" spans="1:13">
      <c r="A174" s="165"/>
      <c r="B174" s="175"/>
      <c r="C174" s="174"/>
      <c r="D174" s="175"/>
      <c r="E174" s="175"/>
      <c r="F174" s="175"/>
      <c r="G174" s="175"/>
      <c r="H174" s="175"/>
      <c r="I174" s="175"/>
      <c r="J174" s="175"/>
      <c r="K174" s="175"/>
      <c r="L174" s="175"/>
      <c r="M174" s="176"/>
    </row>
    <row r="175" spans="1:13">
      <c r="A175" s="165"/>
      <c r="B175" s="175"/>
      <c r="C175" s="174"/>
      <c r="D175" s="175"/>
      <c r="E175" s="175"/>
      <c r="F175" s="175"/>
      <c r="G175" s="175"/>
      <c r="H175" s="175"/>
      <c r="I175" s="175"/>
      <c r="J175" s="175"/>
      <c r="K175" s="175"/>
      <c r="L175" s="175"/>
      <c r="M175" s="176"/>
    </row>
    <row r="176" spans="1:13">
      <c r="A176" s="165"/>
      <c r="B176" s="175"/>
      <c r="C176" s="174"/>
      <c r="D176" s="175"/>
      <c r="E176" s="175"/>
      <c r="F176" s="175"/>
      <c r="G176" s="175"/>
      <c r="H176" s="175"/>
      <c r="I176" s="175"/>
      <c r="J176" s="175"/>
      <c r="K176" s="175"/>
      <c r="L176" s="175"/>
      <c r="M176" s="176"/>
    </row>
    <row r="177" spans="1:13">
      <c r="A177" s="165"/>
      <c r="B177" s="175"/>
      <c r="C177" s="174"/>
      <c r="D177" s="175"/>
      <c r="E177" s="175"/>
      <c r="F177" s="175"/>
      <c r="G177" s="175"/>
      <c r="H177" s="175"/>
      <c r="I177" s="175"/>
      <c r="J177" s="175"/>
      <c r="K177" s="175"/>
      <c r="L177" s="175"/>
      <c r="M177" s="176"/>
    </row>
    <row r="178" spans="1:13">
      <c r="A178" s="165"/>
      <c r="B178" s="175"/>
      <c r="C178" s="174"/>
      <c r="D178" s="175"/>
      <c r="E178" s="175"/>
      <c r="F178" s="175"/>
      <c r="G178" s="175"/>
      <c r="H178" s="175"/>
      <c r="I178" s="175"/>
      <c r="J178" s="175"/>
      <c r="K178" s="175"/>
      <c r="L178" s="175"/>
      <c r="M178" s="176"/>
    </row>
    <row r="179" spans="1:13">
      <c r="A179" s="165"/>
      <c r="B179" s="175"/>
      <c r="C179" s="174"/>
      <c r="D179" s="175"/>
      <c r="E179" s="175"/>
      <c r="F179" s="175"/>
      <c r="G179" s="175"/>
      <c r="H179" s="175"/>
      <c r="I179" s="175"/>
      <c r="J179" s="175"/>
      <c r="K179" s="175"/>
      <c r="L179" s="175"/>
      <c r="M179" s="176"/>
    </row>
    <row r="180" spans="1:13">
      <c r="A180" s="165"/>
      <c r="B180" s="175"/>
      <c r="C180" s="174"/>
      <c r="D180" s="175"/>
      <c r="E180" s="175"/>
      <c r="F180" s="175"/>
      <c r="G180" s="175"/>
      <c r="H180" s="175"/>
      <c r="I180" s="175"/>
      <c r="J180" s="175"/>
      <c r="K180" s="175"/>
      <c r="L180" s="175"/>
      <c r="M180" s="176"/>
    </row>
    <row r="181" spans="1:13">
      <c r="A181" s="165"/>
      <c r="B181" s="175"/>
      <c r="C181" s="174"/>
      <c r="D181" s="175"/>
      <c r="E181" s="175"/>
      <c r="F181" s="175"/>
      <c r="G181" s="175"/>
      <c r="H181" s="175"/>
      <c r="I181" s="175"/>
      <c r="J181" s="175"/>
      <c r="K181" s="175"/>
      <c r="L181" s="175"/>
      <c r="M181" s="176"/>
    </row>
    <row r="182" spans="1:13">
      <c r="A182" s="165"/>
      <c r="B182" s="175"/>
      <c r="C182" s="174"/>
      <c r="D182" s="175"/>
      <c r="E182" s="175"/>
      <c r="F182" s="175"/>
      <c r="G182" s="175"/>
      <c r="H182" s="175"/>
      <c r="I182" s="175"/>
      <c r="J182" s="175"/>
      <c r="K182" s="175"/>
      <c r="L182" s="175"/>
      <c r="M182" s="176"/>
    </row>
    <row r="183" spans="1:13">
      <c r="A183" s="165"/>
      <c r="B183" s="175"/>
      <c r="C183" s="174"/>
      <c r="D183" s="175"/>
      <c r="E183" s="175"/>
      <c r="F183" s="175"/>
      <c r="G183" s="175"/>
      <c r="H183" s="175"/>
      <c r="I183" s="175"/>
      <c r="J183" s="175"/>
      <c r="K183" s="175"/>
      <c r="L183" s="175"/>
      <c r="M183" s="176"/>
    </row>
    <row r="184" spans="1:13">
      <c r="A184" s="165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7"/>
    </row>
    <row r="185" spans="1:13">
      <c r="A185" s="165"/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7"/>
    </row>
    <row r="186" spans="1:13">
      <c r="A186" s="165"/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7"/>
    </row>
    <row r="187" spans="1:13">
      <c r="A187" s="165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7"/>
    </row>
    <row r="188" spans="1:13">
      <c r="A188" s="165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7"/>
    </row>
    <row r="189" spans="1:13">
      <c r="A189" s="165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7"/>
    </row>
    <row r="190" spans="1:13">
      <c r="A190" s="165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7"/>
    </row>
    <row r="191" spans="1:13">
      <c r="A191" s="165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7"/>
    </row>
    <row r="192" spans="1:13">
      <c r="A192" s="165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7"/>
    </row>
    <row r="193" spans="1:13">
      <c r="A193" s="165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7"/>
    </row>
    <row r="194" spans="1:13">
      <c r="A194" s="165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7"/>
    </row>
    <row r="195" spans="1:13">
      <c r="A195" s="165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7"/>
    </row>
    <row r="196" spans="1:13">
      <c r="A196" s="165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7"/>
    </row>
  </sheetData>
  <autoFilter ref="A1:M196"/>
  <mergeCells count="10">
    <mergeCell ref="A2:M2"/>
    <mergeCell ref="A5:A6"/>
    <mergeCell ref="B5:B6"/>
    <mergeCell ref="C5:C6"/>
    <mergeCell ref="D5:D6"/>
    <mergeCell ref="M5:M6"/>
    <mergeCell ref="E5:F5"/>
    <mergeCell ref="G5:H5"/>
    <mergeCell ref="I5:J5"/>
    <mergeCell ref="K5:L5"/>
  </mergeCells>
  <conditionalFormatting sqref="L81:L91 L117:L123">
    <cfRule type="cellIs" dxfId="2" priority="14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5"/>
  <sheetViews>
    <sheetView view="pageBreakPreview" topLeftCell="A115" zoomScaleNormal="60" zoomScaleSheetLayoutView="100" workbookViewId="0">
      <selection activeCell="A133" sqref="A133:XFD133"/>
    </sheetView>
  </sheetViews>
  <sheetFormatPr defaultRowHeight="12.75"/>
  <cols>
    <col min="1" max="1" width="7.5703125" style="179" customWidth="1"/>
    <col min="2" max="2" width="15" style="173" customWidth="1"/>
    <col min="3" max="3" width="61.5703125" style="173" customWidth="1"/>
    <col min="4" max="12" width="9.85546875" style="173" customWidth="1"/>
    <col min="13" max="13" width="11.7109375" style="178" customWidth="1"/>
    <col min="14" max="16" width="20.7109375" style="165" customWidth="1"/>
    <col min="17" max="16384" width="9.140625" style="165"/>
  </cols>
  <sheetData>
    <row r="1" spans="1:14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67"/>
    </row>
    <row r="2" spans="1:14" s="190" customFormat="1">
      <c r="A2" s="297" t="s">
        <v>309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s="190" customFormat="1">
      <c r="A3" s="9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190" customFormat="1">
      <c r="A4" s="9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s="166" customFormat="1" ht="27" customHeight="1">
      <c r="A5" s="296" t="s">
        <v>336</v>
      </c>
      <c r="B5" s="295" t="s">
        <v>337</v>
      </c>
      <c r="C5" s="295" t="s">
        <v>338</v>
      </c>
      <c r="D5" s="295" t="s">
        <v>339</v>
      </c>
      <c r="E5" s="296" t="s">
        <v>340</v>
      </c>
      <c r="F5" s="296"/>
      <c r="G5" s="295" t="s">
        <v>341</v>
      </c>
      <c r="H5" s="295"/>
      <c r="I5" s="295" t="s">
        <v>6</v>
      </c>
      <c r="J5" s="295"/>
      <c r="K5" s="296" t="s">
        <v>342</v>
      </c>
      <c r="L5" s="296"/>
      <c r="M5" s="296" t="s">
        <v>4</v>
      </c>
    </row>
    <row r="6" spans="1:14" s="166" customFormat="1">
      <c r="A6" s="296"/>
      <c r="B6" s="295"/>
      <c r="C6" s="295"/>
      <c r="D6" s="295"/>
      <c r="E6" s="94" t="s">
        <v>343</v>
      </c>
      <c r="F6" s="94" t="s">
        <v>243</v>
      </c>
      <c r="G6" s="94" t="s">
        <v>343</v>
      </c>
      <c r="H6" s="94" t="s">
        <v>243</v>
      </c>
      <c r="I6" s="94" t="s">
        <v>343</v>
      </c>
      <c r="J6" s="94" t="s">
        <v>243</v>
      </c>
      <c r="K6" s="94" t="s">
        <v>343</v>
      </c>
      <c r="L6" s="94" t="s">
        <v>243</v>
      </c>
      <c r="M6" s="296"/>
    </row>
    <row r="7" spans="1:14" s="166" customFormat="1">
      <c r="A7" s="94">
        <v>1</v>
      </c>
      <c r="B7" s="94">
        <v>2</v>
      </c>
      <c r="C7" s="95">
        <v>3</v>
      </c>
      <c r="D7" s="94">
        <v>4</v>
      </c>
      <c r="E7" s="94">
        <v>5</v>
      </c>
      <c r="F7" s="94">
        <v>6</v>
      </c>
      <c r="G7" s="94">
        <v>7</v>
      </c>
      <c r="H7" s="77">
        <v>8</v>
      </c>
      <c r="I7" s="94">
        <v>9</v>
      </c>
      <c r="J7" s="77">
        <v>10</v>
      </c>
      <c r="K7" s="94">
        <v>11</v>
      </c>
      <c r="L7" s="77">
        <v>12</v>
      </c>
      <c r="M7" s="77">
        <v>13</v>
      </c>
    </row>
    <row r="8" spans="1:14" s="166" customFormat="1">
      <c r="A8" s="92"/>
      <c r="B8" s="92"/>
      <c r="C8" s="92"/>
      <c r="D8" s="92"/>
      <c r="E8" s="47"/>
      <c r="F8" s="47"/>
      <c r="G8" s="47"/>
      <c r="H8" s="47"/>
      <c r="I8" s="47"/>
      <c r="J8" s="47"/>
      <c r="K8" s="47"/>
      <c r="L8" s="47"/>
      <c r="M8" s="47"/>
    </row>
    <row r="9" spans="1:14" s="166" customFormat="1">
      <c r="A9" s="92"/>
      <c r="B9" s="143"/>
      <c r="C9" s="93" t="s">
        <v>318</v>
      </c>
      <c r="D9" s="143"/>
      <c r="E9" s="149"/>
      <c r="F9" s="149"/>
      <c r="G9" s="149"/>
      <c r="H9" s="149"/>
      <c r="I9" s="149"/>
      <c r="J9" s="149"/>
      <c r="K9" s="149"/>
      <c r="L9" s="149"/>
      <c r="M9" s="149"/>
    </row>
    <row r="10" spans="1:14" s="166" customFormat="1">
      <c r="A10" s="92"/>
      <c r="B10" s="143"/>
      <c r="C10" s="93"/>
      <c r="D10" s="143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4" ht="25.5">
      <c r="A11" s="143">
        <v>1.1000000000000001</v>
      </c>
      <c r="B11" s="140" t="s">
        <v>241</v>
      </c>
      <c r="C11" s="184" t="s">
        <v>246</v>
      </c>
      <c r="D11" s="143" t="s">
        <v>349</v>
      </c>
      <c r="E11" s="149"/>
      <c r="F11" s="149">
        <v>2387</v>
      </c>
      <c r="G11" s="149"/>
      <c r="H11" s="149"/>
      <c r="I11" s="149"/>
      <c r="J11" s="149"/>
      <c r="K11" s="149"/>
      <c r="L11" s="149"/>
      <c r="M11" s="149"/>
      <c r="N11" s="168"/>
    </row>
    <row r="12" spans="1:14">
      <c r="A12" s="143"/>
      <c r="B12" s="109"/>
      <c r="C12" s="102"/>
      <c r="D12" s="99" t="s">
        <v>350</v>
      </c>
      <c r="E12" s="120"/>
      <c r="F12" s="125">
        <f>F11/1000</f>
        <v>2.387</v>
      </c>
      <c r="G12" s="120"/>
      <c r="H12" s="120"/>
      <c r="I12" s="120"/>
      <c r="J12" s="120"/>
      <c r="K12" s="120"/>
      <c r="L12" s="120"/>
      <c r="M12" s="120"/>
      <c r="N12" s="168"/>
    </row>
    <row r="13" spans="1:14">
      <c r="A13" s="143" t="s">
        <v>0</v>
      </c>
      <c r="B13" s="109"/>
      <c r="C13" s="102" t="s">
        <v>15</v>
      </c>
      <c r="D13" s="99" t="s">
        <v>1</v>
      </c>
      <c r="E13" s="120">
        <v>27</v>
      </c>
      <c r="F13" s="120">
        <f>E13*F12</f>
        <v>64.448999999999998</v>
      </c>
      <c r="G13" s="120"/>
      <c r="H13" s="120"/>
      <c r="I13" s="120"/>
      <c r="J13" s="120"/>
      <c r="K13" s="120"/>
      <c r="L13" s="120"/>
      <c r="M13" s="120"/>
    </row>
    <row r="14" spans="1:14">
      <c r="A14" s="143" t="s">
        <v>185</v>
      </c>
      <c r="B14" s="81" t="s">
        <v>357</v>
      </c>
      <c r="C14" s="79" t="s">
        <v>356</v>
      </c>
      <c r="D14" s="99" t="s">
        <v>24</v>
      </c>
      <c r="E14" s="120">
        <v>60.5</v>
      </c>
      <c r="F14" s="120">
        <f>E14*F12</f>
        <v>144.4135</v>
      </c>
      <c r="G14" s="120"/>
      <c r="H14" s="120"/>
      <c r="I14" s="120"/>
      <c r="J14" s="120"/>
      <c r="K14" s="120"/>
      <c r="L14" s="120"/>
      <c r="M14" s="120"/>
    </row>
    <row r="15" spans="1:14">
      <c r="A15" s="143" t="s">
        <v>186</v>
      </c>
      <c r="B15" s="109"/>
      <c r="C15" s="102" t="s">
        <v>13</v>
      </c>
      <c r="D15" s="99" t="s">
        <v>25</v>
      </c>
      <c r="E15" s="120">
        <v>2.21</v>
      </c>
      <c r="F15" s="120">
        <f>E15*F12</f>
        <v>5.2752699999999999</v>
      </c>
      <c r="G15" s="120"/>
      <c r="H15" s="120"/>
      <c r="I15" s="120"/>
      <c r="J15" s="120"/>
      <c r="K15" s="120"/>
      <c r="L15" s="120"/>
      <c r="M15" s="120"/>
    </row>
    <row r="16" spans="1:14">
      <c r="A16" s="143" t="s">
        <v>187</v>
      </c>
      <c r="B16" s="81" t="s">
        <v>353</v>
      </c>
      <c r="C16" s="82" t="s">
        <v>352</v>
      </c>
      <c r="D16" s="99" t="s">
        <v>349</v>
      </c>
      <c r="E16" s="120">
        <v>0.06</v>
      </c>
      <c r="F16" s="120">
        <f>E16*F12</f>
        <v>0.14321999999999999</v>
      </c>
      <c r="G16" s="126"/>
      <c r="H16" s="120"/>
      <c r="I16" s="120"/>
      <c r="J16" s="120"/>
      <c r="K16" s="268"/>
      <c r="L16" s="268"/>
      <c r="M16" s="120"/>
    </row>
    <row r="17" spans="1:14">
      <c r="A17" s="143"/>
      <c r="B17" s="140"/>
      <c r="C17" s="153"/>
      <c r="D17" s="143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4">
      <c r="A18" s="143">
        <v>1.2</v>
      </c>
      <c r="B18" s="116" t="s">
        <v>368</v>
      </c>
      <c r="C18" s="145" t="s">
        <v>424</v>
      </c>
      <c r="D18" s="99" t="s">
        <v>349</v>
      </c>
      <c r="E18" s="120"/>
      <c r="F18" s="120">
        <v>24</v>
      </c>
      <c r="G18" s="120"/>
      <c r="H18" s="120"/>
      <c r="I18" s="120"/>
      <c r="J18" s="120"/>
      <c r="K18" s="120"/>
      <c r="L18" s="120"/>
      <c r="M18" s="120"/>
      <c r="N18" s="168"/>
    </row>
    <row r="19" spans="1:14">
      <c r="A19" s="143"/>
      <c r="B19" s="109" t="s">
        <v>369</v>
      </c>
      <c r="C19" s="101"/>
      <c r="D19" s="99" t="s">
        <v>362</v>
      </c>
      <c r="E19" s="120"/>
      <c r="F19" s="120">
        <v>0.16</v>
      </c>
      <c r="G19" s="120"/>
      <c r="H19" s="120"/>
      <c r="I19" s="120"/>
      <c r="J19" s="120"/>
      <c r="K19" s="120"/>
      <c r="L19" s="120"/>
      <c r="M19" s="120"/>
      <c r="N19" s="168"/>
    </row>
    <row r="20" spans="1:14">
      <c r="A20" s="143" t="s">
        <v>21</v>
      </c>
      <c r="B20" s="116"/>
      <c r="C20" s="102" t="s">
        <v>15</v>
      </c>
      <c r="D20" s="99" t="s">
        <v>1</v>
      </c>
      <c r="E20" s="126">
        <f>1.2*299</f>
        <v>358.8</v>
      </c>
      <c r="F20" s="120">
        <f>E20*F19</f>
        <v>57.408000000000001</v>
      </c>
      <c r="G20" s="120"/>
      <c r="H20" s="120"/>
      <c r="I20" s="120"/>
      <c r="J20" s="120"/>
      <c r="K20" s="120"/>
      <c r="L20" s="120"/>
      <c r="M20" s="120"/>
    </row>
    <row r="21" spans="1:14">
      <c r="A21" s="143"/>
      <c r="B21" s="183"/>
      <c r="C21" s="153"/>
      <c r="D21" s="143"/>
      <c r="E21" s="149"/>
      <c r="F21" s="149"/>
      <c r="G21" s="149"/>
      <c r="H21" s="149"/>
      <c r="I21" s="149"/>
      <c r="J21" s="149"/>
      <c r="K21" s="149"/>
      <c r="L21" s="149"/>
      <c r="M21" s="149"/>
    </row>
    <row r="22" spans="1:14">
      <c r="A22" s="143">
        <v>1.3</v>
      </c>
      <c r="B22" s="123" t="s">
        <v>366</v>
      </c>
      <c r="C22" s="102" t="s">
        <v>93</v>
      </c>
      <c r="D22" s="99" t="s">
        <v>23</v>
      </c>
      <c r="E22" s="120">
        <v>1.95</v>
      </c>
      <c r="F22" s="120">
        <f>E22*F18</f>
        <v>46.8</v>
      </c>
      <c r="G22" s="120"/>
      <c r="H22" s="120"/>
      <c r="I22" s="120"/>
      <c r="J22" s="120"/>
      <c r="K22" s="120"/>
      <c r="L22" s="120"/>
      <c r="M22" s="120"/>
      <c r="N22" s="168"/>
    </row>
    <row r="23" spans="1:14">
      <c r="A23" s="143" t="s">
        <v>30</v>
      </c>
      <c r="B23" s="124" t="s">
        <v>367</v>
      </c>
      <c r="C23" s="102" t="s">
        <v>15</v>
      </c>
      <c r="D23" s="99" t="s">
        <v>1</v>
      </c>
      <c r="E23" s="120">
        <v>0.53</v>
      </c>
      <c r="F23" s="120">
        <f>E23*F22</f>
        <v>24.803999999999998</v>
      </c>
      <c r="G23" s="120"/>
      <c r="H23" s="120"/>
      <c r="I23" s="120"/>
      <c r="J23" s="120"/>
      <c r="K23" s="120"/>
      <c r="L23" s="120"/>
      <c r="M23" s="120"/>
      <c r="N23" s="168"/>
    </row>
    <row r="24" spans="1:14">
      <c r="A24" s="143"/>
      <c r="B24" s="140"/>
      <c r="C24" s="153"/>
      <c r="D24" s="143"/>
      <c r="E24" s="149"/>
      <c r="F24" s="149"/>
      <c r="G24" s="149"/>
      <c r="H24" s="149"/>
      <c r="I24" s="149"/>
      <c r="J24" s="149"/>
      <c r="K24" s="149"/>
      <c r="L24" s="149"/>
      <c r="M24" s="149"/>
      <c r="N24" s="168"/>
    </row>
    <row r="25" spans="1:14">
      <c r="A25" s="143">
        <v>1.4</v>
      </c>
      <c r="B25" s="127" t="s">
        <v>348</v>
      </c>
      <c r="C25" s="102" t="s">
        <v>31</v>
      </c>
      <c r="D25" s="99" t="s">
        <v>23</v>
      </c>
      <c r="E25" s="120">
        <v>1.95</v>
      </c>
      <c r="F25" s="126">
        <f>E25*(F11+F18)</f>
        <v>4701.45</v>
      </c>
      <c r="G25" s="120"/>
      <c r="H25" s="120"/>
      <c r="I25" s="120"/>
      <c r="J25" s="120"/>
      <c r="K25" s="126"/>
      <c r="L25" s="120"/>
      <c r="M25" s="120"/>
    </row>
    <row r="26" spans="1:14">
      <c r="A26" s="143"/>
      <c r="B26" s="140"/>
      <c r="C26" s="153"/>
      <c r="D26" s="143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4">
      <c r="A27" s="143">
        <v>1.5</v>
      </c>
      <c r="B27" s="127" t="s">
        <v>81</v>
      </c>
      <c r="C27" s="102" t="s">
        <v>370</v>
      </c>
      <c r="D27" s="99" t="s">
        <v>349</v>
      </c>
      <c r="E27" s="120"/>
      <c r="F27" s="120">
        <f>F11+F18</f>
        <v>2411</v>
      </c>
      <c r="G27" s="120"/>
      <c r="H27" s="120"/>
      <c r="I27" s="120"/>
      <c r="J27" s="120"/>
      <c r="K27" s="120"/>
      <c r="L27" s="120"/>
      <c r="M27" s="120"/>
      <c r="N27" s="168"/>
    </row>
    <row r="28" spans="1:14">
      <c r="A28" s="143"/>
      <c r="B28" s="57"/>
      <c r="C28" s="89"/>
      <c r="D28" s="40" t="s">
        <v>350</v>
      </c>
      <c r="E28" s="46"/>
      <c r="F28" s="80">
        <f>F27/1000</f>
        <v>2.411</v>
      </c>
      <c r="G28" s="46"/>
      <c r="H28" s="46"/>
      <c r="I28" s="46"/>
      <c r="J28" s="46"/>
      <c r="K28" s="46"/>
      <c r="L28" s="46"/>
      <c r="M28" s="46"/>
      <c r="N28" s="168"/>
    </row>
    <row r="29" spans="1:14">
      <c r="A29" s="143" t="s">
        <v>188</v>
      </c>
      <c r="B29" s="57"/>
      <c r="C29" s="89" t="s">
        <v>15</v>
      </c>
      <c r="D29" s="40" t="s">
        <v>1</v>
      </c>
      <c r="E29" s="46">
        <v>3.23</v>
      </c>
      <c r="F29" s="46">
        <f>E29*F28</f>
        <v>7.7875300000000003</v>
      </c>
      <c r="G29" s="46"/>
      <c r="H29" s="46"/>
      <c r="I29" s="46"/>
      <c r="J29" s="46"/>
      <c r="K29" s="46"/>
      <c r="L29" s="46"/>
      <c r="M29" s="46"/>
    </row>
    <row r="30" spans="1:14">
      <c r="A30" s="143" t="s">
        <v>189</v>
      </c>
      <c r="B30" s="81" t="s">
        <v>358</v>
      </c>
      <c r="C30" s="89" t="s">
        <v>82</v>
      </c>
      <c r="D30" s="40" t="s">
        <v>24</v>
      </c>
      <c r="E30" s="46">
        <v>3.62</v>
      </c>
      <c r="F30" s="46">
        <f>E30*F28</f>
        <v>8.7278200000000012</v>
      </c>
      <c r="G30" s="46"/>
      <c r="H30" s="46"/>
      <c r="I30" s="46"/>
      <c r="J30" s="46"/>
      <c r="K30" s="84"/>
      <c r="L30" s="46"/>
      <c r="M30" s="46"/>
    </row>
    <row r="31" spans="1:14">
      <c r="A31" s="143" t="s">
        <v>190</v>
      </c>
      <c r="B31" s="57"/>
      <c r="C31" s="89" t="s">
        <v>13</v>
      </c>
      <c r="D31" s="40" t="s">
        <v>25</v>
      </c>
      <c r="E31" s="46">
        <v>0.18</v>
      </c>
      <c r="F31" s="46">
        <f>E31*F28</f>
        <v>0.43397999999999998</v>
      </c>
      <c r="G31" s="46"/>
      <c r="H31" s="46"/>
      <c r="I31" s="46"/>
      <c r="J31" s="46"/>
      <c r="K31" s="46"/>
      <c r="L31" s="46"/>
      <c r="M31" s="46"/>
    </row>
    <row r="32" spans="1:14">
      <c r="A32" s="143" t="s">
        <v>191</v>
      </c>
      <c r="B32" s="81" t="s">
        <v>353</v>
      </c>
      <c r="C32" s="82" t="s">
        <v>352</v>
      </c>
      <c r="D32" s="40" t="s">
        <v>349</v>
      </c>
      <c r="E32" s="46">
        <v>0.04</v>
      </c>
      <c r="F32" s="46">
        <f>E32*F28</f>
        <v>9.6439999999999998E-2</v>
      </c>
      <c r="G32" s="84"/>
      <c r="H32" s="46"/>
      <c r="I32" s="46"/>
      <c r="J32" s="46"/>
      <c r="K32" s="46"/>
      <c r="L32" s="46"/>
      <c r="M32" s="46"/>
    </row>
    <row r="33" spans="1:14">
      <c r="A33" s="143"/>
      <c r="B33" s="140"/>
      <c r="C33" s="153"/>
      <c r="D33" s="143"/>
      <c r="E33" s="149"/>
      <c r="F33" s="149"/>
      <c r="G33" s="149"/>
      <c r="H33" s="149"/>
      <c r="I33" s="149"/>
      <c r="J33" s="149"/>
      <c r="K33" s="149"/>
      <c r="L33" s="149"/>
      <c r="M33" s="149"/>
    </row>
    <row r="34" spans="1:14">
      <c r="A34" s="143">
        <v>1.6</v>
      </c>
      <c r="B34" s="140" t="s">
        <v>249</v>
      </c>
      <c r="C34" s="162" t="s">
        <v>275</v>
      </c>
      <c r="D34" s="143" t="s">
        <v>359</v>
      </c>
      <c r="E34" s="149"/>
      <c r="F34" s="149">
        <v>338.8</v>
      </c>
      <c r="G34" s="149"/>
      <c r="H34" s="149"/>
      <c r="I34" s="149"/>
      <c r="J34" s="149"/>
      <c r="K34" s="149"/>
      <c r="L34" s="149"/>
      <c r="M34" s="149"/>
      <c r="N34" s="168"/>
    </row>
    <row r="35" spans="1:14">
      <c r="A35" s="143"/>
      <c r="B35" s="140"/>
      <c r="C35" s="162"/>
      <c r="D35" s="143" t="s">
        <v>365</v>
      </c>
      <c r="E35" s="149"/>
      <c r="F35" s="188">
        <f>F34/1000</f>
        <v>0.33879999999999999</v>
      </c>
      <c r="G35" s="149"/>
      <c r="H35" s="149"/>
      <c r="I35" s="149"/>
      <c r="J35" s="149"/>
      <c r="K35" s="149"/>
      <c r="L35" s="149"/>
      <c r="M35" s="149"/>
      <c r="N35" s="168"/>
    </row>
    <row r="36" spans="1:14">
      <c r="A36" s="143" t="s">
        <v>57</v>
      </c>
      <c r="B36" s="140"/>
      <c r="C36" s="162" t="s">
        <v>15</v>
      </c>
      <c r="D36" s="143" t="s">
        <v>1</v>
      </c>
      <c r="E36" s="149">
        <v>91</v>
      </c>
      <c r="F36" s="149">
        <f>E36*F35</f>
        <v>30.8308</v>
      </c>
      <c r="G36" s="149"/>
      <c r="H36" s="149"/>
      <c r="I36" s="149"/>
      <c r="J36" s="149"/>
      <c r="K36" s="149"/>
      <c r="L36" s="149"/>
      <c r="M36" s="149"/>
    </row>
    <row r="37" spans="1:14">
      <c r="A37" s="143"/>
      <c r="B37" s="140"/>
      <c r="C37" s="153"/>
      <c r="D37" s="143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1:14">
      <c r="A38" s="143">
        <v>1.7</v>
      </c>
      <c r="B38" s="127" t="s">
        <v>371</v>
      </c>
      <c r="C38" s="162" t="s">
        <v>236</v>
      </c>
      <c r="D38" s="143" t="s">
        <v>349</v>
      </c>
      <c r="E38" s="149"/>
      <c r="F38" s="149">
        <v>154</v>
      </c>
      <c r="G38" s="149"/>
      <c r="H38" s="149"/>
      <c r="I38" s="149"/>
      <c r="J38" s="149"/>
      <c r="K38" s="149"/>
      <c r="L38" s="149"/>
      <c r="M38" s="149"/>
      <c r="N38" s="168"/>
    </row>
    <row r="39" spans="1:14">
      <c r="A39" s="143"/>
      <c r="B39" s="129"/>
      <c r="C39" s="130"/>
      <c r="D39" s="99" t="s">
        <v>372</v>
      </c>
      <c r="E39" s="120"/>
      <c r="F39" s="120">
        <f>F38</f>
        <v>154</v>
      </c>
      <c r="G39" s="120"/>
      <c r="H39" s="120"/>
      <c r="I39" s="120"/>
      <c r="J39" s="120"/>
      <c r="K39" s="120"/>
      <c r="L39" s="120"/>
      <c r="M39" s="120"/>
      <c r="N39" s="168"/>
    </row>
    <row r="40" spans="1:14">
      <c r="A40" s="143" t="s">
        <v>59</v>
      </c>
      <c r="B40" s="109"/>
      <c r="C40" s="102" t="s">
        <v>15</v>
      </c>
      <c r="D40" s="99" t="s">
        <v>1</v>
      </c>
      <c r="E40" s="126">
        <v>0.89</v>
      </c>
      <c r="F40" s="120">
        <f>E40*F39</f>
        <v>137.06</v>
      </c>
      <c r="G40" s="120"/>
      <c r="H40" s="120"/>
      <c r="I40" s="126"/>
      <c r="J40" s="120"/>
      <c r="K40" s="120"/>
      <c r="L40" s="120"/>
      <c r="M40" s="120"/>
    </row>
    <row r="41" spans="1:14">
      <c r="A41" s="143" t="s">
        <v>60</v>
      </c>
      <c r="B41" s="127" t="s">
        <v>373</v>
      </c>
      <c r="C41" s="102" t="s">
        <v>94</v>
      </c>
      <c r="D41" s="99" t="s">
        <v>349</v>
      </c>
      <c r="E41" s="126">
        <v>1.1499999999999999</v>
      </c>
      <c r="F41" s="120">
        <f>E41*F39</f>
        <v>177.1</v>
      </c>
      <c r="G41" s="120"/>
      <c r="H41" s="120"/>
      <c r="I41" s="120"/>
      <c r="J41" s="120"/>
      <c r="K41" s="120"/>
      <c r="L41" s="120"/>
      <c r="M41" s="120"/>
    </row>
    <row r="42" spans="1:14">
      <c r="A42" s="143"/>
      <c r="B42" s="81"/>
      <c r="C42" s="131" t="s">
        <v>13</v>
      </c>
      <c r="D42" s="83" t="s">
        <v>25</v>
      </c>
      <c r="E42" s="84">
        <v>0.37</v>
      </c>
      <c r="F42" s="84">
        <f>E42*F39</f>
        <v>56.98</v>
      </c>
      <c r="G42" s="84"/>
      <c r="H42" s="84"/>
      <c r="I42" s="84"/>
      <c r="J42" s="84"/>
      <c r="K42" s="84"/>
      <c r="L42" s="84"/>
      <c r="M42" s="84"/>
    </row>
    <row r="43" spans="1:14">
      <c r="A43" s="143"/>
      <c r="B43" s="132"/>
      <c r="C43" s="133" t="s">
        <v>14</v>
      </c>
      <c r="D43" s="118" t="s">
        <v>25</v>
      </c>
      <c r="E43" s="126">
        <v>0.02</v>
      </c>
      <c r="F43" s="126">
        <f>E43*F39</f>
        <v>3.08</v>
      </c>
      <c r="G43" s="126"/>
      <c r="H43" s="126"/>
      <c r="I43" s="126"/>
      <c r="J43" s="126"/>
      <c r="K43" s="126"/>
      <c r="L43" s="126"/>
      <c r="M43" s="126"/>
    </row>
    <row r="44" spans="1:14">
      <c r="A44" s="143"/>
      <c r="B44" s="140"/>
      <c r="C44" s="153"/>
      <c r="D44" s="143"/>
      <c r="E44" s="149"/>
      <c r="F44" s="149"/>
      <c r="G44" s="149"/>
      <c r="H44" s="149"/>
      <c r="I44" s="149"/>
      <c r="J44" s="149"/>
      <c r="K44" s="149"/>
      <c r="L44" s="149"/>
      <c r="M44" s="149"/>
    </row>
    <row r="45" spans="1:14">
      <c r="A45" s="143">
        <v>1.8</v>
      </c>
      <c r="B45" s="183" t="s">
        <v>374</v>
      </c>
      <c r="C45" s="162" t="s">
        <v>237</v>
      </c>
      <c r="D45" s="143" t="s">
        <v>349</v>
      </c>
      <c r="E45" s="149"/>
      <c r="F45" s="149">
        <v>30.8</v>
      </c>
      <c r="G45" s="149"/>
      <c r="H45" s="149"/>
      <c r="I45" s="149"/>
      <c r="J45" s="149"/>
      <c r="K45" s="149"/>
      <c r="L45" s="149"/>
      <c r="M45" s="149"/>
    </row>
    <row r="46" spans="1:14">
      <c r="A46" s="143"/>
      <c r="B46" s="116"/>
      <c r="C46" s="102"/>
      <c r="D46" s="99" t="s">
        <v>362</v>
      </c>
      <c r="E46" s="120"/>
      <c r="F46" s="125">
        <f>F45/100</f>
        <v>0.308</v>
      </c>
      <c r="G46" s="120"/>
      <c r="H46" s="120"/>
      <c r="I46" s="120"/>
      <c r="J46" s="120"/>
      <c r="K46" s="120"/>
      <c r="L46" s="120"/>
      <c r="M46" s="120"/>
    </row>
    <row r="47" spans="1:14">
      <c r="A47" s="143" t="s">
        <v>61</v>
      </c>
      <c r="B47" s="116"/>
      <c r="C47" s="102" t="s">
        <v>15</v>
      </c>
      <c r="D47" s="99" t="s">
        <v>1</v>
      </c>
      <c r="E47" s="120">
        <v>137</v>
      </c>
      <c r="F47" s="120">
        <f>E47*F46</f>
        <v>42.195999999999998</v>
      </c>
      <c r="G47" s="120"/>
      <c r="H47" s="120"/>
      <c r="I47" s="120"/>
      <c r="J47" s="120"/>
      <c r="K47" s="120"/>
      <c r="L47" s="120"/>
      <c r="M47" s="120"/>
    </row>
    <row r="48" spans="1:14">
      <c r="A48" s="143" t="s">
        <v>62</v>
      </c>
      <c r="B48" s="116"/>
      <c r="C48" s="102" t="s">
        <v>13</v>
      </c>
      <c r="D48" s="99" t="s">
        <v>25</v>
      </c>
      <c r="E48" s="120">
        <v>28.3</v>
      </c>
      <c r="F48" s="120">
        <f>E48*F46</f>
        <v>8.7164000000000001</v>
      </c>
      <c r="G48" s="120"/>
      <c r="H48" s="120"/>
      <c r="I48" s="120"/>
      <c r="J48" s="120"/>
      <c r="K48" s="120"/>
      <c r="L48" s="120"/>
      <c r="M48" s="120"/>
    </row>
    <row r="49" spans="1:14">
      <c r="A49" s="143" t="s">
        <v>203</v>
      </c>
      <c r="B49" s="132" t="s">
        <v>375</v>
      </c>
      <c r="C49" s="102" t="s">
        <v>161</v>
      </c>
      <c r="D49" s="99" t="s">
        <v>349</v>
      </c>
      <c r="E49" s="126">
        <v>102</v>
      </c>
      <c r="F49" s="120">
        <f>E49*F46</f>
        <v>31.416</v>
      </c>
      <c r="G49" s="120"/>
      <c r="H49" s="120"/>
      <c r="I49" s="120"/>
      <c r="J49" s="120"/>
      <c r="K49" s="120"/>
      <c r="L49" s="120"/>
      <c r="M49" s="120"/>
    </row>
    <row r="50" spans="1:14">
      <c r="A50" s="143" t="s">
        <v>204</v>
      </c>
      <c r="B50" s="116"/>
      <c r="C50" s="102" t="s">
        <v>14</v>
      </c>
      <c r="D50" s="99" t="s">
        <v>25</v>
      </c>
      <c r="E50" s="120">
        <v>62</v>
      </c>
      <c r="F50" s="120">
        <f>E50*F46</f>
        <v>19.096</v>
      </c>
      <c r="G50" s="120"/>
      <c r="H50" s="120"/>
      <c r="I50" s="120"/>
      <c r="J50" s="120"/>
      <c r="K50" s="120"/>
      <c r="L50" s="120"/>
      <c r="M50" s="120"/>
    </row>
    <row r="51" spans="1:14">
      <c r="A51" s="143"/>
      <c r="B51" s="183"/>
      <c r="C51" s="153"/>
      <c r="D51" s="143"/>
      <c r="E51" s="149"/>
      <c r="F51" s="149"/>
      <c r="G51" s="149"/>
      <c r="H51" s="149"/>
      <c r="I51" s="149"/>
      <c r="J51" s="149"/>
      <c r="K51" s="149"/>
      <c r="L51" s="149"/>
      <c r="M51" s="149"/>
    </row>
    <row r="52" spans="1:14">
      <c r="A52" s="143">
        <v>1.9</v>
      </c>
      <c r="B52" s="183" t="s">
        <v>376</v>
      </c>
      <c r="C52" s="162" t="s">
        <v>277</v>
      </c>
      <c r="D52" s="143" t="s">
        <v>349</v>
      </c>
      <c r="E52" s="149"/>
      <c r="F52" s="152">
        <v>114.73</v>
      </c>
      <c r="G52" s="149"/>
      <c r="H52" s="149"/>
      <c r="I52" s="149"/>
      <c r="J52" s="149"/>
      <c r="K52" s="149"/>
      <c r="L52" s="149"/>
      <c r="M52" s="149"/>
      <c r="N52" s="168"/>
    </row>
    <row r="53" spans="1:14">
      <c r="A53" s="143"/>
      <c r="B53" s="116"/>
      <c r="C53" s="102"/>
      <c r="D53" s="99" t="s">
        <v>362</v>
      </c>
      <c r="E53" s="120"/>
      <c r="F53" s="125">
        <f>F52/100</f>
        <v>1.1473</v>
      </c>
      <c r="G53" s="120"/>
      <c r="H53" s="120"/>
      <c r="I53" s="120"/>
      <c r="J53" s="120"/>
      <c r="K53" s="120"/>
      <c r="L53" s="120"/>
      <c r="M53" s="120"/>
      <c r="N53" s="168"/>
    </row>
    <row r="54" spans="1:14">
      <c r="A54" s="143" t="s">
        <v>63</v>
      </c>
      <c r="B54" s="116"/>
      <c r="C54" s="102" t="s">
        <v>15</v>
      </c>
      <c r="D54" s="99" t="s">
        <v>1</v>
      </c>
      <c r="E54" s="120">
        <v>187</v>
      </c>
      <c r="F54" s="120">
        <f>E54*F53</f>
        <v>214.54509999999999</v>
      </c>
      <c r="G54" s="120"/>
      <c r="H54" s="120"/>
      <c r="I54" s="120"/>
      <c r="J54" s="120"/>
      <c r="K54" s="120"/>
      <c r="L54" s="120"/>
      <c r="M54" s="120"/>
    </row>
    <row r="55" spans="1:14">
      <c r="A55" s="143" t="s">
        <v>64</v>
      </c>
      <c r="B55" s="116"/>
      <c r="C55" s="102" t="s">
        <v>13</v>
      </c>
      <c r="D55" s="99" t="s">
        <v>25</v>
      </c>
      <c r="E55" s="120">
        <v>77</v>
      </c>
      <c r="F55" s="120">
        <f>E55*F53</f>
        <v>88.342100000000002</v>
      </c>
      <c r="G55" s="120"/>
      <c r="H55" s="120"/>
      <c r="I55" s="120"/>
      <c r="J55" s="120"/>
      <c r="K55" s="120"/>
      <c r="L55" s="120"/>
      <c r="M55" s="120"/>
    </row>
    <row r="56" spans="1:14">
      <c r="A56" s="143" t="s">
        <v>205</v>
      </c>
      <c r="B56" s="132" t="s">
        <v>380</v>
      </c>
      <c r="C56" s="102" t="s">
        <v>172</v>
      </c>
      <c r="D56" s="99" t="s">
        <v>349</v>
      </c>
      <c r="E56" s="120">
        <v>101.5</v>
      </c>
      <c r="F56" s="126">
        <f>E56*F53</f>
        <v>116.45094999999999</v>
      </c>
      <c r="G56" s="126"/>
      <c r="H56" s="120"/>
      <c r="I56" s="120"/>
      <c r="J56" s="120"/>
      <c r="K56" s="120"/>
      <c r="L56" s="120"/>
      <c r="M56" s="120"/>
    </row>
    <row r="57" spans="1:14">
      <c r="A57" s="143" t="s">
        <v>206</v>
      </c>
      <c r="B57" s="132" t="s">
        <v>379</v>
      </c>
      <c r="C57" s="102" t="s">
        <v>124</v>
      </c>
      <c r="D57" s="99" t="s">
        <v>23</v>
      </c>
      <c r="E57" s="120" t="s">
        <v>89</v>
      </c>
      <c r="F57" s="125">
        <v>11.359</v>
      </c>
      <c r="G57" s="126"/>
      <c r="H57" s="120"/>
      <c r="I57" s="120"/>
      <c r="J57" s="120"/>
      <c r="K57" s="104"/>
      <c r="L57" s="120"/>
      <c r="M57" s="120"/>
    </row>
    <row r="58" spans="1:14">
      <c r="A58" s="143" t="s">
        <v>207</v>
      </c>
      <c r="B58" s="132" t="s">
        <v>378</v>
      </c>
      <c r="C58" s="133" t="s">
        <v>377</v>
      </c>
      <c r="D58" s="99" t="s">
        <v>359</v>
      </c>
      <c r="E58" s="120">
        <v>7.54</v>
      </c>
      <c r="F58" s="120">
        <f>E58*F53</f>
        <v>8.6506419999999995</v>
      </c>
      <c r="G58" s="120"/>
      <c r="H58" s="120"/>
      <c r="I58" s="120"/>
      <c r="J58" s="120"/>
      <c r="K58" s="120"/>
      <c r="L58" s="120"/>
      <c r="M58" s="120"/>
    </row>
    <row r="59" spans="1:14">
      <c r="A59" s="143" t="s">
        <v>208</v>
      </c>
      <c r="B59" s="132" t="s">
        <v>382</v>
      </c>
      <c r="C59" s="102" t="s">
        <v>381</v>
      </c>
      <c r="D59" s="99" t="s">
        <v>349</v>
      </c>
      <c r="E59" s="120">
        <v>0.08</v>
      </c>
      <c r="F59" s="120">
        <f>E59*F53</f>
        <v>9.1784000000000004E-2</v>
      </c>
      <c r="G59" s="126"/>
      <c r="H59" s="120"/>
      <c r="I59" s="120"/>
      <c r="J59" s="120"/>
      <c r="K59" s="120"/>
      <c r="L59" s="120"/>
      <c r="M59" s="120"/>
    </row>
    <row r="60" spans="1:14">
      <c r="A60" s="143" t="s">
        <v>221</v>
      </c>
      <c r="B60" s="116"/>
      <c r="C60" s="102" t="s">
        <v>14</v>
      </c>
      <c r="D60" s="99" t="s">
        <v>25</v>
      </c>
      <c r="E60" s="120">
        <v>7</v>
      </c>
      <c r="F60" s="120">
        <f>E60*F53</f>
        <v>8.0311000000000003</v>
      </c>
      <c r="G60" s="120"/>
      <c r="H60" s="120"/>
      <c r="I60" s="120"/>
      <c r="J60" s="120"/>
      <c r="K60" s="120"/>
      <c r="L60" s="120"/>
      <c r="M60" s="120"/>
    </row>
    <row r="61" spans="1:14">
      <c r="A61" s="143"/>
      <c r="B61" s="183"/>
      <c r="C61" s="153"/>
      <c r="D61" s="143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1:14">
      <c r="A62" s="167">
        <v>1.1000000000000001</v>
      </c>
      <c r="B62" s="132" t="s">
        <v>386</v>
      </c>
      <c r="C62" s="102" t="s">
        <v>391</v>
      </c>
      <c r="D62" s="143" t="s">
        <v>349</v>
      </c>
      <c r="E62" s="149"/>
      <c r="F62" s="149">
        <v>134.75</v>
      </c>
      <c r="G62" s="149"/>
      <c r="H62" s="149"/>
      <c r="I62" s="149"/>
      <c r="J62" s="149"/>
      <c r="K62" s="149"/>
      <c r="L62" s="149"/>
      <c r="M62" s="149"/>
      <c r="N62" s="168"/>
    </row>
    <row r="63" spans="1:14">
      <c r="A63" s="143"/>
      <c r="B63" s="116"/>
      <c r="C63" s="102"/>
      <c r="D63" s="99" t="s">
        <v>362</v>
      </c>
      <c r="E63" s="120"/>
      <c r="F63" s="125">
        <f>F62/100</f>
        <v>1.3474999999999999</v>
      </c>
      <c r="G63" s="120"/>
      <c r="H63" s="120"/>
      <c r="I63" s="120"/>
      <c r="J63" s="120"/>
      <c r="K63" s="120"/>
      <c r="L63" s="120"/>
      <c r="M63" s="120"/>
    </row>
    <row r="64" spans="1:14">
      <c r="A64" s="143" t="s">
        <v>65</v>
      </c>
      <c r="B64" s="116"/>
      <c r="C64" s="102" t="s">
        <v>40</v>
      </c>
      <c r="D64" s="99" t="s">
        <v>1</v>
      </c>
      <c r="E64" s="126">
        <v>599</v>
      </c>
      <c r="F64" s="120">
        <f>E64*F63</f>
        <v>807.15249999999992</v>
      </c>
      <c r="G64" s="120"/>
      <c r="H64" s="120"/>
      <c r="I64" s="120"/>
      <c r="J64" s="120"/>
      <c r="K64" s="120"/>
      <c r="L64" s="120"/>
      <c r="M64" s="120"/>
    </row>
    <row r="65" spans="1:14">
      <c r="A65" s="143" t="s">
        <v>209</v>
      </c>
      <c r="B65" s="116"/>
      <c r="C65" s="133" t="s">
        <v>385</v>
      </c>
      <c r="D65" s="99" t="s">
        <v>25</v>
      </c>
      <c r="E65" s="126">
        <v>109</v>
      </c>
      <c r="F65" s="120">
        <f>E65*F63</f>
        <v>146.8775</v>
      </c>
      <c r="G65" s="120"/>
      <c r="H65" s="120"/>
      <c r="I65" s="120"/>
      <c r="J65" s="120"/>
      <c r="K65" s="120"/>
      <c r="L65" s="120"/>
      <c r="M65" s="120"/>
    </row>
    <row r="66" spans="1:14">
      <c r="A66" s="143" t="s">
        <v>210</v>
      </c>
      <c r="B66" s="132" t="s">
        <v>380</v>
      </c>
      <c r="C66" s="102" t="s">
        <v>172</v>
      </c>
      <c r="D66" s="99" t="s">
        <v>349</v>
      </c>
      <c r="E66" s="126">
        <v>101.5</v>
      </c>
      <c r="F66" s="120">
        <f>E66*F63</f>
        <v>136.77124999999998</v>
      </c>
      <c r="G66" s="126"/>
      <c r="H66" s="120"/>
      <c r="I66" s="120"/>
      <c r="J66" s="120"/>
      <c r="K66" s="120"/>
      <c r="L66" s="120"/>
      <c r="M66" s="120"/>
    </row>
    <row r="67" spans="1:14">
      <c r="A67" s="143" t="s">
        <v>250</v>
      </c>
      <c r="B67" s="132" t="s">
        <v>379</v>
      </c>
      <c r="C67" s="102" t="s">
        <v>124</v>
      </c>
      <c r="D67" s="99" t="s">
        <v>23</v>
      </c>
      <c r="E67" s="104" t="s">
        <v>89</v>
      </c>
      <c r="F67" s="125">
        <v>13.340999999999999</v>
      </c>
      <c r="G67" s="126"/>
      <c r="H67" s="120"/>
      <c r="I67" s="120"/>
      <c r="J67" s="120"/>
      <c r="K67" s="104"/>
      <c r="L67" s="120"/>
      <c r="M67" s="120"/>
    </row>
    <row r="68" spans="1:14">
      <c r="A68" s="143" t="s">
        <v>278</v>
      </c>
      <c r="B68" s="132" t="s">
        <v>378</v>
      </c>
      <c r="C68" s="133" t="s">
        <v>377</v>
      </c>
      <c r="D68" s="118" t="s">
        <v>359</v>
      </c>
      <c r="E68" s="126">
        <v>118</v>
      </c>
      <c r="F68" s="126">
        <f>E68*F63</f>
        <v>159.005</v>
      </c>
      <c r="G68" s="126"/>
      <c r="H68" s="126"/>
      <c r="I68" s="126"/>
      <c r="J68" s="126"/>
      <c r="K68" s="126"/>
      <c r="L68" s="126"/>
      <c r="M68" s="126"/>
    </row>
    <row r="69" spans="1:14">
      <c r="A69" s="143" t="s">
        <v>279</v>
      </c>
      <c r="B69" s="132" t="s">
        <v>382</v>
      </c>
      <c r="C69" s="102" t="s">
        <v>381</v>
      </c>
      <c r="D69" s="99" t="s">
        <v>349</v>
      </c>
      <c r="E69" s="126">
        <f>0.21+2.78</f>
        <v>2.9899999999999998</v>
      </c>
      <c r="F69" s="120">
        <f>E69*F63</f>
        <v>4.0290249999999999</v>
      </c>
      <c r="G69" s="126"/>
      <c r="H69" s="120"/>
      <c r="I69" s="120"/>
      <c r="J69" s="120"/>
      <c r="K69" s="120"/>
      <c r="L69" s="120"/>
      <c r="M69" s="120"/>
    </row>
    <row r="70" spans="1:14">
      <c r="A70" s="143" t="s">
        <v>413</v>
      </c>
      <c r="B70" s="132" t="s">
        <v>387</v>
      </c>
      <c r="C70" s="133" t="s">
        <v>389</v>
      </c>
      <c r="D70" s="118" t="s">
        <v>327</v>
      </c>
      <c r="E70" s="126">
        <v>110</v>
      </c>
      <c r="F70" s="126">
        <f>E70*F63</f>
        <v>148.22499999999999</v>
      </c>
      <c r="G70" s="126"/>
      <c r="H70" s="126"/>
      <c r="I70" s="126"/>
      <c r="J70" s="126"/>
      <c r="K70" s="126"/>
      <c r="L70" s="126"/>
      <c r="M70" s="126"/>
    </row>
    <row r="71" spans="1:14">
      <c r="A71" s="143" t="s">
        <v>414</v>
      </c>
      <c r="B71" s="132" t="s">
        <v>388</v>
      </c>
      <c r="C71" s="133" t="s">
        <v>390</v>
      </c>
      <c r="D71" s="118" t="s">
        <v>327</v>
      </c>
      <c r="E71" s="126">
        <v>140</v>
      </c>
      <c r="F71" s="126">
        <f>E71*F63</f>
        <v>188.64999999999998</v>
      </c>
      <c r="G71" s="126"/>
      <c r="H71" s="126"/>
      <c r="I71" s="126"/>
      <c r="J71" s="126"/>
      <c r="K71" s="126"/>
      <c r="L71" s="126"/>
      <c r="M71" s="126"/>
    </row>
    <row r="72" spans="1:14">
      <c r="A72" s="143" t="s">
        <v>415</v>
      </c>
      <c r="B72" s="116"/>
      <c r="C72" s="102" t="s">
        <v>99</v>
      </c>
      <c r="D72" s="99" t="s">
        <v>25</v>
      </c>
      <c r="E72" s="126">
        <v>32</v>
      </c>
      <c r="F72" s="120">
        <f>E72*F63</f>
        <v>43.12</v>
      </c>
      <c r="G72" s="120"/>
      <c r="H72" s="120"/>
      <c r="I72" s="120"/>
      <c r="J72" s="120"/>
      <c r="K72" s="120"/>
      <c r="L72" s="120"/>
      <c r="M72" s="120"/>
    </row>
    <row r="73" spans="1:14">
      <c r="A73" s="143"/>
      <c r="B73" s="183"/>
      <c r="C73" s="153"/>
      <c r="D73" s="143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1:14">
      <c r="A74" s="167">
        <v>1.1100000000000001</v>
      </c>
      <c r="B74" s="139" t="s">
        <v>392</v>
      </c>
      <c r="C74" s="162" t="s">
        <v>251</v>
      </c>
      <c r="D74" s="143" t="s">
        <v>359</v>
      </c>
      <c r="E74" s="149"/>
      <c r="F74" s="149">
        <v>539</v>
      </c>
      <c r="G74" s="149"/>
      <c r="H74" s="149"/>
      <c r="I74" s="149"/>
      <c r="J74" s="149"/>
      <c r="K74" s="149"/>
      <c r="L74" s="149"/>
      <c r="M74" s="149"/>
      <c r="N74" s="168"/>
    </row>
    <row r="75" spans="1:14">
      <c r="A75" s="167"/>
      <c r="B75" s="129"/>
      <c r="C75" s="102"/>
      <c r="D75" s="99" t="s">
        <v>364</v>
      </c>
      <c r="E75" s="120"/>
      <c r="F75" s="125">
        <f>F74/100</f>
        <v>5.39</v>
      </c>
      <c r="G75" s="120"/>
      <c r="H75" s="120"/>
      <c r="I75" s="120"/>
      <c r="J75" s="120"/>
      <c r="K75" s="120"/>
      <c r="L75" s="120"/>
      <c r="M75" s="120"/>
      <c r="N75" s="168"/>
    </row>
    <row r="76" spans="1:14">
      <c r="A76" s="143" t="s">
        <v>67</v>
      </c>
      <c r="B76" s="109"/>
      <c r="C76" s="102" t="s">
        <v>15</v>
      </c>
      <c r="D76" s="99" t="s">
        <v>1</v>
      </c>
      <c r="E76" s="126">
        <v>33.6</v>
      </c>
      <c r="F76" s="120">
        <f>E76*F75</f>
        <v>181.10399999999998</v>
      </c>
      <c r="G76" s="120"/>
      <c r="H76" s="120"/>
      <c r="I76" s="126"/>
      <c r="J76" s="120"/>
      <c r="K76" s="120"/>
      <c r="L76" s="120"/>
      <c r="M76" s="120"/>
    </row>
    <row r="77" spans="1:14">
      <c r="A77" s="143" t="s">
        <v>196</v>
      </c>
      <c r="B77" s="109"/>
      <c r="C77" s="102" t="s">
        <v>13</v>
      </c>
      <c r="D77" s="99" t="s">
        <v>25</v>
      </c>
      <c r="E77" s="126">
        <v>1.5</v>
      </c>
      <c r="F77" s="120">
        <f>E77*F75</f>
        <v>8.0849999999999991</v>
      </c>
      <c r="G77" s="120"/>
      <c r="H77" s="120"/>
      <c r="I77" s="120"/>
      <c r="J77" s="120"/>
      <c r="K77" s="120"/>
      <c r="L77" s="120"/>
      <c r="M77" s="120"/>
    </row>
    <row r="78" spans="1:14">
      <c r="A78" s="143" t="s">
        <v>258</v>
      </c>
      <c r="B78" s="139" t="s">
        <v>393</v>
      </c>
      <c r="C78" s="141" t="s">
        <v>394</v>
      </c>
      <c r="D78" s="99" t="s">
        <v>23</v>
      </c>
      <c r="E78" s="126">
        <v>0.24</v>
      </c>
      <c r="F78" s="120">
        <f>E78*F75</f>
        <v>1.2935999999999999</v>
      </c>
      <c r="G78" s="126"/>
      <c r="H78" s="120"/>
      <c r="I78" s="120"/>
      <c r="J78" s="120"/>
      <c r="K78" s="120"/>
      <c r="L78" s="120"/>
      <c r="M78" s="120"/>
    </row>
    <row r="79" spans="1:14">
      <c r="A79" s="143" t="s">
        <v>280</v>
      </c>
      <c r="B79" s="109"/>
      <c r="C79" s="102" t="s">
        <v>99</v>
      </c>
      <c r="D79" s="99" t="s">
        <v>25</v>
      </c>
      <c r="E79" s="126">
        <v>2.2799999999999998</v>
      </c>
      <c r="F79" s="120">
        <f>E79*F75</f>
        <v>12.289199999999997</v>
      </c>
      <c r="G79" s="120"/>
      <c r="H79" s="120"/>
      <c r="I79" s="120"/>
      <c r="J79" s="120"/>
      <c r="K79" s="120"/>
      <c r="L79" s="120"/>
      <c r="M79" s="120"/>
    </row>
    <row r="80" spans="1:14">
      <c r="A80" s="143"/>
      <c r="B80" s="140"/>
      <c r="C80" s="153"/>
      <c r="D80" s="143"/>
      <c r="E80" s="149"/>
      <c r="F80" s="149"/>
      <c r="G80" s="149"/>
      <c r="H80" s="149"/>
      <c r="I80" s="149"/>
      <c r="J80" s="149"/>
      <c r="K80" s="149"/>
      <c r="L80" s="149"/>
      <c r="M80" s="149"/>
    </row>
    <row r="81" spans="1:14">
      <c r="A81" s="167">
        <v>1.1200000000000001</v>
      </c>
      <c r="B81" s="139" t="s">
        <v>395</v>
      </c>
      <c r="C81" s="102" t="s">
        <v>253</v>
      </c>
      <c r="D81" s="143" t="s">
        <v>359</v>
      </c>
      <c r="E81" s="120"/>
      <c r="F81" s="120">
        <v>1078</v>
      </c>
      <c r="G81" s="120"/>
      <c r="H81" s="120"/>
      <c r="I81" s="120"/>
      <c r="J81" s="120"/>
      <c r="K81" s="120"/>
      <c r="L81" s="120"/>
      <c r="M81" s="120"/>
    </row>
    <row r="82" spans="1:14">
      <c r="A82" s="167"/>
      <c r="B82" s="139" t="s">
        <v>396</v>
      </c>
      <c r="C82" s="102"/>
      <c r="D82" s="99" t="s">
        <v>364</v>
      </c>
      <c r="E82" s="120"/>
      <c r="F82" s="125">
        <f>F81/100</f>
        <v>10.78</v>
      </c>
      <c r="G82" s="120"/>
      <c r="H82" s="120"/>
      <c r="I82" s="120"/>
      <c r="J82" s="120"/>
      <c r="K82" s="120"/>
      <c r="L82" s="120"/>
      <c r="M82" s="120"/>
    </row>
    <row r="83" spans="1:14">
      <c r="A83" s="143" t="s">
        <v>211</v>
      </c>
      <c r="B83" s="109"/>
      <c r="C83" s="102" t="s">
        <v>15</v>
      </c>
      <c r="D83" s="99" t="s">
        <v>1</v>
      </c>
      <c r="E83" s="126">
        <f>95.94-14.36</f>
        <v>81.58</v>
      </c>
      <c r="F83" s="120">
        <f>E83*F82</f>
        <v>879.43239999999992</v>
      </c>
      <c r="G83" s="120"/>
      <c r="H83" s="120"/>
      <c r="I83" s="120"/>
      <c r="J83" s="120"/>
      <c r="K83" s="120"/>
      <c r="L83" s="120"/>
      <c r="M83" s="120"/>
    </row>
    <row r="84" spans="1:14">
      <c r="A84" s="143" t="s">
        <v>256</v>
      </c>
      <c r="B84" s="139" t="s">
        <v>397</v>
      </c>
      <c r="C84" s="102" t="s">
        <v>252</v>
      </c>
      <c r="D84" s="99" t="s">
        <v>359</v>
      </c>
      <c r="E84" s="126">
        <v>206</v>
      </c>
      <c r="F84" s="120">
        <f>E84*F82</f>
        <v>2220.6799999999998</v>
      </c>
      <c r="G84" s="120"/>
      <c r="H84" s="120"/>
      <c r="I84" s="120"/>
      <c r="J84" s="120"/>
      <c r="K84" s="120"/>
      <c r="L84" s="120"/>
      <c r="M84" s="120"/>
    </row>
    <row r="85" spans="1:14">
      <c r="A85" s="143"/>
      <c r="B85" s="140"/>
      <c r="C85" s="153"/>
      <c r="D85" s="143"/>
      <c r="E85" s="149"/>
      <c r="F85" s="149"/>
      <c r="G85" s="149"/>
      <c r="H85" s="149"/>
      <c r="I85" s="149"/>
      <c r="J85" s="149"/>
      <c r="K85" s="149"/>
      <c r="L85" s="149"/>
      <c r="M85" s="149"/>
    </row>
    <row r="86" spans="1:14">
      <c r="A86" s="143">
        <v>1.1299999999999999</v>
      </c>
      <c r="B86" s="139" t="s">
        <v>398</v>
      </c>
      <c r="C86" s="102" t="s">
        <v>254</v>
      </c>
      <c r="D86" s="143" t="s">
        <v>359</v>
      </c>
      <c r="E86" s="120"/>
      <c r="F86" s="120">
        <v>385</v>
      </c>
      <c r="G86" s="120"/>
      <c r="H86" s="120"/>
      <c r="I86" s="120"/>
      <c r="J86" s="120"/>
      <c r="K86" s="120"/>
      <c r="L86" s="120"/>
      <c r="M86" s="120"/>
    </row>
    <row r="87" spans="1:14">
      <c r="A87" s="143"/>
      <c r="B87" s="142"/>
      <c r="C87" s="102"/>
      <c r="D87" s="99" t="s">
        <v>364</v>
      </c>
      <c r="E87" s="120"/>
      <c r="F87" s="125">
        <f>F86/100</f>
        <v>3.85</v>
      </c>
      <c r="G87" s="120"/>
      <c r="H87" s="120"/>
      <c r="I87" s="120"/>
      <c r="J87" s="120"/>
      <c r="K87" s="120"/>
      <c r="L87" s="120"/>
      <c r="M87" s="120"/>
    </row>
    <row r="88" spans="1:14">
      <c r="A88" s="143" t="s">
        <v>68</v>
      </c>
      <c r="B88" s="109"/>
      <c r="C88" s="102" t="s">
        <v>15</v>
      </c>
      <c r="D88" s="99" t="s">
        <v>1</v>
      </c>
      <c r="E88" s="126">
        <v>7</v>
      </c>
      <c r="F88" s="120">
        <f>E88*F87</f>
        <v>26.95</v>
      </c>
      <c r="G88" s="120"/>
      <c r="H88" s="120"/>
      <c r="I88" s="120"/>
      <c r="J88" s="120"/>
      <c r="K88" s="120"/>
      <c r="L88" s="120"/>
      <c r="M88" s="120"/>
    </row>
    <row r="89" spans="1:14">
      <c r="A89" s="143" t="s">
        <v>281</v>
      </c>
      <c r="B89" s="139" t="s">
        <v>399</v>
      </c>
      <c r="C89" s="102" t="s">
        <v>255</v>
      </c>
      <c r="D89" s="99" t="s">
        <v>359</v>
      </c>
      <c r="E89" s="126">
        <v>115</v>
      </c>
      <c r="F89" s="120">
        <f>E89*F87</f>
        <v>442.75</v>
      </c>
      <c r="G89" s="126"/>
      <c r="H89" s="120"/>
      <c r="I89" s="120"/>
      <c r="J89" s="120"/>
      <c r="K89" s="120"/>
      <c r="L89" s="120"/>
      <c r="M89" s="120"/>
    </row>
    <row r="90" spans="1:14">
      <c r="A90" s="143" t="s">
        <v>402</v>
      </c>
      <c r="B90" s="139" t="s">
        <v>400</v>
      </c>
      <c r="C90" s="150" t="s">
        <v>401</v>
      </c>
      <c r="D90" s="151" t="s">
        <v>88</v>
      </c>
      <c r="E90" s="152">
        <v>400</v>
      </c>
      <c r="F90" s="152">
        <f>E90*F87</f>
        <v>1540</v>
      </c>
      <c r="G90" s="152"/>
      <c r="H90" s="126"/>
      <c r="I90" s="126"/>
      <c r="J90" s="126"/>
      <c r="K90" s="126"/>
      <c r="L90" s="126"/>
      <c r="M90" s="126"/>
    </row>
    <row r="91" spans="1:14">
      <c r="A91" s="143"/>
      <c r="B91" s="140"/>
      <c r="C91" s="153"/>
      <c r="D91" s="143"/>
      <c r="E91" s="149"/>
      <c r="F91" s="149"/>
      <c r="G91" s="149"/>
      <c r="H91" s="149"/>
      <c r="I91" s="149"/>
      <c r="J91" s="149"/>
      <c r="K91" s="149"/>
      <c r="L91" s="149"/>
      <c r="M91" s="149"/>
    </row>
    <row r="92" spans="1:14">
      <c r="A92" s="167">
        <v>1.1399999999999999</v>
      </c>
      <c r="B92" s="109" t="s">
        <v>383</v>
      </c>
      <c r="C92" s="102" t="s">
        <v>259</v>
      </c>
      <c r="D92" s="143" t="s">
        <v>349</v>
      </c>
      <c r="E92" s="120"/>
      <c r="F92" s="120">
        <v>231</v>
      </c>
      <c r="G92" s="120"/>
      <c r="H92" s="120"/>
      <c r="I92" s="120"/>
      <c r="J92" s="120"/>
      <c r="K92" s="120"/>
      <c r="L92" s="120"/>
      <c r="M92" s="120"/>
      <c r="N92" s="168"/>
    </row>
    <row r="93" spans="1:14">
      <c r="A93" s="167"/>
      <c r="B93" s="109"/>
      <c r="C93" s="102"/>
      <c r="D93" s="99" t="s">
        <v>363</v>
      </c>
      <c r="E93" s="120"/>
      <c r="F93" s="125">
        <f>F92/10</f>
        <v>23.1</v>
      </c>
      <c r="G93" s="120"/>
      <c r="H93" s="120"/>
      <c r="I93" s="120"/>
      <c r="J93" s="120"/>
      <c r="K93" s="120"/>
      <c r="L93" s="120"/>
      <c r="M93" s="120"/>
      <c r="N93" s="168"/>
    </row>
    <row r="94" spans="1:14">
      <c r="A94" s="143" t="s">
        <v>197</v>
      </c>
      <c r="B94" s="109"/>
      <c r="C94" s="102" t="s">
        <v>15</v>
      </c>
      <c r="D94" s="99" t="s">
        <v>1</v>
      </c>
      <c r="E94" s="120">
        <v>17.8</v>
      </c>
      <c r="F94" s="120">
        <f>E94*F93</f>
        <v>411.18000000000006</v>
      </c>
      <c r="G94" s="120"/>
      <c r="H94" s="120"/>
      <c r="I94" s="120"/>
      <c r="J94" s="120"/>
      <c r="K94" s="120"/>
      <c r="L94" s="120"/>
      <c r="M94" s="120"/>
    </row>
    <row r="95" spans="1:14">
      <c r="A95" s="143" t="s">
        <v>216</v>
      </c>
      <c r="B95" s="81" t="s">
        <v>353</v>
      </c>
      <c r="C95" s="82" t="s">
        <v>352</v>
      </c>
      <c r="D95" s="99" t="s">
        <v>349</v>
      </c>
      <c r="E95" s="120">
        <v>11</v>
      </c>
      <c r="F95" s="120">
        <f>E95*F93</f>
        <v>254.10000000000002</v>
      </c>
      <c r="G95" s="126"/>
      <c r="H95" s="120"/>
      <c r="I95" s="120"/>
      <c r="J95" s="120"/>
      <c r="K95" s="120"/>
      <c r="L95" s="120"/>
      <c r="M95" s="120"/>
    </row>
    <row r="96" spans="1:14">
      <c r="A96" s="143"/>
      <c r="B96" s="140"/>
      <c r="C96" s="153"/>
      <c r="D96" s="143"/>
      <c r="E96" s="149"/>
      <c r="F96" s="149"/>
      <c r="G96" s="149"/>
      <c r="H96" s="149"/>
      <c r="I96" s="149"/>
      <c r="J96" s="149"/>
      <c r="K96" s="149"/>
      <c r="L96" s="149"/>
      <c r="M96" s="149"/>
    </row>
    <row r="97" spans="1:14">
      <c r="A97" s="143">
        <v>1.1499999999999999</v>
      </c>
      <c r="B97" s="154" t="s">
        <v>403</v>
      </c>
      <c r="C97" s="153" t="s">
        <v>404</v>
      </c>
      <c r="D97" s="143" t="s">
        <v>96</v>
      </c>
      <c r="E97" s="120"/>
      <c r="F97" s="120">
        <v>20</v>
      </c>
      <c r="G97" s="120"/>
      <c r="H97" s="120"/>
      <c r="I97" s="120"/>
      <c r="J97" s="120"/>
      <c r="K97" s="120"/>
      <c r="L97" s="120"/>
      <c r="M97" s="120"/>
      <c r="N97" s="168"/>
    </row>
    <row r="98" spans="1:14">
      <c r="A98" s="143"/>
      <c r="B98" s="155"/>
      <c r="C98" s="153"/>
      <c r="D98" s="143" t="s">
        <v>92</v>
      </c>
      <c r="E98" s="120"/>
      <c r="F98" s="125">
        <f>F97/100</f>
        <v>0.2</v>
      </c>
      <c r="G98" s="120"/>
      <c r="H98" s="120"/>
      <c r="I98" s="120"/>
      <c r="J98" s="120"/>
      <c r="K98" s="120"/>
      <c r="L98" s="120"/>
      <c r="M98" s="120"/>
      <c r="N98" s="168"/>
    </row>
    <row r="99" spans="1:14">
      <c r="A99" s="143" t="s">
        <v>73</v>
      </c>
      <c r="B99" s="116"/>
      <c r="C99" s="102" t="s">
        <v>40</v>
      </c>
      <c r="D99" s="99" t="s">
        <v>1</v>
      </c>
      <c r="E99" s="126">
        <v>33.1</v>
      </c>
      <c r="F99" s="120">
        <f>E99*F98</f>
        <v>6.620000000000001</v>
      </c>
      <c r="G99" s="120"/>
      <c r="H99" s="120"/>
      <c r="I99" s="120"/>
      <c r="J99" s="120"/>
      <c r="K99" s="120"/>
      <c r="L99" s="120"/>
      <c r="M99" s="120"/>
    </row>
    <row r="100" spans="1:14">
      <c r="A100" s="143" t="s">
        <v>74</v>
      </c>
      <c r="B100" s="116"/>
      <c r="C100" s="102" t="s">
        <v>13</v>
      </c>
      <c r="D100" s="99" t="s">
        <v>25</v>
      </c>
      <c r="E100" s="126">
        <v>0.47</v>
      </c>
      <c r="F100" s="120">
        <f>E100*F98</f>
        <v>9.4E-2</v>
      </c>
      <c r="G100" s="120"/>
      <c r="H100" s="120"/>
      <c r="I100" s="120"/>
      <c r="J100" s="120"/>
      <c r="K100" s="120"/>
      <c r="L100" s="120"/>
      <c r="M100" s="120"/>
    </row>
    <row r="101" spans="1:14">
      <c r="A101" s="143" t="s">
        <v>75</v>
      </c>
      <c r="B101" s="154" t="s">
        <v>406</v>
      </c>
      <c r="C101" s="156" t="s">
        <v>405</v>
      </c>
      <c r="D101" s="99" t="s">
        <v>96</v>
      </c>
      <c r="E101" s="152" t="s">
        <v>407</v>
      </c>
      <c r="F101" s="120">
        <v>5</v>
      </c>
      <c r="G101" s="126"/>
      <c r="H101" s="120"/>
      <c r="I101" s="120"/>
      <c r="J101" s="120"/>
      <c r="K101" s="120"/>
      <c r="L101" s="120"/>
      <c r="M101" s="120"/>
    </row>
    <row r="102" spans="1:14">
      <c r="A102" s="143" t="s">
        <v>76</v>
      </c>
      <c r="B102" s="116"/>
      <c r="C102" s="102" t="s">
        <v>99</v>
      </c>
      <c r="D102" s="99" t="s">
        <v>25</v>
      </c>
      <c r="E102" s="126">
        <v>10.9</v>
      </c>
      <c r="F102" s="120">
        <f>E102*F98</f>
        <v>2.1800000000000002</v>
      </c>
      <c r="G102" s="120"/>
      <c r="H102" s="120"/>
      <c r="I102" s="120"/>
      <c r="J102" s="120"/>
      <c r="K102" s="120"/>
      <c r="L102" s="120"/>
      <c r="M102" s="120"/>
    </row>
    <row r="103" spans="1:14">
      <c r="A103" s="143"/>
      <c r="B103" s="183"/>
      <c r="C103" s="153"/>
      <c r="D103" s="143"/>
      <c r="E103" s="149"/>
      <c r="F103" s="149"/>
      <c r="G103" s="149"/>
      <c r="H103" s="149"/>
      <c r="I103" s="149"/>
      <c r="J103" s="149"/>
      <c r="K103" s="149"/>
      <c r="L103" s="149"/>
      <c r="M103" s="149"/>
    </row>
    <row r="104" spans="1:14">
      <c r="A104" s="167">
        <v>1.1599999999999999</v>
      </c>
      <c r="B104" s="140" t="s">
        <v>178</v>
      </c>
      <c r="C104" s="162" t="s">
        <v>238</v>
      </c>
      <c r="D104" s="143" t="s">
        <v>349</v>
      </c>
      <c r="E104" s="149"/>
      <c r="F104" s="149">
        <v>1463</v>
      </c>
      <c r="G104" s="149"/>
      <c r="H104" s="149"/>
      <c r="I104" s="149"/>
      <c r="J104" s="149"/>
      <c r="K104" s="149"/>
      <c r="L104" s="149"/>
      <c r="M104" s="149"/>
      <c r="N104" s="168"/>
    </row>
    <row r="105" spans="1:14">
      <c r="A105" s="167"/>
      <c r="B105" s="109"/>
      <c r="C105" s="102"/>
      <c r="D105" s="99" t="s">
        <v>350</v>
      </c>
      <c r="E105" s="120"/>
      <c r="F105" s="125">
        <f>F104/1000</f>
        <v>1.4630000000000001</v>
      </c>
      <c r="G105" s="120"/>
      <c r="H105" s="120"/>
      <c r="I105" s="120"/>
      <c r="J105" s="120"/>
      <c r="K105" s="120"/>
      <c r="L105" s="120"/>
      <c r="M105" s="120"/>
      <c r="N105" s="168"/>
    </row>
    <row r="106" spans="1:14">
      <c r="A106" s="143" t="s">
        <v>77</v>
      </c>
      <c r="B106" s="109"/>
      <c r="C106" s="102" t="s">
        <v>15</v>
      </c>
      <c r="D106" s="99" t="s">
        <v>1</v>
      </c>
      <c r="E106" s="120">
        <v>15.5</v>
      </c>
      <c r="F106" s="120">
        <f>E106*F105</f>
        <v>22.676500000000001</v>
      </c>
      <c r="G106" s="120"/>
      <c r="H106" s="120"/>
      <c r="I106" s="120"/>
      <c r="J106" s="120"/>
      <c r="K106" s="120"/>
      <c r="L106" s="120"/>
      <c r="M106" s="120"/>
    </row>
    <row r="107" spans="1:14">
      <c r="A107" s="143" t="s">
        <v>179</v>
      </c>
      <c r="B107" s="81" t="s">
        <v>357</v>
      </c>
      <c r="C107" s="79" t="s">
        <v>356</v>
      </c>
      <c r="D107" s="99" t="s">
        <v>24</v>
      </c>
      <c r="E107" s="120">
        <v>34.700000000000003</v>
      </c>
      <c r="F107" s="120">
        <f>E107*F105</f>
        <v>50.766100000000009</v>
      </c>
      <c r="G107" s="120"/>
      <c r="H107" s="120"/>
      <c r="I107" s="120"/>
      <c r="J107" s="120"/>
      <c r="K107" s="120"/>
      <c r="L107" s="120"/>
      <c r="M107" s="120"/>
    </row>
    <row r="108" spans="1:14">
      <c r="A108" s="143" t="s">
        <v>180</v>
      </c>
      <c r="B108" s="109"/>
      <c r="C108" s="102" t="s">
        <v>13</v>
      </c>
      <c r="D108" s="99" t="s">
        <v>25</v>
      </c>
      <c r="E108" s="120">
        <v>2.1</v>
      </c>
      <c r="F108" s="120">
        <f>E108*F105</f>
        <v>3.0723000000000003</v>
      </c>
      <c r="G108" s="120"/>
      <c r="H108" s="120"/>
      <c r="I108" s="120"/>
      <c r="J108" s="120"/>
      <c r="K108" s="120"/>
      <c r="L108" s="120"/>
      <c r="M108" s="120"/>
    </row>
    <row r="109" spans="1:14">
      <c r="A109" s="143" t="s">
        <v>283</v>
      </c>
      <c r="B109" s="81" t="s">
        <v>353</v>
      </c>
      <c r="C109" s="82" t="s">
        <v>352</v>
      </c>
      <c r="D109" s="99" t="s">
        <v>349</v>
      </c>
      <c r="E109" s="120">
        <v>0.04</v>
      </c>
      <c r="F109" s="120">
        <f>E109*F105</f>
        <v>5.8520000000000003E-2</v>
      </c>
      <c r="G109" s="126"/>
      <c r="H109" s="120"/>
      <c r="I109" s="120"/>
      <c r="J109" s="120"/>
      <c r="K109" s="120"/>
      <c r="L109" s="120"/>
      <c r="M109" s="120"/>
    </row>
    <row r="110" spans="1:14">
      <c r="A110" s="143"/>
      <c r="B110" s="140"/>
      <c r="C110" s="153"/>
      <c r="D110" s="143"/>
      <c r="E110" s="149"/>
      <c r="F110" s="149"/>
      <c r="G110" s="149"/>
      <c r="H110" s="149"/>
      <c r="I110" s="149"/>
      <c r="J110" s="149"/>
      <c r="K110" s="149"/>
      <c r="L110" s="149"/>
      <c r="M110" s="149"/>
    </row>
    <row r="111" spans="1:14">
      <c r="A111" s="143">
        <v>1.17</v>
      </c>
      <c r="B111" s="140" t="s">
        <v>260</v>
      </c>
      <c r="C111" s="162" t="s">
        <v>262</v>
      </c>
      <c r="D111" s="143" t="s">
        <v>349</v>
      </c>
      <c r="E111" s="149"/>
      <c r="F111" s="149">
        <f>F104</f>
        <v>1463</v>
      </c>
      <c r="G111" s="149"/>
      <c r="H111" s="149"/>
      <c r="I111" s="149"/>
      <c r="J111" s="149"/>
      <c r="K111" s="149"/>
      <c r="L111" s="149"/>
      <c r="M111" s="149"/>
      <c r="N111" s="168"/>
    </row>
    <row r="112" spans="1:14">
      <c r="A112" s="143"/>
      <c r="B112" s="109"/>
      <c r="C112" s="102"/>
      <c r="D112" s="99" t="s">
        <v>362</v>
      </c>
      <c r="E112" s="120"/>
      <c r="F112" s="125">
        <f>F111/100</f>
        <v>14.63</v>
      </c>
      <c r="G112" s="120"/>
      <c r="H112" s="120"/>
      <c r="I112" s="120"/>
      <c r="J112" s="120"/>
      <c r="K112" s="120"/>
      <c r="L112" s="120"/>
      <c r="M112" s="120"/>
      <c r="N112" s="168"/>
    </row>
    <row r="113" spans="1:13">
      <c r="A113" s="143" t="s">
        <v>181</v>
      </c>
      <c r="B113" s="109"/>
      <c r="C113" s="102" t="s">
        <v>15</v>
      </c>
      <c r="D113" s="99" t="s">
        <v>1</v>
      </c>
      <c r="E113" s="120">
        <v>13.4</v>
      </c>
      <c r="F113" s="120">
        <f>E113*F112</f>
        <v>196.042</v>
      </c>
      <c r="G113" s="120"/>
      <c r="H113" s="120"/>
      <c r="I113" s="120"/>
      <c r="J113" s="120"/>
      <c r="K113" s="120"/>
      <c r="L113" s="120"/>
      <c r="M113" s="120"/>
    </row>
    <row r="114" spans="1:13">
      <c r="A114" s="143" t="s">
        <v>284</v>
      </c>
      <c r="B114" s="139" t="s">
        <v>408</v>
      </c>
      <c r="C114" s="102" t="s">
        <v>261</v>
      </c>
      <c r="D114" s="99" t="s">
        <v>24</v>
      </c>
      <c r="E114" s="120">
        <v>13</v>
      </c>
      <c r="F114" s="120">
        <f>E114*F112</f>
        <v>190.19</v>
      </c>
      <c r="G114" s="120"/>
      <c r="H114" s="120"/>
      <c r="I114" s="120"/>
      <c r="J114" s="120"/>
      <c r="K114" s="120"/>
      <c r="L114" s="120"/>
      <c r="M114" s="120"/>
    </row>
    <row r="115" spans="1:13">
      <c r="A115" s="143" t="s">
        <v>285</v>
      </c>
      <c r="B115" s="139" t="s">
        <v>409</v>
      </c>
      <c r="C115" s="102" t="s">
        <v>384</v>
      </c>
      <c r="D115" s="99" t="s">
        <v>24</v>
      </c>
      <c r="E115" s="120">
        <f>E114/4</f>
        <v>3.25</v>
      </c>
      <c r="F115" s="120">
        <f>E115*F112</f>
        <v>47.547499999999999</v>
      </c>
      <c r="G115" s="120"/>
      <c r="H115" s="120"/>
      <c r="I115" s="120"/>
      <c r="J115" s="120"/>
      <c r="K115" s="126"/>
      <c r="L115" s="120"/>
      <c r="M115" s="120"/>
    </row>
    <row r="116" spans="1:13">
      <c r="A116" s="143"/>
      <c r="B116" s="140"/>
      <c r="C116" s="153"/>
      <c r="D116" s="143"/>
      <c r="E116" s="149"/>
      <c r="F116" s="149"/>
      <c r="G116" s="149"/>
      <c r="H116" s="149"/>
      <c r="I116" s="149"/>
      <c r="J116" s="149"/>
      <c r="K116" s="149"/>
      <c r="L116" s="149"/>
      <c r="M116" s="149"/>
    </row>
    <row r="117" spans="1:13">
      <c r="A117" s="143">
        <v>1.18</v>
      </c>
      <c r="B117" s="140" t="s">
        <v>91</v>
      </c>
      <c r="C117" s="117" t="s">
        <v>264</v>
      </c>
      <c r="D117" s="143" t="s">
        <v>359</v>
      </c>
      <c r="E117" s="169"/>
      <c r="F117" s="169">
        <v>46.8</v>
      </c>
      <c r="G117" s="105"/>
      <c r="H117" s="170"/>
      <c r="I117" s="105"/>
      <c r="J117" s="170"/>
      <c r="K117" s="105"/>
      <c r="L117" s="106"/>
      <c r="M117" s="149"/>
    </row>
    <row r="118" spans="1:13">
      <c r="A118" s="143" t="s">
        <v>286</v>
      </c>
      <c r="B118" s="140"/>
      <c r="C118" s="117" t="s">
        <v>90</v>
      </c>
      <c r="D118" s="143" t="s">
        <v>1</v>
      </c>
      <c r="E118" s="170">
        <v>2</v>
      </c>
      <c r="F118" s="169">
        <f>F117*E118</f>
        <v>93.6</v>
      </c>
      <c r="G118" s="171"/>
      <c r="H118" s="170"/>
      <c r="I118" s="170"/>
      <c r="J118" s="170"/>
      <c r="K118" s="171"/>
      <c r="L118" s="106"/>
      <c r="M118" s="149"/>
    </row>
    <row r="119" spans="1:13">
      <c r="A119" s="143" t="s">
        <v>287</v>
      </c>
      <c r="B119" s="139" t="s">
        <v>410</v>
      </c>
      <c r="C119" s="117" t="s">
        <v>263</v>
      </c>
      <c r="D119" s="143" t="s">
        <v>359</v>
      </c>
      <c r="E119" s="170">
        <v>1.1000000000000001</v>
      </c>
      <c r="F119" s="169">
        <f>F117*E119</f>
        <v>51.480000000000004</v>
      </c>
      <c r="G119" s="192"/>
      <c r="H119" s="170"/>
      <c r="I119" s="171"/>
      <c r="J119" s="170"/>
      <c r="K119" s="172"/>
      <c r="L119" s="106"/>
      <c r="M119" s="149"/>
    </row>
    <row r="120" spans="1:13">
      <c r="A120" s="143"/>
      <c r="B120" s="140"/>
      <c r="C120" s="117"/>
      <c r="D120" s="143"/>
      <c r="E120" s="170"/>
      <c r="F120" s="169"/>
      <c r="G120" s="170"/>
      <c r="H120" s="170"/>
      <c r="I120" s="171"/>
      <c r="J120" s="170"/>
      <c r="K120" s="172"/>
      <c r="L120" s="106"/>
      <c r="M120" s="149"/>
    </row>
    <row r="121" spans="1:13">
      <c r="A121" s="143">
        <v>1.19</v>
      </c>
      <c r="B121" s="139" t="s">
        <v>412</v>
      </c>
      <c r="C121" s="185" t="s">
        <v>288</v>
      </c>
      <c r="D121" s="143" t="s">
        <v>359</v>
      </c>
      <c r="E121" s="119"/>
      <c r="F121" s="119">
        <v>100</v>
      </c>
      <c r="G121" s="105"/>
      <c r="H121" s="106"/>
      <c r="I121" s="105"/>
      <c r="J121" s="106"/>
      <c r="K121" s="105"/>
      <c r="L121" s="106"/>
      <c r="M121" s="149"/>
    </row>
    <row r="122" spans="1:13">
      <c r="A122" s="143"/>
      <c r="B122" s="142"/>
      <c r="C122" s="158"/>
      <c r="D122" s="143" t="s">
        <v>364</v>
      </c>
      <c r="E122" s="119"/>
      <c r="F122" s="159">
        <f>F121/100</f>
        <v>1</v>
      </c>
      <c r="G122" s="105"/>
      <c r="H122" s="106"/>
      <c r="I122" s="105"/>
      <c r="J122" s="106"/>
      <c r="K122" s="105"/>
      <c r="L122" s="106"/>
      <c r="M122" s="120"/>
    </row>
    <row r="123" spans="1:13">
      <c r="A123" s="143" t="s">
        <v>289</v>
      </c>
      <c r="B123" s="109"/>
      <c r="C123" s="117" t="s">
        <v>90</v>
      </c>
      <c r="D123" s="99" t="s">
        <v>1</v>
      </c>
      <c r="E123" s="106">
        <v>880</v>
      </c>
      <c r="F123" s="119">
        <f>F122*E123</f>
        <v>880</v>
      </c>
      <c r="G123" s="105"/>
      <c r="H123" s="106"/>
      <c r="I123" s="106"/>
      <c r="J123" s="106"/>
      <c r="K123" s="105"/>
      <c r="L123" s="106"/>
      <c r="M123" s="120"/>
    </row>
    <row r="124" spans="1:13">
      <c r="A124" s="143"/>
      <c r="B124" s="116"/>
      <c r="C124" s="133" t="s">
        <v>13</v>
      </c>
      <c r="D124" s="118" t="s">
        <v>25</v>
      </c>
      <c r="E124" s="126">
        <v>5</v>
      </c>
      <c r="F124" s="126">
        <f>E124*F122</f>
        <v>5</v>
      </c>
      <c r="G124" s="126"/>
      <c r="H124" s="126"/>
      <c r="I124" s="126"/>
      <c r="J124" s="126"/>
      <c r="K124" s="126"/>
      <c r="L124" s="126"/>
      <c r="M124" s="126"/>
    </row>
    <row r="125" spans="1:13">
      <c r="A125" s="143" t="s">
        <v>290</v>
      </c>
      <c r="B125" s="139" t="s">
        <v>411</v>
      </c>
      <c r="C125" s="117" t="s">
        <v>291</v>
      </c>
      <c r="D125" s="99" t="s">
        <v>359</v>
      </c>
      <c r="E125" s="106">
        <v>100</v>
      </c>
      <c r="F125" s="119">
        <f>F122*E125</f>
        <v>100</v>
      </c>
      <c r="G125" s="106"/>
      <c r="H125" s="106"/>
      <c r="I125" s="105"/>
      <c r="J125" s="106"/>
      <c r="K125" s="120"/>
      <c r="L125" s="120"/>
      <c r="M125" s="120"/>
    </row>
    <row r="126" spans="1:13">
      <c r="A126" s="143"/>
      <c r="B126" s="139" t="s">
        <v>416</v>
      </c>
      <c r="C126" s="141" t="s">
        <v>103</v>
      </c>
      <c r="D126" s="151" t="s">
        <v>349</v>
      </c>
      <c r="E126" s="152">
        <v>52.5</v>
      </c>
      <c r="F126" s="152">
        <f>E126*F122</f>
        <v>52.5</v>
      </c>
      <c r="G126" s="152"/>
      <c r="H126" s="152"/>
      <c r="I126" s="152"/>
      <c r="J126" s="152"/>
      <c r="K126" s="152"/>
      <c r="L126" s="152"/>
      <c r="M126" s="152"/>
    </row>
    <row r="127" spans="1:13">
      <c r="A127" s="143"/>
      <c r="B127" s="139"/>
      <c r="C127" s="141" t="s">
        <v>99</v>
      </c>
      <c r="D127" s="151" t="s">
        <v>25</v>
      </c>
      <c r="E127" s="152">
        <v>11</v>
      </c>
      <c r="F127" s="152">
        <f>E127*F122</f>
        <v>11</v>
      </c>
      <c r="G127" s="152"/>
      <c r="H127" s="152"/>
      <c r="I127" s="152"/>
      <c r="J127" s="152"/>
      <c r="K127" s="152"/>
      <c r="L127" s="152"/>
      <c r="M127" s="152"/>
    </row>
    <row r="128" spans="1:13">
      <c r="A128" s="143"/>
      <c r="B128" s="140"/>
      <c r="C128" s="117"/>
      <c r="D128" s="143"/>
      <c r="E128" s="170"/>
      <c r="F128" s="169"/>
      <c r="G128" s="170"/>
      <c r="H128" s="170"/>
      <c r="I128" s="171"/>
      <c r="J128" s="170"/>
      <c r="K128" s="172"/>
      <c r="L128" s="149"/>
      <c r="M128" s="149"/>
    </row>
    <row r="129" spans="1:13">
      <c r="A129" s="100">
        <v>1.2</v>
      </c>
      <c r="B129" s="109" t="s">
        <v>417</v>
      </c>
      <c r="C129" s="107" t="s">
        <v>313</v>
      </c>
      <c r="D129" s="99" t="s">
        <v>349</v>
      </c>
      <c r="E129" s="108"/>
      <c r="F129" s="108">
        <v>47</v>
      </c>
      <c r="G129" s="108"/>
      <c r="H129" s="108"/>
      <c r="I129" s="108"/>
      <c r="J129" s="108"/>
      <c r="K129" s="108"/>
      <c r="L129" s="108"/>
      <c r="M129" s="120"/>
    </row>
    <row r="130" spans="1:13">
      <c r="A130" s="99" t="s">
        <v>311</v>
      </c>
      <c r="B130" s="140" t="s">
        <v>396</v>
      </c>
      <c r="C130" s="102" t="s">
        <v>15</v>
      </c>
      <c r="D130" s="99" t="s">
        <v>1</v>
      </c>
      <c r="E130" s="161">
        <v>8.35</v>
      </c>
      <c r="F130" s="120">
        <f>E130*F129</f>
        <v>392.45</v>
      </c>
      <c r="G130" s="120"/>
      <c r="H130" s="120"/>
      <c r="I130" s="120"/>
      <c r="J130" s="120"/>
      <c r="K130" s="120"/>
      <c r="L130" s="120"/>
      <c r="M130" s="120"/>
    </row>
    <row r="131" spans="1:13">
      <c r="A131" s="99" t="s">
        <v>312</v>
      </c>
      <c r="B131" s="139" t="s">
        <v>418</v>
      </c>
      <c r="C131" s="153" t="s">
        <v>419</v>
      </c>
      <c r="D131" s="99" t="s">
        <v>24</v>
      </c>
      <c r="E131" s="126">
        <v>2.78</v>
      </c>
      <c r="F131" s="120">
        <f>E131*F129</f>
        <v>130.66</v>
      </c>
      <c r="G131" s="120"/>
      <c r="H131" s="120"/>
      <c r="I131" s="120"/>
      <c r="J131" s="120"/>
      <c r="K131" s="120"/>
      <c r="L131" s="120"/>
      <c r="M131" s="120"/>
    </row>
    <row r="132" spans="1:13">
      <c r="A132" s="99" t="s">
        <v>317</v>
      </c>
      <c r="B132" s="139" t="s">
        <v>409</v>
      </c>
      <c r="C132" s="102" t="s">
        <v>384</v>
      </c>
      <c r="D132" s="99" t="s">
        <v>24</v>
      </c>
      <c r="E132" s="126">
        <v>1.39</v>
      </c>
      <c r="F132" s="120">
        <f>E132*F129</f>
        <v>65.33</v>
      </c>
      <c r="G132" s="120"/>
      <c r="H132" s="120"/>
      <c r="I132" s="120"/>
      <c r="J132" s="120"/>
      <c r="K132" s="126"/>
      <c r="L132" s="120"/>
      <c r="M132" s="120"/>
    </row>
    <row r="133" spans="1:13">
      <c r="A133" s="143"/>
      <c r="B133" s="140"/>
      <c r="C133" s="107"/>
      <c r="D133" s="189"/>
      <c r="E133" s="191"/>
      <c r="F133" s="149"/>
      <c r="G133" s="108"/>
      <c r="H133" s="108"/>
      <c r="I133" s="108"/>
      <c r="J133" s="108"/>
      <c r="K133" s="149"/>
      <c r="L133" s="149"/>
      <c r="M133" s="149"/>
    </row>
    <row r="134" spans="1:13">
      <c r="A134" s="143"/>
      <c r="B134" s="140"/>
      <c r="C134" s="107"/>
      <c r="D134" s="189"/>
      <c r="E134" s="191"/>
      <c r="F134" s="149"/>
      <c r="G134" s="108"/>
      <c r="H134" s="108"/>
      <c r="I134" s="108"/>
      <c r="J134" s="108"/>
      <c r="K134" s="149"/>
      <c r="L134" s="149"/>
      <c r="M134" s="149"/>
    </row>
    <row r="135" spans="1:13" s="86" customFormat="1">
      <c r="A135" s="92"/>
      <c r="B135" s="85"/>
      <c r="C135" s="92" t="s">
        <v>4</v>
      </c>
      <c r="D135" s="92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s="163" customFormat="1">
      <c r="A136" s="143"/>
      <c r="B136" s="140"/>
      <c r="C136" s="143"/>
      <c r="D136" s="143"/>
      <c r="E136" s="149"/>
      <c r="F136" s="149"/>
      <c r="G136" s="149"/>
      <c r="H136" s="149"/>
      <c r="I136" s="149"/>
      <c r="J136" s="149"/>
      <c r="K136" s="149"/>
      <c r="L136" s="149"/>
      <c r="M136" s="149"/>
    </row>
    <row r="137" spans="1:13" s="163" customFormat="1">
      <c r="A137" s="143"/>
      <c r="B137" s="140"/>
      <c r="C137" s="143" t="s">
        <v>10</v>
      </c>
      <c r="D137" s="164">
        <v>0.1</v>
      </c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1:13" s="163" customFormat="1">
      <c r="A138" s="143"/>
      <c r="B138" s="140"/>
      <c r="C138" s="143" t="s">
        <v>4</v>
      </c>
      <c r="D138" s="164"/>
      <c r="E138" s="149"/>
      <c r="F138" s="149"/>
      <c r="G138" s="149"/>
      <c r="H138" s="149"/>
      <c r="I138" s="149"/>
      <c r="J138" s="149"/>
      <c r="K138" s="149"/>
      <c r="L138" s="149"/>
      <c r="M138" s="149"/>
    </row>
    <row r="139" spans="1:13" s="163" customFormat="1">
      <c r="A139" s="143"/>
      <c r="B139" s="140"/>
      <c r="C139" s="143" t="s">
        <v>11</v>
      </c>
      <c r="D139" s="164">
        <v>0.08</v>
      </c>
      <c r="E139" s="149"/>
      <c r="F139" s="149"/>
      <c r="G139" s="149"/>
      <c r="H139" s="149"/>
      <c r="I139" s="149"/>
      <c r="J139" s="149"/>
      <c r="K139" s="149"/>
      <c r="L139" s="149"/>
      <c r="M139" s="149"/>
    </row>
    <row r="140" spans="1:13" s="163" customFormat="1">
      <c r="A140" s="143"/>
      <c r="B140" s="140"/>
      <c r="C140" s="143"/>
      <c r="D140" s="164"/>
      <c r="E140" s="149"/>
      <c r="F140" s="149"/>
      <c r="G140" s="149"/>
      <c r="H140" s="149"/>
      <c r="I140" s="149"/>
      <c r="J140" s="149"/>
      <c r="K140" s="149"/>
      <c r="L140" s="149"/>
      <c r="M140" s="149"/>
    </row>
    <row r="141" spans="1:13" s="163" customFormat="1">
      <c r="A141" s="92"/>
      <c r="B141" s="85"/>
      <c r="C141" s="92" t="s">
        <v>4</v>
      </c>
      <c r="D141" s="92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>
      <c r="B142" s="175"/>
      <c r="C142" s="174"/>
      <c r="D142" s="175"/>
      <c r="E142" s="175"/>
      <c r="F142" s="175"/>
      <c r="G142" s="175"/>
      <c r="H142" s="175"/>
      <c r="I142" s="175"/>
      <c r="J142" s="175"/>
      <c r="K142" s="175"/>
      <c r="L142" s="175"/>
      <c r="M142" s="176"/>
    </row>
    <row r="143" spans="1:13">
      <c r="B143" s="175"/>
      <c r="C143" s="174"/>
      <c r="D143" s="175"/>
      <c r="E143" s="175"/>
      <c r="F143" s="175"/>
      <c r="G143" s="175"/>
      <c r="H143" s="175"/>
      <c r="I143" s="175"/>
      <c r="J143" s="175"/>
      <c r="K143" s="175"/>
      <c r="L143" s="175"/>
      <c r="M143" s="176"/>
    </row>
    <row r="144" spans="1:13">
      <c r="B144" s="175"/>
      <c r="C144" s="174"/>
      <c r="D144" s="175"/>
      <c r="E144" s="175"/>
      <c r="F144" s="175"/>
      <c r="G144" s="175"/>
      <c r="H144" s="175"/>
      <c r="I144" s="175"/>
      <c r="J144" s="175"/>
      <c r="K144" s="175"/>
      <c r="L144" s="175"/>
      <c r="M144" s="176"/>
    </row>
    <row r="145" spans="1:13">
      <c r="B145" s="175"/>
      <c r="C145" s="174"/>
      <c r="D145" s="175"/>
      <c r="E145" s="175"/>
      <c r="F145" s="175"/>
      <c r="G145" s="175"/>
      <c r="H145" s="175"/>
      <c r="I145" s="175"/>
      <c r="J145" s="175"/>
      <c r="K145" s="175"/>
      <c r="L145" s="175"/>
      <c r="M145" s="176"/>
    </row>
    <row r="146" spans="1:13">
      <c r="B146" s="175"/>
      <c r="C146" s="174"/>
      <c r="D146" s="175"/>
      <c r="E146" s="175"/>
      <c r="F146" s="175"/>
      <c r="G146" s="175"/>
      <c r="H146" s="175"/>
      <c r="I146" s="175"/>
      <c r="J146" s="175"/>
      <c r="K146" s="175"/>
      <c r="L146" s="175"/>
      <c r="M146" s="176"/>
    </row>
    <row r="147" spans="1:13">
      <c r="B147" s="175"/>
      <c r="C147" s="174"/>
      <c r="D147" s="175"/>
      <c r="E147" s="175"/>
      <c r="F147" s="175"/>
      <c r="G147" s="175"/>
      <c r="H147" s="175"/>
      <c r="I147" s="175"/>
      <c r="J147" s="175"/>
      <c r="K147" s="175"/>
      <c r="L147" s="175"/>
      <c r="M147" s="176"/>
    </row>
    <row r="148" spans="1:13">
      <c r="B148" s="175"/>
      <c r="C148" s="174"/>
      <c r="D148" s="175"/>
      <c r="E148" s="175"/>
      <c r="F148" s="175"/>
      <c r="G148" s="175"/>
      <c r="H148" s="175"/>
      <c r="I148" s="175"/>
      <c r="J148" s="175"/>
      <c r="K148" s="175"/>
      <c r="L148" s="175"/>
      <c r="M148" s="176"/>
    </row>
    <row r="149" spans="1:13">
      <c r="B149" s="175"/>
      <c r="C149" s="174"/>
      <c r="D149" s="175"/>
      <c r="E149" s="175"/>
      <c r="F149" s="175"/>
      <c r="G149" s="175"/>
      <c r="H149" s="175"/>
      <c r="I149" s="175"/>
      <c r="J149" s="175"/>
      <c r="K149" s="175"/>
      <c r="L149" s="175"/>
      <c r="M149" s="176"/>
    </row>
    <row r="150" spans="1:13">
      <c r="B150" s="175"/>
      <c r="C150" s="174"/>
      <c r="D150" s="175"/>
      <c r="E150" s="175"/>
      <c r="F150" s="175"/>
      <c r="G150" s="175"/>
      <c r="H150" s="175"/>
      <c r="I150" s="175"/>
      <c r="J150" s="175"/>
      <c r="K150" s="175"/>
      <c r="L150" s="175"/>
      <c r="M150" s="176"/>
    </row>
    <row r="151" spans="1:13">
      <c r="A151" s="165"/>
      <c r="B151" s="175"/>
      <c r="C151" s="174"/>
      <c r="D151" s="175"/>
      <c r="E151" s="175"/>
      <c r="F151" s="175"/>
      <c r="G151" s="175"/>
      <c r="H151" s="175"/>
      <c r="I151" s="175"/>
      <c r="J151" s="175"/>
      <c r="K151" s="175"/>
      <c r="L151" s="175"/>
      <c r="M151" s="176"/>
    </row>
    <row r="152" spans="1:13">
      <c r="A152" s="165"/>
      <c r="B152" s="175"/>
      <c r="C152" s="174"/>
      <c r="D152" s="175"/>
      <c r="E152" s="175"/>
      <c r="F152" s="175"/>
      <c r="G152" s="175"/>
      <c r="H152" s="175"/>
      <c r="I152" s="175"/>
      <c r="J152" s="175"/>
      <c r="K152" s="175"/>
      <c r="L152" s="175"/>
      <c r="M152" s="176"/>
    </row>
    <row r="153" spans="1:13">
      <c r="A153" s="165"/>
      <c r="B153" s="175"/>
      <c r="C153" s="174"/>
      <c r="D153" s="175"/>
      <c r="E153" s="175"/>
      <c r="F153" s="175"/>
      <c r="G153" s="175"/>
      <c r="H153" s="175"/>
      <c r="I153" s="175"/>
      <c r="J153" s="175"/>
      <c r="K153" s="175"/>
      <c r="L153" s="175"/>
      <c r="M153" s="176"/>
    </row>
    <row r="154" spans="1:13">
      <c r="A154" s="165"/>
      <c r="B154" s="175"/>
      <c r="C154" s="174"/>
      <c r="D154" s="175"/>
      <c r="E154" s="175"/>
      <c r="F154" s="175"/>
      <c r="G154" s="175"/>
      <c r="H154" s="175"/>
      <c r="I154" s="175"/>
      <c r="J154" s="175"/>
      <c r="K154" s="175"/>
      <c r="L154" s="175"/>
      <c r="M154" s="176"/>
    </row>
    <row r="155" spans="1:13">
      <c r="A155" s="165"/>
      <c r="B155" s="175"/>
      <c r="C155" s="174"/>
      <c r="D155" s="175"/>
      <c r="E155" s="175"/>
      <c r="F155" s="175"/>
      <c r="G155" s="175"/>
      <c r="H155" s="175"/>
      <c r="I155" s="175"/>
      <c r="J155" s="175"/>
      <c r="K155" s="175"/>
      <c r="L155" s="175"/>
      <c r="M155" s="176"/>
    </row>
    <row r="156" spans="1:13">
      <c r="A156" s="165"/>
      <c r="B156" s="175"/>
      <c r="C156" s="174"/>
      <c r="D156" s="175"/>
      <c r="E156" s="175"/>
      <c r="F156" s="175"/>
      <c r="G156" s="175"/>
      <c r="H156" s="175"/>
      <c r="I156" s="175"/>
      <c r="J156" s="175"/>
      <c r="K156" s="175"/>
      <c r="L156" s="175"/>
      <c r="M156" s="176"/>
    </row>
    <row r="157" spans="1:13">
      <c r="A157" s="165"/>
      <c r="B157" s="175"/>
      <c r="C157" s="174"/>
      <c r="D157" s="175"/>
      <c r="E157" s="175"/>
      <c r="F157" s="175"/>
      <c r="G157" s="175"/>
      <c r="H157" s="175"/>
      <c r="I157" s="175"/>
      <c r="J157" s="175"/>
      <c r="K157" s="175"/>
      <c r="L157" s="175"/>
      <c r="M157" s="176"/>
    </row>
    <row r="158" spans="1:13">
      <c r="A158" s="165"/>
      <c r="B158" s="175"/>
      <c r="C158" s="174"/>
      <c r="D158" s="175"/>
      <c r="E158" s="175"/>
      <c r="F158" s="175"/>
      <c r="G158" s="175"/>
      <c r="H158" s="175"/>
      <c r="I158" s="175"/>
      <c r="J158" s="175"/>
      <c r="K158" s="175"/>
      <c r="L158" s="175"/>
      <c r="M158" s="176"/>
    </row>
    <row r="159" spans="1:13">
      <c r="A159" s="165"/>
      <c r="B159" s="175"/>
      <c r="C159" s="174"/>
      <c r="D159" s="175"/>
      <c r="E159" s="175"/>
      <c r="F159" s="175"/>
      <c r="G159" s="175"/>
      <c r="H159" s="175"/>
      <c r="I159" s="175"/>
      <c r="J159" s="175"/>
      <c r="K159" s="175"/>
      <c r="L159" s="175"/>
      <c r="M159" s="176"/>
    </row>
    <row r="160" spans="1:13">
      <c r="A160" s="165"/>
      <c r="B160" s="175"/>
      <c r="C160" s="174"/>
      <c r="D160" s="175"/>
      <c r="E160" s="175"/>
      <c r="F160" s="175"/>
      <c r="G160" s="175"/>
      <c r="H160" s="175"/>
      <c r="I160" s="175"/>
      <c r="J160" s="175"/>
      <c r="K160" s="175"/>
      <c r="L160" s="175"/>
      <c r="M160" s="176"/>
    </row>
    <row r="161" spans="1:13">
      <c r="A161" s="165"/>
      <c r="B161" s="175"/>
      <c r="C161" s="174"/>
      <c r="D161" s="175"/>
      <c r="E161" s="175"/>
      <c r="F161" s="175"/>
      <c r="G161" s="175"/>
      <c r="H161" s="175"/>
      <c r="I161" s="175"/>
      <c r="J161" s="175"/>
      <c r="K161" s="175"/>
      <c r="L161" s="175"/>
      <c r="M161" s="176"/>
    </row>
    <row r="162" spans="1:13">
      <c r="A162" s="165"/>
      <c r="B162" s="175"/>
      <c r="C162" s="174"/>
      <c r="D162" s="175"/>
      <c r="E162" s="175"/>
      <c r="F162" s="175"/>
      <c r="G162" s="175"/>
      <c r="H162" s="175"/>
      <c r="I162" s="175"/>
      <c r="J162" s="175"/>
      <c r="K162" s="175"/>
      <c r="L162" s="175"/>
      <c r="M162" s="176"/>
    </row>
    <row r="163" spans="1:13">
      <c r="A163" s="165"/>
      <c r="B163" s="175"/>
      <c r="C163" s="174"/>
      <c r="D163" s="175"/>
      <c r="E163" s="175"/>
      <c r="F163" s="175"/>
      <c r="G163" s="175"/>
      <c r="H163" s="175"/>
      <c r="I163" s="175"/>
      <c r="J163" s="175"/>
      <c r="K163" s="175"/>
      <c r="L163" s="175"/>
      <c r="M163" s="176"/>
    </row>
    <row r="164" spans="1:13">
      <c r="A164" s="165"/>
      <c r="B164" s="175"/>
      <c r="C164" s="174"/>
      <c r="D164" s="175"/>
      <c r="E164" s="175"/>
      <c r="F164" s="175"/>
      <c r="G164" s="175"/>
      <c r="H164" s="175"/>
      <c r="I164" s="175"/>
      <c r="J164" s="175"/>
      <c r="K164" s="175"/>
      <c r="L164" s="175"/>
      <c r="M164" s="176"/>
    </row>
    <row r="165" spans="1:13">
      <c r="A165" s="165"/>
      <c r="B165" s="175"/>
      <c r="C165" s="174"/>
      <c r="D165" s="175"/>
      <c r="E165" s="175"/>
      <c r="F165" s="175"/>
      <c r="G165" s="175"/>
      <c r="H165" s="175"/>
      <c r="I165" s="175"/>
      <c r="J165" s="175"/>
      <c r="K165" s="175"/>
      <c r="L165" s="175"/>
      <c r="M165" s="176"/>
    </row>
    <row r="166" spans="1:13">
      <c r="A166" s="165"/>
      <c r="B166" s="175"/>
      <c r="C166" s="174"/>
      <c r="D166" s="175"/>
      <c r="E166" s="175"/>
      <c r="F166" s="175"/>
      <c r="G166" s="175"/>
      <c r="H166" s="175"/>
      <c r="I166" s="175"/>
      <c r="J166" s="175"/>
      <c r="K166" s="175"/>
      <c r="L166" s="175"/>
      <c r="M166" s="176"/>
    </row>
    <row r="167" spans="1:13">
      <c r="A167" s="165"/>
      <c r="B167" s="175"/>
      <c r="C167" s="174"/>
      <c r="D167" s="175"/>
      <c r="E167" s="175"/>
      <c r="F167" s="175"/>
      <c r="G167" s="175"/>
      <c r="H167" s="175"/>
      <c r="I167" s="175"/>
      <c r="J167" s="175"/>
      <c r="K167" s="175"/>
      <c r="L167" s="175"/>
      <c r="M167" s="176"/>
    </row>
    <row r="168" spans="1:13">
      <c r="A168" s="165"/>
      <c r="B168" s="175"/>
      <c r="C168" s="174"/>
      <c r="D168" s="175"/>
      <c r="E168" s="175"/>
      <c r="F168" s="175"/>
      <c r="G168" s="175"/>
      <c r="H168" s="175"/>
      <c r="I168" s="175"/>
      <c r="J168" s="175"/>
      <c r="K168" s="175"/>
      <c r="L168" s="175"/>
      <c r="M168" s="176"/>
    </row>
    <row r="169" spans="1:13">
      <c r="A169" s="165"/>
      <c r="B169" s="175"/>
      <c r="C169" s="174"/>
      <c r="D169" s="175"/>
      <c r="E169" s="175"/>
      <c r="F169" s="175"/>
      <c r="G169" s="175"/>
      <c r="H169" s="175"/>
      <c r="I169" s="175"/>
      <c r="J169" s="175"/>
      <c r="K169" s="175"/>
      <c r="L169" s="175"/>
      <c r="M169" s="176"/>
    </row>
    <row r="170" spans="1:13">
      <c r="A170" s="165"/>
      <c r="B170" s="175"/>
      <c r="C170" s="174"/>
      <c r="D170" s="175"/>
      <c r="E170" s="175"/>
      <c r="F170" s="175"/>
      <c r="G170" s="175"/>
      <c r="H170" s="175"/>
      <c r="I170" s="175"/>
      <c r="J170" s="175"/>
      <c r="K170" s="175"/>
      <c r="L170" s="175"/>
      <c r="M170" s="176"/>
    </row>
    <row r="171" spans="1:13">
      <c r="A171" s="165"/>
      <c r="B171" s="175"/>
      <c r="C171" s="174"/>
      <c r="D171" s="175"/>
      <c r="E171" s="175"/>
      <c r="F171" s="175"/>
      <c r="G171" s="175"/>
      <c r="H171" s="175"/>
      <c r="I171" s="175"/>
      <c r="J171" s="175"/>
      <c r="K171" s="175"/>
      <c r="L171" s="175"/>
      <c r="M171" s="176"/>
    </row>
    <row r="172" spans="1:13">
      <c r="A172" s="165"/>
      <c r="B172" s="175"/>
      <c r="C172" s="174"/>
      <c r="D172" s="175"/>
      <c r="E172" s="175"/>
      <c r="F172" s="175"/>
      <c r="G172" s="175"/>
      <c r="H172" s="175"/>
      <c r="I172" s="175"/>
      <c r="J172" s="175"/>
      <c r="K172" s="175"/>
      <c r="L172" s="175"/>
      <c r="M172" s="176"/>
    </row>
    <row r="173" spans="1:13">
      <c r="A173" s="165"/>
      <c r="B173" s="175"/>
      <c r="C173" s="174"/>
      <c r="D173" s="175"/>
      <c r="E173" s="175"/>
      <c r="F173" s="175"/>
      <c r="G173" s="175"/>
      <c r="H173" s="175"/>
      <c r="I173" s="175"/>
      <c r="J173" s="175"/>
      <c r="K173" s="175"/>
      <c r="L173" s="175"/>
      <c r="M173" s="176"/>
    </row>
    <row r="174" spans="1:13">
      <c r="A174" s="165"/>
      <c r="B174" s="175"/>
      <c r="C174" s="174"/>
      <c r="D174" s="175"/>
      <c r="E174" s="175"/>
      <c r="F174" s="175"/>
      <c r="G174" s="175"/>
      <c r="H174" s="175"/>
      <c r="I174" s="175"/>
      <c r="J174" s="175"/>
      <c r="K174" s="175"/>
      <c r="L174" s="175"/>
      <c r="M174" s="176"/>
    </row>
    <row r="175" spans="1:13">
      <c r="A175" s="165"/>
      <c r="B175" s="175"/>
      <c r="C175" s="174"/>
      <c r="D175" s="175"/>
      <c r="E175" s="175"/>
      <c r="F175" s="175"/>
      <c r="G175" s="175"/>
      <c r="H175" s="175"/>
      <c r="I175" s="175"/>
      <c r="J175" s="175"/>
      <c r="K175" s="175"/>
      <c r="L175" s="175"/>
      <c r="M175" s="176"/>
    </row>
    <row r="176" spans="1:13">
      <c r="A176" s="165"/>
      <c r="B176" s="175"/>
      <c r="C176" s="174"/>
      <c r="D176" s="175"/>
      <c r="E176" s="175"/>
      <c r="F176" s="175"/>
      <c r="G176" s="175"/>
      <c r="H176" s="175"/>
      <c r="I176" s="175"/>
      <c r="J176" s="175"/>
      <c r="K176" s="175"/>
      <c r="L176" s="175"/>
      <c r="M176" s="176"/>
    </row>
    <row r="177" spans="1:13">
      <c r="A177" s="165"/>
      <c r="B177" s="175"/>
      <c r="C177" s="174"/>
      <c r="D177" s="175"/>
      <c r="E177" s="175"/>
      <c r="F177" s="175"/>
      <c r="G177" s="175"/>
      <c r="H177" s="175"/>
      <c r="I177" s="175"/>
      <c r="J177" s="175"/>
      <c r="K177" s="175"/>
      <c r="L177" s="175"/>
      <c r="M177" s="176"/>
    </row>
    <row r="178" spans="1:13">
      <c r="A178" s="165"/>
      <c r="B178" s="175"/>
      <c r="C178" s="174"/>
      <c r="D178" s="175"/>
      <c r="E178" s="175"/>
      <c r="F178" s="175"/>
      <c r="G178" s="175"/>
      <c r="H178" s="175"/>
      <c r="I178" s="175"/>
      <c r="J178" s="175"/>
      <c r="K178" s="175"/>
      <c r="L178" s="175"/>
      <c r="M178" s="176"/>
    </row>
    <row r="179" spans="1:13">
      <c r="A179" s="165"/>
      <c r="B179" s="175"/>
      <c r="C179" s="174"/>
      <c r="D179" s="175"/>
      <c r="E179" s="175"/>
      <c r="F179" s="175"/>
      <c r="G179" s="175"/>
      <c r="H179" s="175"/>
      <c r="I179" s="175"/>
      <c r="J179" s="175"/>
      <c r="K179" s="175"/>
      <c r="L179" s="175"/>
      <c r="M179" s="176"/>
    </row>
    <row r="180" spans="1:13">
      <c r="A180" s="165"/>
      <c r="B180" s="175"/>
      <c r="C180" s="174"/>
      <c r="D180" s="175"/>
      <c r="E180" s="175"/>
      <c r="F180" s="175"/>
      <c r="G180" s="175"/>
      <c r="H180" s="175"/>
      <c r="I180" s="175"/>
      <c r="J180" s="175"/>
      <c r="K180" s="175"/>
      <c r="L180" s="175"/>
      <c r="M180" s="176"/>
    </row>
    <row r="181" spans="1:13">
      <c r="A181" s="165"/>
      <c r="B181" s="175"/>
      <c r="C181" s="174"/>
      <c r="D181" s="175"/>
      <c r="E181" s="175"/>
      <c r="F181" s="175"/>
      <c r="G181" s="175"/>
      <c r="H181" s="175"/>
      <c r="I181" s="175"/>
      <c r="J181" s="175"/>
      <c r="K181" s="175"/>
      <c r="L181" s="175"/>
      <c r="M181" s="176"/>
    </row>
    <row r="182" spans="1:13">
      <c r="A182" s="165"/>
      <c r="B182" s="175"/>
      <c r="C182" s="174"/>
      <c r="D182" s="175"/>
      <c r="E182" s="175"/>
      <c r="F182" s="175"/>
      <c r="G182" s="175"/>
      <c r="H182" s="175"/>
      <c r="I182" s="175"/>
      <c r="J182" s="175"/>
      <c r="K182" s="175"/>
      <c r="L182" s="175"/>
      <c r="M182" s="176"/>
    </row>
    <row r="183" spans="1:13">
      <c r="A183" s="165"/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7"/>
    </row>
    <row r="184" spans="1:13">
      <c r="A184" s="165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7"/>
    </row>
    <row r="185" spans="1:13">
      <c r="A185" s="165"/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7"/>
    </row>
    <row r="186" spans="1:13">
      <c r="A186" s="165"/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7"/>
    </row>
    <row r="187" spans="1:13">
      <c r="A187" s="165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7"/>
    </row>
    <row r="188" spans="1:13">
      <c r="A188" s="165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7"/>
    </row>
    <row r="189" spans="1:13">
      <c r="A189" s="165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7"/>
    </row>
    <row r="190" spans="1:13">
      <c r="A190" s="165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7"/>
    </row>
    <row r="191" spans="1:13">
      <c r="A191" s="165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7"/>
    </row>
    <row r="192" spans="1:13">
      <c r="A192" s="165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7"/>
    </row>
    <row r="193" spans="1:13">
      <c r="A193" s="165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7"/>
    </row>
    <row r="194" spans="1:13">
      <c r="A194" s="165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7"/>
    </row>
    <row r="195" spans="1:13">
      <c r="A195" s="165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7"/>
    </row>
  </sheetData>
  <autoFilter ref="A1:M195"/>
  <mergeCells count="10">
    <mergeCell ref="A2:M2"/>
    <mergeCell ref="A5:A6"/>
    <mergeCell ref="B5:B6"/>
    <mergeCell ref="C5:C6"/>
    <mergeCell ref="D5:D6"/>
    <mergeCell ref="E5:F5"/>
    <mergeCell ref="G5:H5"/>
    <mergeCell ref="I5:J5"/>
    <mergeCell ref="K5:L5"/>
    <mergeCell ref="M5:M6"/>
  </mergeCells>
  <conditionalFormatting sqref="L81:L91 L117:L123">
    <cfRule type="cellIs" dxfId="1" priority="1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view="pageBreakPreview" topLeftCell="A82" zoomScaleNormal="60" zoomScaleSheetLayoutView="100" workbookViewId="0">
      <selection activeCell="C72" sqref="C72"/>
    </sheetView>
  </sheetViews>
  <sheetFormatPr defaultRowHeight="12.75"/>
  <cols>
    <col min="1" max="1" width="7" style="179" customWidth="1"/>
    <col min="2" max="2" width="13.5703125" style="179" customWidth="1"/>
    <col min="3" max="3" width="58.28515625" style="173" customWidth="1"/>
    <col min="4" max="12" width="9.42578125" style="173" customWidth="1"/>
    <col min="13" max="13" width="11.42578125" style="178" customWidth="1"/>
    <col min="14" max="14" width="20.7109375" style="165" customWidth="1"/>
    <col min="15" max="16384" width="9.140625" style="165"/>
  </cols>
  <sheetData>
    <row r="1" spans="1:13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67"/>
    </row>
    <row r="2" spans="1:13">
      <c r="A2" s="297" t="s">
        <v>309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>
      <c r="A3" s="138"/>
      <c r="B3" s="138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>
      <c r="A4" s="138"/>
      <c r="B4" s="138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166" customFormat="1" ht="25.5" customHeight="1">
      <c r="A5" s="296" t="s">
        <v>336</v>
      </c>
      <c r="B5" s="295" t="s">
        <v>337</v>
      </c>
      <c r="C5" s="295" t="s">
        <v>338</v>
      </c>
      <c r="D5" s="295" t="s">
        <v>339</v>
      </c>
      <c r="E5" s="296" t="s">
        <v>340</v>
      </c>
      <c r="F5" s="296"/>
      <c r="G5" s="295" t="s">
        <v>341</v>
      </c>
      <c r="H5" s="295"/>
      <c r="I5" s="295" t="s">
        <v>6</v>
      </c>
      <c r="J5" s="295"/>
      <c r="K5" s="296" t="s">
        <v>342</v>
      </c>
      <c r="L5" s="296"/>
      <c r="M5" s="296" t="s">
        <v>4</v>
      </c>
    </row>
    <row r="6" spans="1:13" s="166" customFormat="1">
      <c r="A6" s="296"/>
      <c r="B6" s="295"/>
      <c r="C6" s="295"/>
      <c r="D6" s="295"/>
      <c r="E6" s="137" t="s">
        <v>343</v>
      </c>
      <c r="F6" s="137" t="s">
        <v>243</v>
      </c>
      <c r="G6" s="137" t="s">
        <v>343</v>
      </c>
      <c r="H6" s="137" t="s">
        <v>243</v>
      </c>
      <c r="I6" s="137" t="s">
        <v>343</v>
      </c>
      <c r="J6" s="137" t="s">
        <v>243</v>
      </c>
      <c r="K6" s="137" t="s">
        <v>343</v>
      </c>
      <c r="L6" s="137" t="s">
        <v>243</v>
      </c>
      <c r="M6" s="296"/>
    </row>
    <row r="7" spans="1:13" s="166" customFormat="1">
      <c r="A7" s="137">
        <v>1</v>
      </c>
      <c r="B7" s="137">
        <v>2</v>
      </c>
      <c r="C7" s="136">
        <v>3</v>
      </c>
      <c r="D7" s="137">
        <v>4</v>
      </c>
      <c r="E7" s="137">
        <v>5</v>
      </c>
      <c r="F7" s="137">
        <v>6</v>
      </c>
      <c r="G7" s="137">
        <v>7</v>
      </c>
      <c r="H7" s="77">
        <v>8</v>
      </c>
      <c r="I7" s="137">
        <v>9</v>
      </c>
      <c r="J7" s="77">
        <v>10</v>
      </c>
      <c r="K7" s="137">
        <v>11</v>
      </c>
      <c r="L7" s="77">
        <v>12</v>
      </c>
      <c r="M7" s="77">
        <v>13</v>
      </c>
    </row>
    <row r="8" spans="1:13" s="166" customFormat="1">
      <c r="A8" s="134"/>
      <c r="B8" s="134"/>
      <c r="C8" s="134"/>
      <c r="D8" s="134"/>
      <c r="E8" s="47"/>
      <c r="F8" s="47"/>
      <c r="G8" s="47"/>
      <c r="H8" s="47"/>
      <c r="I8" s="47"/>
      <c r="J8" s="47"/>
      <c r="K8" s="47"/>
      <c r="L8" s="47"/>
      <c r="M8" s="47"/>
    </row>
    <row r="9" spans="1:13" s="166" customFormat="1">
      <c r="A9" s="134"/>
      <c r="B9" s="143"/>
      <c r="C9" s="93" t="s">
        <v>302</v>
      </c>
      <c r="D9" s="143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166" customFormat="1">
      <c r="A10" s="134"/>
      <c r="B10" s="143"/>
      <c r="C10" s="197"/>
      <c r="D10" s="143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>
      <c r="A11" s="143">
        <v>1.1000000000000001</v>
      </c>
      <c r="B11" s="195" t="s">
        <v>429</v>
      </c>
      <c r="C11" s="117" t="s">
        <v>292</v>
      </c>
      <c r="D11" s="203" t="s">
        <v>96</v>
      </c>
      <c r="E11" s="106"/>
      <c r="F11" s="119">
        <v>57</v>
      </c>
      <c r="G11" s="106"/>
      <c r="H11" s="106"/>
      <c r="I11" s="106"/>
      <c r="J11" s="104"/>
      <c r="K11" s="106"/>
      <c r="L11" s="106"/>
      <c r="M11" s="149"/>
    </row>
    <row r="12" spans="1:13">
      <c r="A12" s="143"/>
      <c r="B12" s="195" t="s">
        <v>430</v>
      </c>
      <c r="C12" s="117"/>
      <c r="D12" s="203" t="s">
        <v>92</v>
      </c>
      <c r="E12" s="106"/>
      <c r="F12" s="159">
        <v>0.56999999999999995</v>
      </c>
      <c r="G12" s="106"/>
      <c r="H12" s="106"/>
      <c r="I12" s="106"/>
      <c r="J12" s="104"/>
      <c r="K12" s="106"/>
      <c r="L12" s="106"/>
      <c r="M12" s="149"/>
    </row>
    <row r="13" spans="1:13">
      <c r="A13" s="143" t="s">
        <v>0</v>
      </c>
      <c r="B13" s="195" t="s">
        <v>431</v>
      </c>
      <c r="C13" s="199" t="s">
        <v>15</v>
      </c>
      <c r="D13" s="143" t="s">
        <v>1</v>
      </c>
      <c r="E13" s="157">
        <f>0.6*65.5</f>
        <v>39.299999999999997</v>
      </c>
      <c r="F13" s="119">
        <f>F12*E13</f>
        <v>22.400999999999996</v>
      </c>
      <c r="G13" s="106"/>
      <c r="H13" s="106"/>
      <c r="I13" s="106"/>
      <c r="J13" s="149"/>
      <c r="K13" s="106"/>
      <c r="L13" s="106"/>
      <c r="M13" s="104"/>
    </row>
    <row r="14" spans="1:13">
      <c r="A14" s="143" t="s">
        <v>186</v>
      </c>
      <c r="B14" s="200" t="s">
        <v>425</v>
      </c>
      <c r="C14" s="117" t="s">
        <v>293</v>
      </c>
      <c r="D14" s="143" t="s">
        <v>24</v>
      </c>
      <c r="E14" s="106">
        <f>0.7*4.29</f>
        <v>3.0029999999999997</v>
      </c>
      <c r="F14" s="119">
        <f>F12*E14</f>
        <v>1.7117099999999996</v>
      </c>
      <c r="G14" s="106"/>
      <c r="H14" s="106"/>
      <c r="I14" s="106"/>
      <c r="J14" s="104"/>
      <c r="K14" s="106"/>
      <c r="L14" s="149"/>
      <c r="M14" s="104"/>
    </row>
    <row r="15" spans="1:13">
      <c r="A15" s="143" t="s">
        <v>187</v>
      </c>
      <c r="B15" s="195" t="s">
        <v>428</v>
      </c>
      <c r="C15" s="145" t="s">
        <v>13</v>
      </c>
      <c r="D15" s="143" t="s">
        <v>25</v>
      </c>
      <c r="E15" s="106">
        <f>0.7*0.44</f>
        <v>0.308</v>
      </c>
      <c r="F15" s="119">
        <f>F12*E15</f>
        <v>0.17555999999999999</v>
      </c>
      <c r="G15" s="106"/>
      <c r="H15" s="106"/>
      <c r="I15" s="106"/>
      <c r="J15" s="104"/>
      <c r="K15" s="106"/>
      <c r="L15" s="149"/>
      <c r="M15" s="104"/>
    </row>
    <row r="16" spans="1:13">
      <c r="A16" s="143" t="s">
        <v>192</v>
      </c>
      <c r="B16" s="195" t="s">
        <v>432</v>
      </c>
      <c r="C16" s="199" t="s">
        <v>14</v>
      </c>
      <c r="D16" s="143" t="s">
        <v>25</v>
      </c>
      <c r="E16" s="157">
        <f>0.5*41.3</f>
        <v>20.65</v>
      </c>
      <c r="F16" s="119">
        <f>F12*E16</f>
        <v>11.770499999999998</v>
      </c>
      <c r="G16" s="106"/>
      <c r="H16" s="149"/>
      <c r="I16" s="106"/>
      <c r="J16" s="104"/>
      <c r="K16" s="106"/>
      <c r="L16" s="106"/>
      <c r="M16" s="104"/>
    </row>
    <row r="17" spans="1:13">
      <c r="A17" s="143"/>
      <c r="B17" s="195"/>
      <c r="C17" s="199"/>
      <c r="D17" s="143"/>
      <c r="E17" s="106"/>
      <c r="F17" s="119"/>
      <c r="G17" s="106"/>
      <c r="H17" s="149"/>
      <c r="I17" s="106"/>
      <c r="J17" s="104"/>
      <c r="K17" s="106"/>
      <c r="L17" s="106"/>
      <c r="M17" s="104"/>
    </row>
    <row r="18" spans="1:13" ht="25.5">
      <c r="A18" s="143">
        <v>1.2</v>
      </c>
      <c r="B18" s="140" t="s">
        <v>79</v>
      </c>
      <c r="C18" s="153" t="s">
        <v>78</v>
      </c>
      <c r="D18" s="198" t="s">
        <v>349</v>
      </c>
      <c r="E18" s="149"/>
      <c r="F18" s="149">
        <v>79.8</v>
      </c>
      <c r="G18" s="149"/>
      <c r="H18" s="149"/>
      <c r="I18" s="149"/>
      <c r="J18" s="149"/>
      <c r="K18" s="149"/>
      <c r="L18" s="149"/>
      <c r="M18" s="104"/>
    </row>
    <row r="19" spans="1:13">
      <c r="A19" s="143"/>
      <c r="B19" s="140"/>
      <c r="C19" s="153"/>
      <c r="D19" s="198" t="s">
        <v>350</v>
      </c>
      <c r="E19" s="149"/>
      <c r="F19" s="188">
        <f>F18/1000</f>
        <v>7.9799999999999996E-2</v>
      </c>
      <c r="G19" s="149"/>
      <c r="H19" s="149"/>
      <c r="I19" s="149"/>
      <c r="J19" s="149"/>
      <c r="K19" s="149"/>
      <c r="L19" s="149"/>
      <c r="M19" s="104"/>
    </row>
    <row r="20" spans="1:13">
      <c r="A20" s="143" t="s">
        <v>21</v>
      </c>
      <c r="B20" s="140"/>
      <c r="C20" s="199" t="s">
        <v>15</v>
      </c>
      <c r="D20" s="143" t="s">
        <v>1</v>
      </c>
      <c r="E20" s="149">
        <v>20</v>
      </c>
      <c r="F20" s="149">
        <f>E20*F19</f>
        <v>1.5959999999999999</v>
      </c>
      <c r="G20" s="149"/>
      <c r="H20" s="149"/>
      <c r="I20" s="106"/>
      <c r="J20" s="149"/>
      <c r="K20" s="149"/>
      <c r="L20" s="149"/>
      <c r="M20" s="104"/>
    </row>
    <row r="21" spans="1:13">
      <c r="A21" s="143" t="s">
        <v>35</v>
      </c>
      <c r="B21" s="81" t="s">
        <v>357</v>
      </c>
      <c r="C21" s="79" t="s">
        <v>356</v>
      </c>
      <c r="D21" s="143" t="s">
        <v>24</v>
      </c>
      <c r="E21" s="149">
        <v>44.8</v>
      </c>
      <c r="F21" s="149">
        <f>E21*F19</f>
        <v>3.5750399999999996</v>
      </c>
      <c r="G21" s="149"/>
      <c r="H21" s="149"/>
      <c r="I21" s="149"/>
      <c r="J21" s="149"/>
      <c r="K21" s="149"/>
      <c r="L21" s="149"/>
      <c r="M21" s="104"/>
    </row>
    <row r="22" spans="1:13">
      <c r="A22" s="143" t="s">
        <v>36</v>
      </c>
      <c r="B22" s="140"/>
      <c r="C22" s="145" t="s">
        <v>13</v>
      </c>
      <c r="D22" s="143" t="s">
        <v>25</v>
      </c>
      <c r="E22" s="149">
        <v>2.1</v>
      </c>
      <c r="F22" s="149">
        <f>E22*F19</f>
        <v>0.16758000000000001</v>
      </c>
      <c r="G22" s="149"/>
      <c r="H22" s="149"/>
      <c r="I22" s="149"/>
      <c r="J22" s="149"/>
      <c r="K22" s="106"/>
      <c r="L22" s="149"/>
      <c r="M22" s="104"/>
    </row>
    <row r="23" spans="1:13">
      <c r="A23" s="143" t="s">
        <v>37</v>
      </c>
      <c r="B23" s="81" t="s">
        <v>353</v>
      </c>
      <c r="C23" s="82" t="s">
        <v>352</v>
      </c>
      <c r="D23" s="198" t="s">
        <v>349</v>
      </c>
      <c r="E23" s="149">
        <v>0.05</v>
      </c>
      <c r="F23" s="149">
        <f>E23*F19</f>
        <v>3.9899999999999996E-3</v>
      </c>
      <c r="G23" s="152"/>
      <c r="H23" s="149"/>
      <c r="I23" s="149"/>
      <c r="J23" s="149"/>
      <c r="K23" s="149"/>
      <c r="L23" s="149"/>
      <c r="M23" s="104"/>
    </row>
    <row r="24" spans="1:13">
      <c r="A24" s="143"/>
      <c r="B24" s="140"/>
      <c r="C24" s="153"/>
      <c r="D24" s="198"/>
      <c r="E24" s="149"/>
      <c r="F24" s="149"/>
      <c r="G24" s="149"/>
      <c r="H24" s="149"/>
      <c r="I24" s="149"/>
      <c r="J24" s="149"/>
      <c r="K24" s="149"/>
      <c r="L24" s="149"/>
      <c r="M24" s="104"/>
    </row>
    <row r="25" spans="1:13" ht="12.75" customHeight="1">
      <c r="A25" s="143">
        <v>1.3</v>
      </c>
      <c r="B25" s="196" t="s">
        <v>433</v>
      </c>
      <c r="C25" s="153" t="s">
        <v>295</v>
      </c>
      <c r="D25" s="198" t="s">
        <v>349</v>
      </c>
      <c r="E25" s="149"/>
      <c r="F25" s="149">
        <v>2</v>
      </c>
      <c r="G25" s="149"/>
      <c r="H25" s="149"/>
      <c r="I25" s="149"/>
      <c r="J25" s="149"/>
      <c r="K25" s="149"/>
      <c r="L25" s="149"/>
      <c r="M25" s="104"/>
    </row>
    <row r="26" spans="1:13" ht="12.75" customHeight="1">
      <c r="A26" s="143"/>
      <c r="B26" s="266" t="s">
        <v>495</v>
      </c>
      <c r="C26" s="153"/>
      <c r="D26" s="198" t="s">
        <v>362</v>
      </c>
      <c r="E26" s="149"/>
      <c r="F26" s="188">
        <f>F25/100</f>
        <v>0.02</v>
      </c>
      <c r="G26" s="149"/>
      <c r="H26" s="149"/>
      <c r="I26" s="149"/>
      <c r="J26" s="149"/>
      <c r="K26" s="149"/>
      <c r="L26" s="149"/>
      <c r="M26" s="104"/>
    </row>
    <row r="27" spans="1:13">
      <c r="A27" s="143" t="s">
        <v>30</v>
      </c>
      <c r="B27" s="196" t="s">
        <v>434</v>
      </c>
      <c r="C27" s="199" t="s">
        <v>15</v>
      </c>
      <c r="D27" s="143" t="s">
        <v>1</v>
      </c>
      <c r="E27" s="149">
        <f>206*1.2</f>
        <v>247.2</v>
      </c>
      <c r="F27" s="149">
        <f>E27*F26</f>
        <v>4.944</v>
      </c>
      <c r="G27" s="149"/>
      <c r="H27" s="149"/>
      <c r="I27" s="106"/>
      <c r="J27" s="149"/>
      <c r="K27" s="149"/>
      <c r="L27" s="149"/>
      <c r="M27" s="104"/>
    </row>
    <row r="28" spans="1:13">
      <c r="A28" s="143"/>
      <c r="B28" s="140"/>
      <c r="C28" s="199"/>
      <c r="D28" s="143"/>
      <c r="E28" s="149"/>
      <c r="F28" s="149"/>
      <c r="G28" s="149"/>
      <c r="H28" s="149"/>
      <c r="I28" s="106"/>
      <c r="J28" s="149"/>
      <c r="K28" s="149"/>
      <c r="L28" s="149"/>
      <c r="M28" s="104"/>
    </row>
    <row r="29" spans="1:13">
      <c r="A29" s="143">
        <v>1.4</v>
      </c>
      <c r="B29" s="123" t="s">
        <v>366</v>
      </c>
      <c r="C29" s="102" t="s">
        <v>93</v>
      </c>
      <c r="D29" s="99" t="s">
        <v>23</v>
      </c>
      <c r="E29" s="120">
        <v>1.95</v>
      </c>
      <c r="F29" s="120">
        <f>E29*F25</f>
        <v>3.9</v>
      </c>
      <c r="G29" s="120"/>
      <c r="H29" s="120"/>
      <c r="I29" s="120"/>
      <c r="J29" s="120"/>
      <c r="K29" s="120"/>
      <c r="L29" s="120"/>
      <c r="M29" s="120"/>
    </row>
    <row r="30" spans="1:13">
      <c r="A30" s="143" t="s">
        <v>22</v>
      </c>
      <c r="B30" s="124" t="s">
        <v>367</v>
      </c>
      <c r="C30" s="102" t="s">
        <v>15</v>
      </c>
      <c r="D30" s="99" t="s">
        <v>1</v>
      </c>
      <c r="E30" s="120">
        <v>0.53</v>
      </c>
      <c r="F30" s="120">
        <f>E30*F29</f>
        <v>2.0670000000000002</v>
      </c>
      <c r="G30" s="120"/>
      <c r="H30" s="120"/>
      <c r="I30" s="120"/>
      <c r="J30" s="120"/>
      <c r="K30" s="120"/>
      <c r="L30" s="120"/>
      <c r="M30" s="120"/>
    </row>
    <row r="31" spans="1:13">
      <c r="A31" s="143"/>
      <c r="B31" s="140"/>
      <c r="C31" s="199"/>
      <c r="D31" s="143"/>
      <c r="E31" s="149"/>
      <c r="F31" s="149"/>
      <c r="G31" s="149"/>
      <c r="H31" s="149"/>
      <c r="I31" s="106"/>
      <c r="J31" s="149"/>
      <c r="K31" s="149"/>
      <c r="L31" s="149"/>
      <c r="M31" s="104"/>
    </row>
    <row r="32" spans="1:13">
      <c r="A32" s="143">
        <v>1.5</v>
      </c>
      <c r="B32" s="201" t="s">
        <v>348</v>
      </c>
      <c r="C32" s="153" t="s">
        <v>31</v>
      </c>
      <c r="D32" s="143" t="s">
        <v>23</v>
      </c>
      <c r="E32" s="120">
        <v>1.95</v>
      </c>
      <c r="F32" s="126">
        <f>E32*(F18+F25)</f>
        <v>159.51</v>
      </c>
      <c r="G32" s="149"/>
      <c r="H32" s="149"/>
      <c r="I32" s="149"/>
      <c r="J32" s="149"/>
      <c r="K32" s="152"/>
      <c r="L32" s="149"/>
      <c r="M32" s="104"/>
    </row>
    <row r="33" spans="1:13">
      <c r="A33" s="143"/>
      <c r="B33" s="140"/>
      <c r="C33" s="153"/>
      <c r="D33" s="143"/>
      <c r="E33" s="149"/>
      <c r="F33" s="149"/>
      <c r="G33" s="149"/>
      <c r="H33" s="149"/>
      <c r="I33" s="149"/>
      <c r="J33" s="149"/>
      <c r="K33" s="149"/>
      <c r="L33" s="149"/>
      <c r="M33" s="104"/>
    </row>
    <row r="34" spans="1:13">
      <c r="A34" s="143">
        <v>1.6</v>
      </c>
      <c r="B34" s="140" t="s">
        <v>81</v>
      </c>
      <c r="C34" s="153" t="s">
        <v>80</v>
      </c>
      <c r="D34" s="198" t="s">
        <v>349</v>
      </c>
      <c r="E34" s="149"/>
      <c r="F34" s="149">
        <f>F18+F25</f>
        <v>81.8</v>
      </c>
      <c r="G34" s="149"/>
      <c r="H34" s="149"/>
      <c r="I34" s="149"/>
      <c r="J34" s="149"/>
      <c r="K34" s="149"/>
      <c r="L34" s="149"/>
      <c r="M34" s="104"/>
    </row>
    <row r="35" spans="1:13">
      <c r="A35" s="143"/>
      <c r="B35" s="57"/>
      <c r="C35" s="89"/>
      <c r="D35" s="40" t="s">
        <v>350</v>
      </c>
      <c r="E35" s="46"/>
      <c r="F35" s="80">
        <f>F34/1000</f>
        <v>8.1799999999999998E-2</v>
      </c>
      <c r="G35" s="46"/>
      <c r="H35" s="46"/>
      <c r="I35" s="46"/>
      <c r="J35" s="46"/>
      <c r="K35" s="46"/>
      <c r="L35" s="46"/>
      <c r="M35" s="46"/>
    </row>
    <row r="36" spans="1:13">
      <c r="A36" s="143" t="s">
        <v>57</v>
      </c>
      <c r="B36" s="57"/>
      <c r="C36" s="89" t="s">
        <v>15</v>
      </c>
      <c r="D36" s="40" t="s">
        <v>1</v>
      </c>
      <c r="E36" s="46">
        <v>3.23</v>
      </c>
      <c r="F36" s="46">
        <f>E36*F35</f>
        <v>0.264214</v>
      </c>
      <c r="G36" s="46"/>
      <c r="H36" s="46"/>
      <c r="I36" s="46"/>
      <c r="J36" s="46"/>
      <c r="K36" s="46"/>
      <c r="L36" s="46"/>
      <c r="M36" s="46"/>
    </row>
    <row r="37" spans="1:13">
      <c r="A37" s="143" t="s">
        <v>58</v>
      </c>
      <c r="B37" s="81" t="s">
        <v>358</v>
      </c>
      <c r="C37" s="89" t="s">
        <v>82</v>
      </c>
      <c r="D37" s="40" t="s">
        <v>24</v>
      </c>
      <c r="E37" s="46">
        <v>3.62</v>
      </c>
      <c r="F37" s="46">
        <f>E37*F35</f>
        <v>0.29611599999999999</v>
      </c>
      <c r="G37" s="46"/>
      <c r="H37" s="46"/>
      <c r="I37" s="46"/>
      <c r="J37" s="46"/>
      <c r="K37" s="84"/>
      <c r="L37" s="46"/>
      <c r="M37" s="46"/>
    </row>
    <row r="38" spans="1:13">
      <c r="A38" s="143" t="s">
        <v>199</v>
      </c>
      <c r="B38" s="57"/>
      <c r="C38" s="89" t="s">
        <v>13</v>
      </c>
      <c r="D38" s="40" t="s">
        <v>25</v>
      </c>
      <c r="E38" s="46">
        <v>0.18</v>
      </c>
      <c r="F38" s="46">
        <f>E38*F35</f>
        <v>1.4723999999999999E-2</v>
      </c>
      <c r="G38" s="46"/>
      <c r="H38" s="46"/>
      <c r="I38" s="46"/>
      <c r="J38" s="46"/>
      <c r="K38" s="46"/>
      <c r="L38" s="46"/>
      <c r="M38" s="46"/>
    </row>
    <row r="39" spans="1:13">
      <c r="A39" s="143" t="s">
        <v>200</v>
      </c>
      <c r="B39" s="81" t="s">
        <v>353</v>
      </c>
      <c r="C39" s="82" t="s">
        <v>352</v>
      </c>
      <c r="D39" s="40" t="s">
        <v>349</v>
      </c>
      <c r="E39" s="46">
        <v>0.04</v>
      </c>
      <c r="F39" s="46">
        <f>E39*F35</f>
        <v>3.2720000000000002E-3</v>
      </c>
      <c r="G39" s="84"/>
      <c r="H39" s="46"/>
      <c r="I39" s="46"/>
      <c r="J39" s="46"/>
      <c r="K39" s="46"/>
      <c r="L39" s="46"/>
      <c r="M39" s="46"/>
    </row>
    <row r="40" spans="1:13">
      <c r="A40" s="143"/>
      <c r="B40" s="140"/>
      <c r="C40" s="153"/>
      <c r="D40" s="198"/>
      <c r="E40" s="149"/>
      <c r="F40" s="149"/>
      <c r="G40" s="149"/>
      <c r="H40" s="149"/>
      <c r="I40" s="149"/>
      <c r="J40" s="149"/>
      <c r="K40" s="149"/>
      <c r="L40" s="149"/>
      <c r="M40" s="104"/>
    </row>
    <row r="41" spans="1:13">
      <c r="A41" s="143">
        <v>1.7</v>
      </c>
      <c r="B41" s="127" t="s">
        <v>371</v>
      </c>
      <c r="C41" s="162" t="s">
        <v>236</v>
      </c>
      <c r="D41" s="143" t="s">
        <v>349</v>
      </c>
      <c r="E41" s="149"/>
      <c r="F41" s="149">
        <v>11</v>
      </c>
      <c r="G41" s="149"/>
      <c r="H41" s="149"/>
      <c r="I41" s="149"/>
      <c r="J41" s="149"/>
      <c r="K41" s="149"/>
      <c r="L41" s="149"/>
      <c r="M41" s="149"/>
    </row>
    <row r="42" spans="1:13">
      <c r="A42" s="143"/>
      <c r="B42" s="129"/>
      <c r="C42" s="130"/>
      <c r="D42" s="99" t="s">
        <v>372</v>
      </c>
      <c r="E42" s="120"/>
      <c r="F42" s="120">
        <f>F41</f>
        <v>11</v>
      </c>
      <c r="G42" s="120"/>
      <c r="H42" s="120"/>
      <c r="I42" s="120"/>
      <c r="J42" s="120"/>
      <c r="K42" s="120"/>
      <c r="L42" s="120"/>
      <c r="M42" s="120"/>
    </row>
    <row r="43" spans="1:13">
      <c r="A43" s="143" t="s">
        <v>59</v>
      </c>
      <c r="B43" s="109"/>
      <c r="C43" s="102" t="s">
        <v>15</v>
      </c>
      <c r="D43" s="99" t="s">
        <v>1</v>
      </c>
      <c r="E43" s="126">
        <v>0.89</v>
      </c>
      <c r="F43" s="120">
        <f>E43*F42</f>
        <v>9.7900000000000009</v>
      </c>
      <c r="G43" s="120"/>
      <c r="H43" s="120"/>
      <c r="I43" s="126"/>
      <c r="J43" s="120"/>
      <c r="K43" s="120"/>
      <c r="L43" s="120"/>
      <c r="M43" s="120"/>
    </row>
    <row r="44" spans="1:13">
      <c r="A44" s="143" t="s">
        <v>60</v>
      </c>
      <c r="B44" s="127" t="s">
        <v>373</v>
      </c>
      <c r="C44" s="102" t="s">
        <v>94</v>
      </c>
      <c r="D44" s="99" t="s">
        <v>349</v>
      </c>
      <c r="E44" s="126">
        <v>1.1499999999999999</v>
      </c>
      <c r="F44" s="120">
        <f>E44*F42</f>
        <v>12.649999999999999</v>
      </c>
      <c r="G44" s="120"/>
      <c r="H44" s="120"/>
      <c r="I44" s="120"/>
      <c r="J44" s="120"/>
      <c r="K44" s="120"/>
      <c r="L44" s="120"/>
      <c r="M44" s="120"/>
    </row>
    <row r="45" spans="1:13">
      <c r="A45" s="143"/>
      <c r="B45" s="81"/>
      <c r="C45" s="131" t="s">
        <v>13</v>
      </c>
      <c r="D45" s="83" t="s">
        <v>25</v>
      </c>
      <c r="E45" s="84">
        <v>0.37</v>
      </c>
      <c r="F45" s="84">
        <f>E45*F42</f>
        <v>4.07</v>
      </c>
      <c r="G45" s="84"/>
      <c r="H45" s="84"/>
      <c r="I45" s="84"/>
      <c r="J45" s="84"/>
      <c r="K45" s="84"/>
      <c r="L45" s="84"/>
      <c r="M45" s="84"/>
    </row>
    <row r="46" spans="1:13">
      <c r="A46" s="143"/>
      <c r="B46" s="132"/>
      <c r="C46" s="133" t="s">
        <v>14</v>
      </c>
      <c r="D46" s="118" t="s">
        <v>25</v>
      </c>
      <c r="E46" s="126">
        <v>0.02</v>
      </c>
      <c r="F46" s="126">
        <f>E46*F42</f>
        <v>0.22</v>
      </c>
      <c r="G46" s="126"/>
      <c r="H46" s="126"/>
      <c r="I46" s="126"/>
      <c r="J46" s="126"/>
      <c r="K46" s="126"/>
      <c r="L46" s="126"/>
      <c r="M46" s="126"/>
    </row>
    <row r="47" spans="1:13">
      <c r="A47" s="143"/>
      <c r="B47" s="140"/>
      <c r="C47" s="153"/>
      <c r="D47" s="198"/>
      <c r="E47" s="149"/>
      <c r="F47" s="149"/>
      <c r="G47" s="149"/>
      <c r="H47" s="149"/>
      <c r="I47" s="149"/>
      <c r="J47" s="149"/>
      <c r="K47" s="149"/>
      <c r="L47" s="149"/>
      <c r="M47" s="104"/>
    </row>
    <row r="48" spans="1:13">
      <c r="A48" s="143">
        <v>1.8</v>
      </c>
      <c r="B48" s="196" t="s">
        <v>374</v>
      </c>
      <c r="C48" s="153" t="s">
        <v>237</v>
      </c>
      <c r="D48" s="198" t="s">
        <v>349</v>
      </c>
      <c r="E48" s="149"/>
      <c r="F48" s="149">
        <v>6</v>
      </c>
      <c r="G48" s="149"/>
      <c r="H48" s="149"/>
      <c r="I48" s="149"/>
      <c r="J48" s="149"/>
      <c r="K48" s="149"/>
      <c r="L48" s="149"/>
      <c r="M48" s="104"/>
    </row>
    <row r="49" spans="1:13">
      <c r="A49" s="143"/>
      <c r="B49" s="196"/>
      <c r="C49" s="153"/>
      <c r="D49" s="198" t="s">
        <v>362</v>
      </c>
      <c r="E49" s="149"/>
      <c r="F49" s="188">
        <f>F48/100</f>
        <v>0.06</v>
      </c>
      <c r="G49" s="149"/>
      <c r="H49" s="149"/>
      <c r="I49" s="149"/>
      <c r="J49" s="149"/>
      <c r="K49" s="149"/>
      <c r="L49" s="149"/>
      <c r="M49" s="104"/>
    </row>
    <row r="50" spans="1:13">
      <c r="A50" s="143" t="s">
        <v>61</v>
      </c>
      <c r="B50" s="140"/>
      <c r="C50" s="199" t="s">
        <v>15</v>
      </c>
      <c r="D50" s="143" t="s">
        <v>1</v>
      </c>
      <c r="E50" s="149">
        <v>137</v>
      </c>
      <c r="F50" s="149">
        <f>E50*F49</f>
        <v>8.2199999999999989</v>
      </c>
      <c r="G50" s="149"/>
      <c r="H50" s="149"/>
      <c r="I50" s="106"/>
      <c r="J50" s="149"/>
      <c r="K50" s="149"/>
      <c r="L50" s="149"/>
      <c r="M50" s="104"/>
    </row>
    <row r="51" spans="1:13">
      <c r="A51" s="143" t="s">
        <v>62</v>
      </c>
      <c r="B51" s="140"/>
      <c r="C51" s="145" t="s">
        <v>13</v>
      </c>
      <c r="D51" s="143" t="s">
        <v>25</v>
      </c>
      <c r="E51" s="149">
        <v>28.3</v>
      </c>
      <c r="F51" s="149">
        <f>E51*F49</f>
        <v>1.698</v>
      </c>
      <c r="G51" s="149"/>
      <c r="H51" s="149"/>
      <c r="I51" s="149"/>
      <c r="J51" s="149"/>
      <c r="K51" s="106"/>
      <c r="L51" s="149"/>
      <c r="M51" s="104"/>
    </row>
    <row r="52" spans="1:13">
      <c r="A52" s="143" t="s">
        <v>203</v>
      </c>
      <c r="B52" s="201" t="s">
        <v>436</v>
      </c>
      <c r="C52" s="202" t="s">
        <v>435</v>
      </c>
      <c r="D52" s="198" t="s">
        <v>349</v>
      </c>
      <c r="E52" s="152">
        <v>102</v>
      </c>
      <c r="F52" s="149">
        <f>E52*F49</f>
        <v>6.12</v>
      </c>
      <c r="G52" s="149"/>
      <c r="H52" s="149"/>
      <c r="I52" s="149"/>
      <c r="J52" s="149"/>
      <c r="K52" s="149"/>
      <c r="L52" s="149"/>
      <c r="M52" s="104"/>
    </row>
    <row r="53" spans="1:13">
      <c r="A53" s="143" t="s">
        <v>204</v>
      </c>
      <c r="B53" s="140"/>
      <c r="C53" s="145" t="s">
        <v>14</v>
      </c>
      <c r="D53" s="143" t="s">
        <v>25</v>
      </c>
      <c r="E53" s="149">
        <v>62</v>
      </c>
      <c r="F53" s="149">
        <f>E53*F49</f>
        <v>3.7199999999999998</v>
      </c>
      <c r="G53" s="106"/>
      <c r="H53" s="149"/>
      <c r="I53" s="106"/>
      <c r="J53" s="104"/>
      <c r="K53" s="106"/>
      <c r="L53" s="106"/>
      <c r="M53" s="104"/>
    </row>
    <row r="54" spans="1:13">
      <c r="A54" s="143"/>
      <c r="B54" s="140"/>
      <c r="C54" s="145"/>
      <c r="D54" s="143"/>
      <c r="E54" s="149"/>
      <c r="F54" s="149"/>
      <c r="G54" s="106"/>
      <c r="H54" s="149"/>
      <c r="I54" s="106"/>
      <c r="J54" s="104"/>
      <c r="K54" s="106"/>
      <c r="L54" s="106"/>
      <c r="M54" s="104"/>
    </row>
    <row r="55" spans="1:13">
      <c r="A55" s="143">
        <v>1.9</v>
      </c>
      <c r="B55" s="132" t="s">
        <v>386</v>
      </c>
      <c r="C55" s="102" t="s">
        <v>391</v>
      </c>
      <c r="D55" s="198" t="s">
        <v>349</v>
      </c>
      <c r="E55" s="149"/>
      <c r="F55" s="149">
        <v>43</v>
      </c>
      <c r="G55" s="149"/>
      <c r="H55" s="149"/>
      <c r="I55" s="149"/>
      <c r="J55" s="149"/>
      <c r="K55" s="149"/>
      <c r="L55" s="149"/>
      <c r="M55" s="104"/>
    </row>
    <row r="56" spans="1:13">
      <c r="A56" s="143"/>
      <c r="B56" s="116"/>
      <c r="C56" s="102"/>
      <c r="D56" s="99" t="s">
        <v>362</v>
      </c>
      <c r="E56" s="120"/>
      <c r="F56" s="125">
        <f>F55/100</f>
        <v>0.43</v>
      </c>
      <c r="G56" s="120"/>
      <c r="H56" s="120"/>
      <c r="I56" s="120"/>
      <c r="J56" s="120"/>
      <c r="K56" s="120"/>
      <c r="L56" s="120"/>
      <c r="M56" s="120"/>
    </row>
    <row r="57" spans="1:13">
      <c r="A57" s="143" t="s">
        <v>65</v>
      </c>
      <c r="B57" s="116"/>
      <c r="C57" s="102" t="s">
        <v>40</v>
      </c>
      <c r="D57" s="99" t="s">
        <v>1</v>
      </c>
      <c r="E57" s="126">
        <v>599</v>
      </c>
      <c r="F57" s="120">
        <f>E57*F56</f>
        <v>257.57</v>
      </c>
      <c r="G57" s="120"/>
      <c r="H57" s="120"/>
      <c r="I57" s="120"/>
      <c r="J57" s="120"/>
      <c r="K57" s="120"/>
      <c r="L57" s="120"/>
      <c r="M57" s="120"/>
    </row>
    <row r="58" spans="1:13">
      <c r="A58" s="143" t="s">
        <v>209</v>
      </c>
      <c r="B58" s="116"/>
      <c r="C58" s="133" t="s">
        <v>385</v>
      </c>
      <c r="D58" s="99" t="s">
        <v>25</v>
      </c>
      <c r="E58" s="126">
        <v>109</v>
      </c>
      <c r="F58" s="120">
        <f>E58*F56</f>
        <v>46.87</v>
      </c>
      <c r="G58" s="120"/>
      <c r="H58" s="120"/>
      <c r="I58" s="120"/>
      <c r="J58" s="120"/>
      <c r="K58" s="120"/>
      <c r="L58" s="120"/>
      <c r="M58" s="120"/>
    </row>
    <row r="59" spans="1:13">
      <c r="A59" s="143" t="s">
        <v>210</v>
      </c>
      <c r="B59" s="132" t="s">
        <v>380</v>
      </c>
      <c r="C59" s="102" t="s">
        <v>172</v>
      </c>
      <c r="D59" s="99" t="s">
        <v>349</v>
      </c>
      <c r="E59" s="126">
        <v>101.5</v>
      </c>
      <c r="F59" s="120">
        <f>E59*F56</f>
        <v>43.644999999999996</v>
      </c>
      <c r="G59" s="126"/>
      <c r="H59" s="120"/>
      <c r="I59" s="120"/>
      <c r="J59" s="120"/>
      <c r="K59" s="120"/>
      <c r="L59" s="120"/>
      <c r="M59" s="120"/>
    </row>
    <row r="60" spans="1:13">
      <c r="A60" s="143" t="s">
        <v>250</v>
      </c>
      <c r="B60" s="132" t="s">
        <v>379</v>
      </c>
      <c r="C60" s="102" t="s">
        <v>124</v>
      </c>
      <c r="D60" s="99" t="s">
        <v>23</v>
      </c>
      <c r="E60" s="104" t="s">
        <v>89</v>
      </c>
      <c r="F60" s="125">
        <v>2.7930000000000001</v>
      </c>
      <c r="G60" s="126"/>
      <c r="H60" s="120"/>
      <c r="I60" s="120"/>
      <c r="J60" s="120"/>
      <c r="K60" s="104"/>
      <c r="L60" s="120"/>
      <c r="M60" s="120"/>
    </row>
    <row r="61" spans="1:13">
      <c r="A61" s="143" t="s">
        <v>278</v>
      </c>
      <c r="B61" s="132" t="s">
        <v>378</v>
      </c>
      <c r="C61" s="133" t="s">
        <v>377</v>
      </c>
      <c r="D61" s="118" t="s">
        <v>359</v>
      </c>
      <c r="E61" s="126">
        <v>118</v>
      </c>
      <c r="F61" s="126">
        <f>E61*F56</f>
        <v>50.74</v>
      </c>
      <c r="G61" s="126"/>
      <c r="H61" s="126"/>
      <c r="I61" s="126"/>
      <c r="J61" s="126"/>
      <c r="K61" s="126"/>
      <c r="L61" s="126"/>
      <c r="M61" s="126"/>
    </row>
    <row r="62" spans="1:13">
      <c r="A62" s="143" t="s">
        <v>279</v>
      </c>
      <c r="B62" s="132" t="s">
        <v>382</v>
      </c>
      <c r="C62" s="102" t="s">
        <v>381</v>
      </c>
      <c r="D62" s="99" t="s">
        <v>349</v>
      </c>
      <c r="E62" s="126">
        <f>0.21+2.78</f>
        <v>2.9899999999999998</v>
      </c>
      <c r="F62" s="120">
        <f>E62*F56</f>
        <v>1.2856999999999998</v>
      </c>
      <c r="G62" s="126"/>
      <c r="H62" s="120"/>
      <c r="I62" s="120"/>
      <c r="J62" s="120"/>
      <c r="K62" s="120"/>
      <c r="L62" s="120"/>
      <c r="M62" s="120"/>
    </row>
    <row r="63" spans="1:13">
      <c r="A63" s="143" t="s">
        <v>413</v>
      </c>
      <c r="B63" s="132" t="s">
        <v>387</v>
      </c>
      <c r="C63" s="133" t="s">
        <v>389</v>
      </c>
      <c r="D63" s="118" t="s">
        <v>327</v>
      </c>
      <c r="E63" s="126">
        <v>110</v>
      </c>
      <c r="F63" s="126">
        <f>E63*F56</f>
        <v>47.3</v>
      </c>
      <c r="G63" s="126"/>
      <c r="H63" s="126"/>
      <c r="I63" s="126"/>
      <c r="J63" s="126"/>
      <c r="K63" s="126"/>
      <c r="L63" s="126"/>
      <c r="M63" s="126"/>
    </row>
    <row r="64" spans="1:13">
      <c r="A64" s="143" t="s">
        <v>414</v>
      </c>
      <c r="B64" s="132" t="s">
        <v>388</v>
      </c>
      <c r="C64" s="133" t="s">
        <v>390</v>
      </c>
      <c r="D64" s="118" t="s">
        <v>327</v>
      </c>
      <c r="E64" s="126">
        <v>140</v>
      </c>
      <c r="F64" s="126">
        <f>E64*F56</f>
        <v>60.199999999999996</v>
      </c>
      <c r="G64" s="126"/>
      <c r="H64" s="126"/>
      <c r="I64" s="126"/>
      <c r="J64" s="126"/>
      <c r="K64" s="126"/>
      <c r="L64" s="126"/>
      <c r="M64" s="126"/>
    </row>
    <row r="65" spans="1:13">
      <c r="A65" s="143" t="s">
        <v>415</v>
      </c>
      <c r="B65" s="116"/>
      <c r="C65" s="102" t="s">
        <v>99</v>
      </c>
      <c r="D65" s="99" t="s">
        <v>25</v>
      </c>
      <c r="E65" s="126">
        <v>32</v>
      </c>
      <c r="F65" s="120">
        <f>E65*F56</f>
        <v>13.76</v>
      </c>
      <c r="G65" s="120"/>
      <c r="H65" s="120"/>
      <c r="I65" s="120"/>
      <c r="J65" s="120"/>
      <c r="K65" s="120"/>
      <c r="L65" s="120"/>
      <c r="M65" s="120"/>
    </row>
    <row r="66" spans="1:13">
      <c r="A66" s="143"/>
      <c r="B66" s="140"/>
      <c r="C66" s="145"/>
      <c r="D66" s="143"/>
      <c r="E66" s="149"/>
      <c r="F66" s="149"/>
      <c r="G66" s="106"/>
      <c r="H66" s="149"/>
      <c r="I66" s="106"/>
      <c r="J66" s="104"/>
      <c r="K66" s="106"/>
      <c r="L66" s="106"/>
      <c r="M66" s="104"/>
    </row>
    <row r="67" spans="1:13">
      <c r="A67" s="167">
        <v>1.1000000000000001</v>
      </c>
      <c r="B67" s="154" t="s">
        <v>403</v>
      </c>
      <c r="C67" s="153" t="s">
        <v>404</v>
      </c>
      <c r="D67" s="143" t="s">
        <v>96</v>
      </c>
      <c r="E67" s="120"/>
      <c r="F67" s="120">
        <v>8.85</v>
      </c>
      <c r="G67" s="120"/>
      <c r="H67" s="120"/>
      <c r="I67" s="120"/>
      <c r="J67" s="120"/>
      <c r="K67" s="120"/>
      <c r="L67" s="120"/>
      <c r="M67" s="120"/>
    </row>
    <row r="68" spans="1:13">
      <c r="A68" s="167"/>
      <c r="B68" s="155"/>
      <c r="C68" s="153"/>
      <c r="D68" s="143" t="s">
        <v>92</v>
      </c>
      <c r="E68" s="120"/>
      <c r="F68" s="125">
        <f>F67/100</f>
        <v>8.8499999999999995E-2</v>
      </c>
      <c r="G68" s="120"/>
      <c r="H68" s="120"/>
      <c r="I68" s="120"/>
      <c r="J68" s="120"/>
      <c r="K68" s="120"/>
      <c r="L68" s="120"/>
      <c r="M68" s="120"/>
    </row>
    <row r="69" spans="1:13">
      <c r="A69" s="143" t="s">
        <v>65</v>
      </c>
      <c r="B69" s="116"/>
      <c r="C69" s="102" t="s">
        <v>40</v>
      </c>
      <c r="D69" s="99" t="s">
        <v>1</v>
      </c>
      <c r="E69" s="126">
        <v>33.1</v>
      </c>
      <c r="F69" s="120">
        <f>E69*F68</f>
        <v>2.9293499999999999</v>
      </c>
      <c r="G69" s="120"/>
      <c r="H69" s="120"/>
      <c r="I69" s="120"/>
      <c r="J69" s="120"/>
      <c r="K69" s="120"/>
      <c r="L69" s="120"/>
      <c r="M69" s="120"/>
    </row>
    <row r="70" spans="1:13">
      <c r="A70" s="143" t="s">
        <v>66</v>
      </c>
      <c r="B70" s="116"/>
      <c r="C70" s="102" t="s">
        <v>13</v>
      </c>
      <c r="D70" s="99" t="s">
        <v>25</v>
      </c>
      <c r="E70" s="126">
        <v>0.47</v>
      </c>
      <c r="F70" s="120">
        <f>E70*F68</f>
        <v>4.1594999999999993E-2</v>
      </c>
      <c r="G70" s="120"/>
      <c r="H70" s="120"/>
      <c r="I70" s="120"/>
      <c r="J70" s="120"/>
      <c r="K70" s="120"/>
      <c r="L70" s="120"/>
      <c r="M70" s="120"/>
    </row>
    <row r="71" spans="1:13">
      <c r="A71" s="143" t="s">
        <v>209</v>
      </c>
      <c r="B71" s="154" t="s">
        <v>406</v>
      </c>
      <c r="C71" s="156" t="s">
        <v>405</v>
      </c>
      <c r="D71" s="99" t="s">
        <v>96</v>
      </c>
      <c r="E71" s="152" t="s">
        <v>407</v>
      </c>
      <c r="F71" s="120">
        <v>5</v>
      </c>
      <c r="G71" s="126"/>
      <c r="H71" s="120"/>
      <c r="I71" s="120"/>
      <c r="J71" s="120"/>
      <c r="K71" s="120"/>
      <c r="L71" s="120"/>
      <c r="M71" s="120"/>
    </row>
    <row r="72" spans="1:13">
      <c r="A72" s="143" t="s">
        <v>210</v>
      </c>
      <c r="B72" s="116"/>
      <c r="C72" s="102" t="s">
        <v>99</v>
      </c>
      <c r="D72" s="99" t="s">
        <v>25</v>
      </c>
      <c r="E72" s="126">
        <v>10.9</v>
      </c>
      <c r="F72" s="120">
        <f>E72*F68</f>
        <v>0.96465000000000001</v>
      </c>
      <c r="G72" s="120"/>
      <c r="H72" s="120"/>
      <c r="I72" s="120"/>
      <c r="J72" s="120"/>
      <c r="K72" s="120"/>
      <c r="L72" s="120"/>
      <c r="M72" s="120"/>
    </row>
    <row r="73" spans="1:13">
      <c r="A73" s="143"/>
      <c r="B73" s="140"/>
      <c r="C73" s="145"/>
      <c r="D73" s="143"/>
      <c r="E73" s="149"/>
      <c r="F73" s="149"/>
      <c r="G73" s="106"/>
      <c r="H73" s="149"/>
      <c r="I73" s="106"/>
      <c r="J73" s="104"/>
      <c r="K73" s="106"/>
      <c r="L73" s="106"/>
      <c r="M73" s="104"/>
    </row>
    <row r="74" spans="1:13">
      <c r="A74" s="167">
        <v>1.1100000000000001</v>
      </c>
      <c r="B74" s="196" t="s">
        <v>440</v>
      </c>
      <c r="C74" s="323" t="s">
        <v>498</v>
      </c>
      <c r="D74" s="198" t="s">
        <v>349</v>
      </c>
      <c r="E74" s="149"/>
      <c r="F74" s="149">
        <v>21</v>
      </c>
      <c r="G74" s="149"/>
      <c r="H74" s="149"/>
      <c r="I74" s="149"/>
      <c r="J74" s="149"/>
      <c r="K74" s="149"/>
      <c r="L74" s="149"/>
      <c r="M74" s="104"/>
    </row>
    <row r="75" spans="1:13">
      <c r="A75" s="167"/>
      <c r="B75" s="140"/>
      <c r="C75" s="153"/>
      <c r="D75" s="198" t="s">
        <v>350</v>
      </c>
      <c r="E75" s="149"/>
      <c r="F75" s="188">
        <f>F74/1000</f>
        <v>2.1000000000000001E-2</v>
      </c>
      <c r="G75" s="149"/>
      <c r="H75" s="149"/>
      <c r="I75" s="149"/>
      <c r="J75" s="149"/>
      <c r="K75" s="149"/>
      <c r="L75" s="149"/>
      <c r="M75" s="104"/>
    </row>
    <row r="76" spans="1:13">
      <c r="A76" s="143" t="s">
        <v>67</v>
      </c>
      <c r="B76" s="201" t="s">
        <v>426</v>
      </c>
      <c r="C76" s="202" t="s">
        <v>427</v>
      </c>
      <c r="D76" s="143" t="s">
        <v>24</v>
      </c>
      <c r="E76" s="149">
        <f>5.13+(4*2.04)</f>
        <v>13.29</v>
      </c>
      <c r="F76" s="149">
        <f>E76*F75</f>
        <v>0.27909</v>
      </c>
      <c r="G76" s="149"/>
      <c r="H76" s="149"/>
      <c r="I76" s="149"/>
      <c r="J76" s="149"/>
      <c r="K76" s="152"/>
      <c r="L76" s="149"/>
      <c r="M76" s="104"/>
    </row>
    <row r="77" spans="1:13">
      <c r="A77" s="143" t="s">
        <v>196</v>
      </c>
      <c r="B77" s="201" t="s">
        <v>439</v>
      </c>
      <c r="C77" s="153" t="s">
        <v>296</v>
      </c>
      <c r="D77" s="198" t="s">
        <v>349</v>
      </c>
      <c r="E77" s="149">
        <v>1010</v>
      </c>
      <c r="F77" s="149">
        <f>E77*F75</f>
        <v>21.21</v>
      </c>
      <c r="G77" s="149"/>
      <c r="H77" s="149"/>
      <c r="I77" s="149"/>
      <c r="J77" s="149"/>
      <c r="K77" s="149"/>
      <c r="L77" s="149"/>
      <c r="M77" s="104"/>
    </row>
    <row r="78" spans="1:13">
      <c r="A78" s="143"/>
      <c r="B78" s="140"/>
      <c r="C78" s="153"/>
      <c r="D78" s="198"/>
      <c r="E78" s="149"/>
      <c r="F78" s="149"/>
      <c r="G78" s="149"/>
      <c r="H78" s="149"/>
      <c r="I78" s="149"/>
      <c r="J78" s="149"/>
      <c r="K78" s="149"/>
      <c r="L78" s="149"/>
      <c r="M78" s="104"/>
    </row>
    <row r="79" spans="1:13">
      <c r="A79" s="143">
        <v>1.1200000000000001</v>
      </c>
      <c r="B79" s="201" t="s">
        <v>437</v>
      </c>
      <c r="C79" s="153" t="s">
        <v>297</v>
      </c>
      <c r="D79" s="198" t="s">
        <v>349</v>
      </c>
      <c r="E79" s="149"/>
      <c r="F79" s="149">
        <v>14</v>
      </c>
      <c r="G79" s="149"/>
      <c r="H79" s="149"/>
      <c r="I79" s="149"/>
      <c r="J79" s="149"/>
      <c r="K79" s="149"/>
      <c r="L79" s="149"/>
      <c r="M79" s="104"/>
    </row>
    <row r="80" spans="1:13">
      <c r="A80" s="143"/>
      <c r="B80" s="206"/>
      <c r="C80" s="153"/>
      <c r="D80" s="198" t="s">
        <v>372</v>
      </c>
      <c r="E80" s="149"/>
      <c r="F80" s="149">
        <v>14</v>
      </c>
      <c r="G80" s="149"/>
      <c r="H80" s="149"/>
      <c r="I80" s="149"/>
      <c r="J80" s="149"/>
      <c r="K80" s="149"/>
      <c r="L80" s="149"/>
      <c r="M80" s="104"/>
    </row>
    <row r="81" spans="1:13">
      <c r="A81" s="143" t="s">
        <v>211</v>
      </c>
      <c r="B81" s="140"/>
      <c r="C81" s="199" t="s">
        <v>15</v>
      </c>
      <c r="D81" s="143" t="s">
        <v>1</v>
      </c>
      <c r="E81" s="157">
        <v>6.5</v>
      </c>
      <c r="F81" s="119">
        <f>F80*E81</f>
        <v>91</v>
      </c>
      <c r="G81" s="105"/>
      <c r="H81" s="106"/>
      <c r="I81" s="157"/>
      <c r="J81" s="106"/>
      <c r="K81" s="105"/>
      <c r="L81" s="106"/>
      <c r="M81" s="104"/>
    </row>
    <row r="82" spans="1:13">
      <c r="A82" s="143" t="s">
        <v>212</v>
      </c>
      <c r="B82" s="116"/>
      <c r="C82" s="133" t="s">
        <v>13</v>
      </c>
      <c r="D82" s="118" t="s">
        <v>25</v>
      </c>
      <c r="E82" s="126">
        <v>2.16</v>
      </c>
      <c r="F82" s="126">
        <f>E82*F80</f>
        <v>30.240000000000002</v>
      </c>
      <c r="G82" s="126"/>
      <c r="H82" s="126"/>
      <c r="I82" s="126"/>
      <c r="J82" s="126"/>
      <c r="K82" s="126"/>
      <c r="L82" s="126"/>
      <c r="M82" s="126"/>
    </row>
    <row r="83" spans="1:13">
      <c r="A83" s="143" t="s">
        <v>256</v>
      </c>
      <c r="B83" s="201" t="s">
        <v>438</v>
      </c>
      <c r="C83" s="145" t="s">
        <v>298</v>
      </c>
      <c r="D83" s="198" t="s">
        <v>349</v>
      </c>
      <c r="E83" s="152">
        <v>1.1499999999999999</v>
      </c>
      <c r="F83" s="119">
        <f>F80*E83</f>
        <v>16.099999999999998</v>
      </c>
      <c r="G83" s="149"/>
      <c r="H83" s="149"/>
      <c r="I83" s="149"/>
      <c r="J83" s="149"/>
      <c r="K83" s="149"/>
      <c r="L83" s="149"/>
      <c r="M83" s="104"/>
    </row>
    <row r="84" spans="1:13">
      <c r="A84" s="143" t="s">
        <v>257</v>
      </c>
      <c r="B84" s="116"/>
      <c r="C84" s="133" t="s">
        <v>99</v>
      </c>
      <c r="D84" s="118" t="s">
        <v>25</v>
      </c>
      <c r="E84" s="126">
        <v>0.02</v>
      </c>
      <c r="F84" s="126">
        <f>E84*F80</f>
        <v>0.28000000000000003</v>
      </c>
      <c r="G84" s="126"/>
      <c r="H84" s="126"/>
      <c r="I84" s="126"/>
      <c r="J84" s="126"/>
      <c r="K84" s="126"/>
      <c r="L84" s="126"/>
      <c r="M84" s="126"/>
    </row>
    <row r="85" spans="1:13">
      <c r="A85" s="143"/>
      <c r="B85" s="140"/>
      <c r="C85" s="153"/>
      <c r="D85" s="198"/>
      <c r="E85" s="149"/>
      <c r="F85" s="119"/>
      <c r="G85" s="149"/>
      <c r="H85" s="149"/>
      <c r="I85" s="149"/>
      <c r="J85" s="149"/>
      <c r="K85" s="149"/>
      <c r="L85" s="149"/>
      <c r="M85" s="104"/>
    </row>
    <row r="86" spans="1:13">
      <c r="A86" s="143">
        <v>1.1299999999999999</v>
      </c>
      <c r="B86" s="140" t="s">
        <v>178</v>
      </c>
      <c r="C86" s="153" t="s">
        <v>238</v>
      </c>
      <c r="D86" s="198" t="s">
        <v>349</v>
      </c>
      <c r="E86" s="149"/>
      <c r="F86" s="149">
        <v>95</v>
      </c>
      <c r="G86" s="149"/>
      <c r="H86" s="149"/>
      <c r="I86" s="149"/>
      <c r="J86" s="149"/>
      <c r="K86" s="149"/>
      <c r="L86" s="149"/>
      <c r="M86" s="104"/>
    </row>
    <row r="87" spans="1:13">
      <c r="A87" s="143"/>
      <c r="B87" s="140"/>
      <c r="C87" s="153"/>
      <c r="D87" s="198" t="s">
        <v>350</v>
      </c>
      <c r="E87" s="149"/>
      <c r="F87" s="188">
        <f>F86/1000</f>
        <v>9.5000000000000001E-2</v>
      </c>
      <c r="G87" s="149"/>
      <c r="H87" s="149"/>
      <c r="I87" s="149"/>
      <c r="J87" s="149"/>
      <c r="K87" s="149"/>
      <c r="L87" s="149"/>
      <c r="M87" s="104"/>
    </row>
    <row r="88" spans="1:13">
      <c r="A88" s="143" t="s">
        <v>68</v>
      </c>
      <c r="B88" s="140"/>
      <c r="C88" s="199" t="s">
        <v>15</v>
      </c>
      <c r="D88" s="143" t="s">
        <v>1</v>
      </c>
      <c r="E88" s="149">
        <v>15.5</v>
      </c>
      <c r="F88" s="149">
        <f>E88*F87</f>
        <v>1.4724999999999999</v>
      </c>
      <c r="G88" s="149"/>
      <c r="H88" s="149"/>
      <c r="I88" s="106"/>
      <c r="J88" s="149"/>
      <c r="K88" s="149"/>
      <c r="L88" s="149"/>
      <c r="M88" s="104"/>
    </row>
    <row r="89" spans="1:13">
      <c r="A89" s="143" t="s">
        <v>69</v>
      </c>
      <c r="B89" s="81" t="s">
        <v>357</v>
      </c>
      <c r="C89" s="79" t="s">
        <v>356</v>
      </c>
      <c r="D89" s="143" t="s">
        <v>24</v>
      </c>
      <c r="E89" s="149">
        <v>34.700000000000003</v>
      </c>
      <c r="F89" s="149">
        <f>E89*F87</f>
        <v>3.2965000000000004</v>
      </c>
      <c r="G89" s="149"/>
      <c r="H89" s="149"/>
      <c r="I89" s="149"/>
      <c r="J89" s="149"/>
      <c r="K89" s="149"/>
      <c r="L89" s="149"/>
      <c r="M89" s="104"/>
    </row>
    <row r="90" spans="1:13">
      <c r="A90" s="143" t="s">
        <v>281</v>
      </c>
      <c r="B90" s="140"/>
      <c r="C90" s="145" t="s">
        <v>13</v>
      </c>
      <c r="D90" s="143" t="s">
        <v>25</v>
      </c>
      <c r="E90" s="152">
        <v>2.09</v>
      </c>
      <c r="F90" s="149">
        <f>E90*F87</f>
        <v>0.19854999999999998</v>
      </c>
      <c r="G90" s="149"/>
      <c r="H90" s="149"/>
      <c r="I90" s="149"/>
      <c r="J90" s="149"/>
      <c r="K90" s="106"/>
      <c r="L90" s="149"/>
      <c r="M90" s="104"/>
    </row>
    <row r="91" spans="1:13">
      <c r="A91" s="143" t="s">
        <v>282</v>
      </c>
      <c r="B91" s="81" t="s">
        <v>353</v>
      </c>
      <c r="C91" s="82" t="s">
        <v>352</v>
      </c>
      <c r="D91" s="198" t="s">
        <v>349</v>
      </c>
      <c r="E91" s="149">
        <v>0.04</v>
      </c>
      <c r="F91" s="188">
        <f>E91*F87</f>
        <v>3.8E-3</v>
      </c>
      <c r="G91" s="152"/>
      <c r="H91" s="149"/>
      <c r="I91" s="149"/>
      <c r="J91" s="149"/>
      <c r="K91" s="149"/>
      <c r="L91" s="149"/>
      <c r="M91" s="104"/>
    </row>
    <row r="92" spans="1:13">
      <c r="A92" s="143"/>
      <c r="B92" s="140"/>
      <c r="C92" s="153"/>
      <c r="D92" s="198"/>
      <c r="E92" s="149"/>
      <c r="F92" s="149"/>
      <c r="G92" s="149"/>
      <c r="H92" s="149"/>
      <c r="I92" s="149"/>
      <c r="J92" s="149"/>
      <c r="K92" s="149"/>
      <c r="L92" s="149"/>
      <c r="M92" s="104"/>
    </row>
    <row r="93" spans="1:13">
      <c r="A93" s="167">
        <v>1.1399999999999999</v>
      </c>
      <c r="B93" s="139" t="s">
        <v>392</v>
      </c>
      <c r="C93" s="153" t="s">
        <v>299</v>
      </c>
      <c r="D93" s="267" t="s">
        <v>359</v>
      </c>
      <c r="E93" s="149"/>
      <c r="F93" s="149">
        <v>171</v>
      </c>
      <c r="G93" s="149"/>
      <c r="H93" s="149"/>
      <c r="I93" s="149"/>
      <c r="J93" s="149"/>
      <c r="K93" s="149"/>
      <c r="L93" s="149"/>
      <c r="M93" s="104"/>
    </row>
    <row r="94" spans="1:13">
      <c r="A94" s="167"/>
      <c r="B94" s="129"/>
      <c r="C94" s="102"/>
      <c r="D94" s="99" t="s">
        <v>364</v>
      </c>
      <c r="E94" s="120"/>
      <c r="F94" s="125">
        <f>F93/100</f>
        <v>1.71</v>
      </c>
      <c r="G94" s="120"/>
      <c r="H94" s="120"/>
      <c r="I94" s="120"/>
      <c r="J94" s="120"/>
      <c r="K94" s="120"/>
      <c r="L94" s="120"/>
      <c r="M94" s="120"/>
    </row>
    <row r="95" spans="1:13">
      <c r="A95" s="143" t="s">
        <v>197</v>
      </c>
      <c r="B95" s="109"/>
      <c r="C95" s="102" t="s">
        <v>15</v>
      </c>
      <c r="D95" s="99" t="s">
        <v>1</v>
      </c>
      <c r="E95" s="126">
        <v>33.6</v>
      </c>
      <c r="F95" s="120">
        <f>E95*F94</f>
        <v>57.456000000000003</v>
      </c>
      <c r="G95" s="120"/>
      <c r="H95" s="120"/>
      <c r="I95" s="126"/>
      <c r="J95" s="120"/>
      <c r="K95" s="120"/>
      <c r="L95" s="120"/>
      <c r="M95" s="120"/>
    </row>
    <row r="96" spans="1:13">
      <c r="A96" s="143" t="s">
        <v>216</v>
      </c>
      <c r="B96" s="109"/>
      <c r="C96" s="102" t="s">
        <v>13</v>
      </c>
      <c r="D96" s="99" t="s">
        <v>25</v>
      </c>
      <c r="E96" s="126">
        <v>1.5</v>
      </c>
      <c r="F96" s="120">
        <f>E96*F94</f>
        <v>2.5649999999999999</v>
      </c>
      <c r="G96" s="120"/>
      <c r="H96" s="120"/>
      <c r="I96" s="120"/>
      <c r="J96" s="120"/>
      <c r="K96" s="120"/>
      <c r="L96" s="120"/>
      <c r="M96" s="120"/>
    </row>
    <row r="97" spans="1:13">
      <c r="A97" s="143" t="s">
        <v>300</v>
      </c>
      <c r="B97" s="139" t="s">
        <v>393</v>
      </c>
      <c r="C97" s="141" t="s">
        <v>394</v>
      </c>
      <c r="D97" s="99" t="s">
        <v>23</v>
      </c>
      <c r="E97" s="126">
        <v>0.24</v>
      </c>
      <c r="F97" s="120">
        <f>E97*F94</f>
        <v>0.41039999999999999</v>
      </c>
      <c r="G97" s="126"/>
      <c r="H97" s="120"/>
      <c r="I97" s="120"/>
      <c r="J97" s="120"/>
      <c r="K97" s="120"/>
      <c r="L97" s="120"/>
      <c r="M97" s="120"/>
    </row>
    <row r="98" spans="1:13">
      <c r="A98" s="143" t="s">
        <v>301</v>
      </c>
      <c r="B98" s="109"/>
      <c r="C98" s="102" t="s">
        <v>99</v>
      </c>
      <c r="D98" s="99" t="s">
        <v>25</v>
      </c>
      <c r="E98" s="126">
        <v>2.2799999999999998</v>
      </c>
      <c r="F98" s="120">
        <f>E98*F94</f>
        <v>3.8987999999999996</v>
      </c>
      <c r="G98" s="120"/>
      <c r="H98" s="120"/>
      <c r="I98" s="120"/>
      <c r="J98" s="120"/>
      <c r="K98" s="120"/>
      <c r="L98" s="120"/>
      <c r="M98" s="120"/>
    </row>
    <row r="99" spans="1:13">
      <c r="A99" s="143"/>
      <c r="B99" s="140"/>
      <c r="C99" s="153"/>
      <c r="D99" s="143"/>
      <c r="E99" s="149"/>
      <c r="F99" s="149"/>
      <c r="G99" s="149"/>
      <c r="H99" s="149"/>
      <c r="I99" s="149"/>
      <c r="J99" s="149"/>
      <c r="K99" s="149"/>
      <c r="L99" s="149"/>
      <c r="M99" s="149"/>
    </row>
    <row r="100" spans="1:13" s="86" customFormat="1">
      <c r="A100" s="134"/>
      <c r="B100" s="85"/>
      <c r="C100" s="134" t="s">
        <v>4</v>
      </c>
      <c r="D100" s="134"/>
      <c r="E100" s="47"/>
      <c r="F100" s="47"/>
      <c r="G100" s="47"/>
      <c r="H100" s="47"/>
      <c r="I100" s="47"/>
      <c r="J100" s="47"/>
      <c r="K100" s="47"/>
      <c r="L100" s="47"/>
      <c r="M100" s="47"/>
    </row>
    <row r="101" spans="1:13" s="205" customFormat="1">
      <c r="A101" s="198"/>
      <c r="B101" s="196"/>
      <c r="C101" s="143"/>
      <c r="D101" s="143"/>
      <c r="E101" s="149"/>
      <c r="F101" s="149"/>
      <c r="G101" s="149"/>
      <c r="H101" s="149"/>
      <c r="I101" s="149"/>
      <c r="J101" s="149"/>
      <c r="K101" s="149"/>
      <c r="L101" s="149"/>
      <c r="M101" s="149"/>
    </row>
    <row r="102" spans="1:13" s="205" customFormat="1">
      <c r="A102" s="198"/>
      <c r="B102" s="196"/>
      <c r="C102" s="143" t="s">
        <v>10</v>
      </c>
      <c r="D102" s="164">
        <v>0.1</v>
      </c>
      <c r="E102" s="149"/>
      <c r="F102" s="149"/>
      <c r="G102" s="149"/>
      <c r="H102" s="149"/>
      <c r="I102" s="149"/>
      <c r="J102" s="149"/>
      <c r="K102" s="149"/>
      <c r="L102" s="149"/>
      <c r="M102" s="149"/>
    </row>
    <row r="103" spans="1:13" s="205" customFormat="1">
      <c r="A103" s="198"/>
      <c r="B103" s="196"/>
      <c r="C103" s="143" t="s">
        <v>4</v>
      </c>
      <c r="D103" s="164"/>
      <c r="E103" s="149"/>
      <c r="F103" s="149"/>
      <c r="G103" s="149"/>
      <c r="H103" s="149"/>
      <c r="I103" s="149"/>
      <c r="J103" s="149"/>
      <c r="K103" s="149"/>
      <c r="L103" s="149"/>
      <c r="M103" s="149"/>
    </row>
    <row r="104" spans="1:13" s="205" customFormat="1">
      <c r="A104" s="198"/>
      <c r="B104" s="196"/>
      <c r="C104" s="143" t="s">
        <v>11</v>
      </c>
      <c r="D104" s="164">
        <v>0.08</v>
      </c>
      <c r="E104" s="149"/>
      <c r="F104" s="149"/>
      <c r="G104" s="149"/>
      <c r="H104" s="149"/>
      <c r="I104" s="149"/>
      <c r="J104" s="149"/>
      <c r="K104" s="149"/>
      <c r="L104" s="149"/>
      <c r="M104" s="149"/>
    </row>
    <row r="105" spans="1:13" s="205" customFormat="1">
      <c r="A105" s="198"/>
      <c r="B105" s="196"/>
      <c r="C105" s="143"/>
      <c r="D105" s="164"/>
      <c r="E105" s="149"/>
      <c r="F105" s="149"/>
      <c r="G105" s="149"/>
      <c r="H105" s="149"/>
      <c r="I105" s="149"/>
      <c r="J105" s="149"/>
      <c r="K105" s="149"/>
      <c r="L105" s="149"/>
      <c r="M105" s="149"/>
    </row>
    <row r="106" spans="1:13" s="163" customFormat="1">
      <c r="A106" s="134"/>
      <c r="B106" s="140"/>
      <c r="C106" s="134" t="s">
        <v>4</v>
      </c>
      <c r="D106" s="134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>
      <c r="B107" s="175"/>
      <c r="C107" s="174"/>
      <c r="D107" s="175"/>
      <c r="E107" s="175"/>
      <c r="F107" s="175"/>
      <c r="G107" s="175"/>
      <c r="H107" s="175"/>
      <c r="I107" s="175"/>
      <c r="J107" s="175"/>
      <c r="K107" s="175"/>
      <c r="L107" s="175"/>
      <c r="M107" s="176"/>
    </row>
    <row r="108" spans="1:13">
      <c r="B108" s="175"/>
      <c r="C108" s="174"/>
      <c r="D108" s="175"/>
      <c r="E108" s="175"/>
      <c r="F108" s="175"/>
      <c r="G108" s="175"/>
      <c r="H108" s="175"/>
      <c r="I108" s="175"/>
      <c r="J108" s="175"/>
      <c r="K108" s="175"/>
      <c r="L108" s="175"/>
      <c r="M108" s="176"/>
    </row>
    <row r="109" spans="1:13">
      <c r="B109" s="175"/>
      <c r="C109" s="174"/>
      <c r="D109" s="175"/>
      <c r="E109" s="175"/>
      <c r="F109" s="175"/>
      <c r="G109" s="175"/>
      <c r="H109" s="175"/>
      <c r="I109" s="175"/>
      <c r="J109" s="175"/>
      <c r="K109" s="175"/>
      <c r="L109" s="175"/>
      <c r="M109" s="176"/>
    </row>
    <row r="110" spans="1:13">
      <c r="B110" s="175"/>
      <c r="C110" s="174"/>
      <c r="D110" s="175"/>
      <c r="E110" s="175"/>
      <c r="F110" s="175"/>
      <c r="G110" s="175"/>
      <c r="H110" s="175"/>
      <c r="I110" s="175"/>
      <c r="J110" s="175"/>
      <c r="K110" s="175"/>
      <c r="L110" s="175"/>
      <c r="M110" s="176"/>
    </row>
    <row r="111" spans="1:13">
      <c r="B111" s="175"/>
      <c r="C111" s="174"/>
      <c r="D111" s="175"/>
      <c r="E111" s="175"/>
      <c r="F111" s="175"/>
      <c r="G111" s="175"/>
      <c r="H111" s="175"/>
      <c r="I111" s="175"/>
      <c r="J111" s="175"/>
      <c r="K111" s="175"/>
      <c r="L111" s="175"/>
      <c r="M111" s="176"/>
    </row>
    <row r="112" spans="1:13">
      <c r="B112" s="175"/>
      <c r="C112" s="174"/>
      <c r="D112" s="175"/>
      <c r="E112" s="175"/>
      <c r="F112" s="175"/>
      <c r="G112" s="175"/>
      <c r="H112" s="175"/>
      <c r="I112" s="175"/>
      <c r="J112" s="175"/>
      <c r="K112" s="175"/>
      <c r="L112" s="175"/>
      <c r="M112" s="176"/>
    </row>
    <row r="113" spans="2:13">
      <c r="B113" s="175"/>
      <c r="C113" s="174"/>
      <c r="D113" s="175"/>
      <c r="E113" s="175"/>
      <c r="F113" s="175"/>
      <c r="G113" s="175"/>
      <c r="H113" s="175"/>
      <c r="I113" s="175"/>
      <c r="J113" s="175"/>
      <c r="K113" s="175"/>
      <c r="L113" s="175"/>
      <c r="M113" s="176"/>
    </row>
    <row r="114" spans="2:13">
      <c r="B114" s="175"/>
      <c r="C114" s="174"/>
      <c r="D114" s="175"/>
      <c r="E114" s="175"/>
      <c r="F114" s="175"/>
      <c r="G114" s="175"/>
      <c r="H114" s="175"/>
      <c r="I114" s="175"/>
      <c r="J114" s="175"/>
      <c r="K114" s="175"/>
      <c r="L114" s="175"/>
      <c r="M114" s="176"/>
    </row>
    <row r="115" spans="2:13">
      <c r="B115" s="175"/>
      <c r="C115" s="174"/>
      <c r="D115" s="175"/>
      <c r="E115" s="175"/>
      <c r="F115" s="175"/>
      <c r="G115" s="175"/>
      <c r="H115" s="175"/>
      <c r="I115" s="175"/>
      <c r="J115" s="175"/>
      <c r="K115" s="175"/>
      <c r="L115" s="175"/>
      <c r="M115" s="176"/>
    </row>
    <row r="116" spans="2:13">
      <c r="B116" s="175"/>
      <c r="C116" s="174"/>
      <c r="D116" s="175"/>
      <c r="E116" s="175"/>
      <c r="F116" s="175"/>
      <c r="G116" s="175"/>
      <c r="H116" s="175"/>
      <c r="I116" s="175"/>
      <c r="J116" s="175"/>
      <c r="K116" s="175"/>
      <c r="L116" s="175"/>
      <c r="M116" s="176"/>
    </row>
    <row r="117" spans="2:13">
      <c r="B117" s="175"/>
      <c r="C117" s="174"/>
      <c r="D117" s="175"/>
      <c r="E117" s="175"/>
      <c r="F117" s="175"/>
      <c r="G117" s="175"/>
      <c r="H117" s="175"/>
      <c r="I117" s="175"/>
      <c r="J117" s="175"/>
      <c r="K117" s="175"/>
      <c r="L117" s="175"/>
      <c r="M117" s="176"/>
    </row>
    <row r="118" spans="2:13">
      <c r="B118" s="175"/>
      <c r="C118" s="174"/>
      <c r="D118" s="175"/>
      <c r="E118" s="175"/>
      <c r="F118" s="175"/>
      <c r="G118" s="175"/>
      <c r="H118" s="175"/>
      <c r="I118" s="175"/>
      <c r="J118" s="175"/>
      <c r="K118" s="175"/>
      <c r="L118" s="175"/>
      <c r="M118" s="176"/>
    </row>
    <row r="119" spans="2:13">
      <c r="B119" s="175"/>
      <c r="C119" s="174"/>
      <c r="D119" s="175"/>
      <c r="E119" s="175"/>
      <c r="F119" s="175"/>
      <c r="G119" s="175"/>
      <c r="H119" s="175"/>
      <c r="I119" s="175"/>
      <c r="J119" s="175"/>
      <c r="K119" s="175"/>
      <c r="L119" s="175"/>
      <c r="M119" s="176"/>
    </row>
    <row r="120" spans="2:13">
      <c r="B120" s="175"/>
      <c r="C120" s="174"/>
      <c r="D120" s="175"/>
      <c r="E120" s="175"/>
      <c r="F120" s="175"/>
      <c r="G120" s="175"/>
      <c r="H120" s="175"/>
      <c r="I120" s="175"/>
      <c r="J120" s="175"/>
      <c r="K120" s="175"/>
      <c r="L120" s="175"/>
      <c r="M120" s="176"/>
    </row>
    <row r="121" spans="2:13">
      <c r="B121" s="175"/>
      <c r="C121" s="174"/>
      <c r="D121" s="175"/>
      <c r="E121" s="175"/>
      <c r="F121" s="175"/>
      <c r="G121" s="175"/>
      <c r="H121" s="175"/>
      <c r="I121" s="175"/>
      <c r="J121" s="175"/>
      <c r="K121" s="175"/>
      <c r="L121" s="175"/>
      <c r="M121" s="176"/>
    </row>
    <row r="122" spans="2:13">
      <c r="B122" s="175"/>
      <c r="C122" s="174"/>
      <c r="D122" s="175"/>
      <c r="E122" s="175"/>
      <c r="F122" s="175"/>
      <c r="G122" s="175"/>
      <c r="H122" s="175"/>
      <c r="I122" s="175"/>
      <c r="J122" s="175"/>
      <c r="K122" s="175"/>
      <c r="L122" s="175"/>
      <c r="M122" s="176"/>
    </row>
    <row r="123" spans="2:13">
      <c r="B123" s="175"/>
      <c r="C123" s="174"/>
      <c r="D123" s="175"/>
      <c r="E123" s="175"/>
      <c r="F123" s="175"/>
      <c r="G123" s="175"/>
      <c r="H123" s="175"/>
      <c r="I123" s="175"/>
      <c r="J123" s="175"/>
      <c r="K123" s="175"/>
      <c r="L123" s="175"/>
      <c r="M123" s="176"/>
    </row>
    <row r="124" spans="2:13">
      <c r="B124" s="175"/>
      <c r="C124" s="174"/>
      <c r="D124" s="175"/>
      <c r="E124" s="175"/>
      <c r="F124" s="175"/>
      <c r="G124" s="175"/>
      <c r="H124" s="175"/>
      <c r="I124" s="175"/>
      <c r="J124" s="175"/>
      <c r="K124" s="175"/>
      <c r="L124" s="175"/>
      <c r="M124" s="176"/>
    </row>
    <row r="125" spans="2:13">
      <c r="B125" s="175"/>
      <c r="C125" s="174"/>
      <c r="D125" s="175"/>
      <c r="E125" s="175"/>
      <c r="F125" s="175"/>
      <c r="G125" s="175"/>
      <c r="H125" s="175"/>
      <c r="I125" s="175"/>
      <c r="J125" s="175"/>
      <c r="K125" s="175"/>
      <c r="L125" s="175"/>
      <c r="M125" s="176"/>
    </row>
    <row r="126" spans="2:13">
      <c r="B126" s="175"/>
      <c r="C126" s="174"/>
      <c r="D126" s="175"/>
      <c r="E126" s="175"/>
      <c r="F126" s="175"/>
      <c r="G126" s="175"/>
      <c r="H126" s="175"/>
      <c r="I126" s="175"/>
      <c r="J126" s="175"/>
      <c r="K126" s="175"/>
      <c r="L126" s="175"/>
      <c r="M126" s="176"/>
    </row>
    <row r="127" spans="2:13">
      <c r="B127" s="175"/>
      <c r="C127" s="174"/>
      <c r="D127" s="175"/>
      <c r="E127" s="175"/>
      <c r="F127" s="175"/>
      <c r="G127" s="175"/>
      <c r="H127" s="175"/>
      <c r="I127" s="175"/>
      <c r="J127" s="175"/>
      <c r="K127" s="175"/>
      <c r="L127" s="175"/>
      <c r="M127" s="176"/>
    </row>
    <row r="128" spans="2:13">
      <c r="B128" s="175"/>
      <c r="C128" s="174"/>
      <c r="D128" s="175"/>
      <c r="E128" s="175"/>
      <c r="F128" s="175"/>
      <c r="G128" s="175"/>
      <c r="H128" s="175"/>
      <c r="I128" s="175"/>
      <c r="J128" s="175"/>
      <c r="K128" s="175"/>
      <c r="L128" s="175"/>
      <c r="M128" s="176"/>
    </row>
    <row r="129" spans="2:13">
      <c r="B129" s="175"/>
      <c r="C129" s="174"/>
      <c r="D129" s="175"/>
      <c r="E129" s="175"/>
      <c r="F129" s="175"/>
      <c r="G129" s="175"/>
      <c r="H129" s="175"/>
      <c r="I129" s="175"/>
      <c r="J129" s="175"/>
      <c r="K129" s="175"/>
      <c r="L129" s="175"/>
      <c r="M129" s="176"/>
    </row>
    <row r="130" spans="2:13">
      <c r="B130" s="175"/>
      <c r="C130" s="174"/>
      <c r="D130" s="175"/>
      <c r="E130" s="175"/>
      <c r="F130" s="175"/>
      <c r="G130" s="175"/>
      <c r="H130" s="175"/>
      <c r="I130" s="175"/>
      <c r="J130" s="175"/>
      <c r="K130" s="175"/>
      <c r="L130" s="175"/>
      <c r="M130" s="176"/>
    </row>
    <row r="131" spans="2:13">
      <c r="B131" s="175"/>
      <c r="C131" s="174"/>
      <c r="D131" s="175"/>
      <c r="E131" s="175"/>
      <c r="F131" s="175"/>
      <c r="G131" s="175"/>
      <c r="H131" s="175"/>
      <c r="I131" s="175"/>
      <c r="J131" s="175"/>
      <c r="K131" s="175"/>
      <c r="L131" s="175"/>
      <c r="M131" s="176"/>
    </row>
    <row r="132" spans="2:13">
      <c r="B132" s="175"/>
      <c r="C132" s="174"/>
      <c r="D132" s="175"/>
      <c r="E132" s="175"/>
      <c r="F132" s="175"/>
      <c r="G132" s="175"/>
      <c r="H132" s="175"/>
      <c r="I132" s="175"/>
      <c r="J132" s="175"/>
      <c r="K132" s="175"/>
      <c r="L132" s="175"/>
      <c r="M132" s="176"/>
    </row>
    <row r="133" spans="2:13">
      <c r="B133" s="175"/>
      <c r="C133" s="174"/>
      <c r="D133" s="175"/>
      <c r="E133" s="175"/>
      <c r="F133" s="175"/>
      <c r="G133" s="175"/>
      <c r="H133" s="175"/>
      <c r="I133" s="175"/>
      <c r="J133" s="175"/>
      <c r="K133" s="175"/>
      <c r="L133" s="175"/>
      <c r="M133" s="176"/>
    </row>
    <row r="134" spans="2:13">
      <c r="B134" s="175"/>
      <c r="C134" s="174"/>
      <c r="D134" s="175"/>
      <c r="E134" s="175"/>
      <c r="F134" s="175"/>
      <c r="G134" s="175"/>
      <c r="H134" s="175"/>
      <c r="I134" s="175"/>
      <c r="J134" s="175"/>
      <c r="K134" s="175"/>
      <c r="L134" s="175"/>
      <c r="M134" s="176"/>
    </row>
    <row r="135" spans="2:13">
      <c r="B135" s="175"/>
      <c r="C135" s="174"/>
      <c r="D135" s="175"/>
      <c r="E135" s="175"/>
      <c r="F135" s="175"/>
      <c r="G135" s="175"/>
      <c r="H135" s="175"/>
      <c r="I135" s="175"/>
      <c r="J135" s="175"/>
      <c r="K135" s="175"/>
      <c r="L135" s="175"/>
      <c r="M135" s="176"/>
    </row>
    <row r="136" spans="2:13">
      <c r="B136" s="175"/>
      <c r="C136" s="174"/>
      <c r="D136" s="175"/>
      <c r="E136" s="175"/>
      <c r="F136" s="175"/>
      <c r="G136" s="175"/>
      <c r="H136" s="175"/>
      <c r="I136" s="175"/>
      <c r="J136" s="175"/>
      <c r="K136" s="175"/>
      <c r="L136" s="175"/>
      <c r="M136" s="176"/>
    </row>
    <row r="137" spans="2:13">
      <c r="B137" s="175"/>
      <c r="C137" s="174"/>
      <c r="D137" s="175"/>
      <c r="E137" s="175"/>
      <c r="F137" s="175"/>
      <c r="G137" s="175"/>
      <c r="H137" s="175"/>
      <c r="I137" s="175"/>
      <c r="J137" s="175"/>
      <c r="K137" s="175"/>
      <c r="L137" s="175"/>
      <c r="M137" s="176"/>
    </row>
    <row r="138" spans="2:13">
      <c r="B138" s="175"/>
      <c r="C138" s="174"/>
      <c r="D138" s="175"/>
      <c r="E138" s="175"/>
      <c r="F138" s="175"/>
      <c r="G138" s="175"/>
      <c r="H138" s="175"/>
      <c r="I138" s="175"/>
      <c r="J138" s="175"/>
      <c r="K138" s="175"/>
      <c r="L138" s="175"/>
      <c r="M138" s="176"/>
    </row>
    <row r="139" spans="2:13">
      <c r="B139" s="175"/>
      <c r="C139" s="174"/>
      <c r="D139" s="175"/>
      <c r="E139" s="175"/>
      <c r="F139" s="175"/>
      <c r="G139" s="175"/>
      <c r="H139" s="175"/>
      <c r="I139" s="175"/>
      <c r="J139" s="175"/>
      <c r="K139" s="175"/>
      <c r="L139" s="175"/>
      <c r="M139" s="176"/>
    </row>
    <row r="140" spans="2:13">
      <c r="B140" s="175"/>
      <c r="C140" s="174"/>
      <c r="D140" s="175"/>
      <c r="E140" s="175"/>
      <c r="F140" s="175"/>
      <c r="G140" s="175"/>
      <c r="H140" s="175"/>
      <c r="I140" s="175"/>
      <c r="J140" s="175"/>
      <c r="K140" s="175"/>
      <c r="L140" s="175"/>
      <c r="M140" s="176"/>
    </row>
    <row r="141" spans="2:13">
      <c r="B141" s="175"/>
      <c r="C141" s="174"/>
      <c r="D141" s="175"/>
      <c r="E141" s="175"/>
      <c r="F141" s="175"/>
      <c r="G141" s="175"/>
      <c r="H141" s="175"/>
      <c r="I141" s="175"/>
      <c r="J141" s="175"/>
      <c r="K141" s="175"/>
      <c r="L141" s="175"/>
      <c r="M141" s="176"/>
    </row>
    <row r="142" spans="2:13">
      <c r="B142" s="175"/>
      <c r="C142" s="174"/>
      <c r="D142" s="175"/>
      <c r="E142" s="175"/>
      <c r="F142" s="175"/>
      <c r="G142" s="175"/>
      <c r="H142" s="175"/>
      <c r="I142" s="175"/>
      <c r="J142" s="175"/>
      <c r="K142" s="175"/>
      <c r="L142" s="175"/>
      <c r="M142" s="176"/>
    </row>
    <row r="143" spans="2:13">
      <c r="B143" s="175"/>
      <c r="C143" s="174"/>
      <c r="D143" s="175"/>
      <c r="E143" s="175"/>
      <c r="F143" s="175"/>
      <c r="G143" s="175"/>
      <c r="H143" s="175"/>
      <c r="I143" s="175"/>
      <c r="J143" s="175"/>
      <c r="K143" s="175"/>
      <c r="L143" s="175"/>
      <c r="M143" s="176"/>
    </row>
    <row r="144" spans="2:13">
      <c r="B144" s="175"/>
      <c r="C144" s="174"/>
      <c r="D144" s="175"/>
      <c r="E144" s="175"/>
      <c r="F144" s="175"/>
      <c r="G144" s="175"/>
      <c r="H144" s="175"/>
      <c r="I144" s="175"/>
      <c r="J144" s="175"/>
      <c r="K144" s="175"/>
      <c r="L144" s="175"/>
      <c r="M144" s="176"/>
    </row>
    <row r="145" spans="2:13">
      <c r="B145" s="175"/>
      <c r="C145" s="174"/>
      <c r="D145" s="175"/>
      <c r="E145" s="175"/>
      <c r="F145" s="175"/>
      <c r="G145" s="175"/>
      <c r="H145" s="175"/>
      <c r="I145" s="175"/>
      <c r="J145" s="175"/>
      <c r="K145" s="175"/>
      <c r="L145" s="175"/>
      <c r="M145" s="176"/>
    </row>
    <row r="146" spans="2:13">
      <c r="B146" s="175"/>
      <c r="C146" s="174"/>
      <c r="D146" s="175"/>
      <c r="E146" s="175"/>
      <c r="F146" s="175"/>
      <c r="G146" s="175"/>
      <c r="H146" s="175"/>
      <c r="I146" s="175"/>
      <c r="J146" s="175"/>
      <c r="K146" s="175"/>
      <c r="L146" s="175"/>
      <c r="M146" s="176"/>
    </row>
    <row r="147" spans="2:13">
      <c r="B147" s="175"/>
      <c r="C147" s="174"/>
      <c r="D147" s="175"/>
      <c r="E147" s="175"/>
      <c r="F147" s="175"/>
      <c r="G147" s="175"/>
      <c r="H147" s="175"/>
      <c r="I147" s="175"/>
      <c r="J147" s="175"/>
      <c r="K147" s="175"/>
      <c r="L147" s="175"/>
      <c r="M147" s="176"/>
    </row>
    <row r="148" spans="2:13">
      <c r="B148" s="175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7"/>
    </row>
    <row r="149" spans="2:13">
      <c r="B149" s="175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7"/>
    </row>
    <row r="150" spans="2:13">
      <c r="B150" s="175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7"/>
    </row>
    <row r="151" spans="2:13">
      <c r="B151" s="175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7"/>
    </row>
    <row r="152" spans="2:13">
      <c r="B152" s="175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7"/>
    </row>
    <row r="153" spans="2:13">
      <c r="B153" s="175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7"/>
    </row>
    <row r="154" spans="2:13">
      <c r="B154" s="175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7"/>
    </row>
    <row r="155" spans="2:13">
      <c r="B155" s="175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7"/>
    </row>
    <row r="156" spans="2:13">
      <c r="B156" s="175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7"/>
    </row>
    <row r="157" spans="2:13">
      <c r="B157" s="175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7"/>
    </row>
    <row r="158" spans="2:13">
      <c r="B158" s="175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7"/>
    </row>
    <row r="159" spans="2:13">
      <c r="B159" s="175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7"/>
    </row>
    <row r="160" spans="2:13">
      <c r="B160" s="175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7"/>
    </row>
  </sheetData>
  <autoFilter ref="A1:M160"/>
  <mergeCells count="10">
    <mergeCell ref="A2:M2"/>
    <mergeCell ref="A5:A6"/>
    <mergeCell ref="B5:B6"/>
    <mergeCell ref="C5:C6"/>
    <mergeCell ref="D5:D6"/>
    <mergeCell ref="M5:M6"/>
    <mergeCell ref="E5:F5"/>
    <mergeCell ref="G5:H5"/>
    <mergeCell ref="I5:J5"/>
    <mergeCell ref="K5:L5"/>
  </mergeCells>
  <conditionalFormatting sqref="L81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N131"/>
  <sheetViews>
    <sheetView view="pageBreakPreview" topLeftCell="A64" zoomScaleNormal="60" zoomScaleSheetLayoutView="100" workbookViewId="0">
      <selection activeCell="J68" sqref="J68"/>
    </sheetView>
  </sheetViews>
  <sheetFormatPr defaultRowHeight="12.75"/>
  <cols>
    <col min="1" max="1" width="7.5703125" style="218" customWidth="1"/>
    <col min="2" max="2" width="13.140625" style="212" customWidth="1"/>
    <col min="3" max="3" width="69.42578125" style="212" bestFit="1" customWidth="1"/>
    <col min="4" max="12" width="9.140625" style="212" customWidth="1"/>
    <col min="13" max="13" width="11.140625" style="217" customWidth="1"/>
    <col min="14" max="16" width="20.7109375" style="207" customWidth="1"/>
    <col min="17" max="16384" width="9.140625" style="207"/>
  </cols>
  <sheetData>
    <row r="1" spans="1:14">
      <c r="A1" s="19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0"/>
    </row>
    <row r="2" spans="1:14">
      <c r="A2" s="297" t="s">
        <v>309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>
      <c r="A3" s="13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208" customFormat="1" ht="27.75" customHeight="1">
      <c r="A4" s="296" t="s">
        <v>336</v>
      </c>
      <c r="B4" s="295" t="s">
        <v>337</v>
      </c>
      <c r="C4" s="295" t="s">
        <v>338</v>
      </c>
      <c r="D4" s="295" t="s">
        <v>339</v>
      </c>
      <c r="E4" s="296" t="s">
        <v>340</v>
      </c>
      <c r="F4" s="296"/>
      <c r="G4" s="295" t="s">
        <v>341</v>
      </c>
      <c r="H4" s="295"/>
      <c r="I4" s="295" t="s">
        <v>6</v>
      </c>
      <c r="J4" s="295"/>
      <c r="K4" s="296" t="s">
        <v>342</v>
      </c>
      <c r="L4" s="296"/>
      <c r="M4" s="296" t="s">
        <v>4</v>
      </c>
    </row>
    <row r="5" spans="1:14" s="208" customFormat="1" ht="12.75" customHeight="1">
      <c r="A5" s="296"/>
      <c r="B5" s="295"/>
      <c r="C5" s="295"/>
      <c r="D5" s="295"/>
      <c r="E5" s="137" t="s">
        <v>343</v>
      </c>
      <c r="F5" s="137" t="s">
        <v>243</v>
      </c>
      <c r="G5" s="137" t="s">
        <v>343</v>
      </c>
      <c r="H5" s="137" t="s">
        <v>243</v>
      </c>
      <c r="I5" s="137" t="s">
        <v>343</v>
      </c>
      <c r="J5" s="137" t="s">
        <v>243</v>
      </c>
      <c r="K5" s="137" t="s">
        <v>343</v>
      </c>
      <c r="L5" s="137" t="s">
        <v>243</v>
      </c>
      <c r="M5" s="296"/>
    </row>
    <row r="6" spans="1:14" s="208" customFormat="1">
      <c r="A6" s="137">
        <v>1</v>
      </c>
      <c r="B6" s="137">
        <v>2</v>
      </c>
      <c r="C6" s="136">
        <v>3</v>
      </c>
      <c r="D6" s="137">
        <v>4</v>
      </c>
      <c r="E6" s="137">
        <v>5</v>
      </c>
      <c r="F6" s="137">
        <v>6</v>
      </c>
      <c r="G6" s="137">
        <v>7</v>
      </c>
      <c r="H6" s="77">
        <v>8</v>
      </c>
      <c r="I6" s="137">
        <v>9</v>
      </c>
      <c r="J6" s="77">
        <v>10</v>
      </c>
      <c r="K6" s="137">
        <v>11</v>
      </c>
      <c r="L6" s="77">
        <v>12</v>
      </c>
      <c r="M6" s="77">
        <v>13</v>
      </c>
    </row>
    <row r="7" spans="1:14" s="208" customFormat="1">
      <c r="A7" s="134"/>
      <c r="B7" s="134"/>
      <c r="C7" s="134"/>
      <c r="D7" s="134"/>
      <c r="E7" s="47"/>
      <c r="F7" s="47"/>
      <c r="G7" s="47"/>
      <c r="H7" s="47"/>
      <c r="I7" s="47"/>
      <c r="J7" s="47"/>
      <c r="K7" s="47"/>
      <c r="L7" s="47"/>
      <c r="M7" s="47"/>
    </row>
    <row r="8" spans="1:14" s="208" customFormat="1">
      <c r="A8" s="134"/>
      <c r="B8" s="198"/>
      <c r="C8" s="135" t="s">
        <v>303</v>
      </c>
      <c r="D8" s="198"/>
      <c r="E8" s="204"/>
      <c r="F8" s="204"/>
      <c r="G8" s="204"/>
      <c r="H8" s="204"/>
      <c r="I8" s="204"/>
      <c r="J8" s="204"/>
      <c r="K8" s="204"/>
      <c r="L8" s="204"/>
      <c r="M8" s="204"/>
    </row>
    <row r="9" spans="1:14" s="208" customFormat="1">
      <c r="A9" s="134"/>
      <c r="B9" s="198"/>
      <c r="C9" s="197"/>
      <c r="D9" s="198"/>
      <c r="E9" s="204"/>
      <c r="F9" s="204"/>
      <c r="G9" s="204"/>
      <c r="H9" s="204"/>
      <c r="I9" s="204"/>
      <c r="J9" s="204"/>
      <c r="K9" s="204"/>
      <c r="L9" s="204"/>
      <c r="M9" s="204"/>
    </row>
    <row r="10" spans="1:14">
      <c r="A10" s="198">
        <v>1.1000000000000001</v>
      </c>
      <c r="B10" s="196" t="s">
        <v>79</v>
      </c>
      <c r="C10" s="202" t="s">
        <v>304</v>
      </c>
      <c r="D10" s="198" t="s">
        <v>349</v>
      </c>
      <c r="E10" s="204"/>
      <c r="F10" s="204">
        <v>56</v>
      </c>
      <c r="G10" s="204"/>
      <c r="H10" s="204"/>
      <c r="I10" s="204"/>
      <c r="J10" s="204"/>
      <c r="K10" s="204"/>
      <c r="L10" s="204"/>
      <c r="M10" s="204"/>
      <c r="N10" s="211"/>
    </row>
    <row r="11" spans="1:14">
      <c r="A11" s="198"/>
      <c r="B11" s="140"/>
      <c r="C11" s="153"/>
      <c r="D11" s="198" t="s">
        <v>350</v>
      </c>
      <c r="E11" s="149"/>
      <c r="F11" s="149">
        <f>F10/1000</f>
        <v>5.6000000000000001E-2</v>
      </c>
      <c r="G11" s="149"/>
      <c r="H11" s="149"/>
      <c r="I11" s="149"/>
      <c r="J11" s="149"/>
      <c r="K11" s="149"/>
      <c r="L11" s="149"/>
      <c r="M11" s="104"/>
      <c r="N11" s="211"/>
    </row>
    <row r="12" spans="1:14">
      <c r="A12" s="198" t="s">
        <v>0</v>
      </c>
      <c r="B12" s="140"/>
      <c r="C12" s="199" t="s">
        <v>15</v>
      </c>
      <c r="D12" s="143" t="s">
        <v>1</v>
      </c>
      <c r="E12" s="149">
        <v>20</v>
      </c>
      <c r="F12" s="149">
        <f>E12*F11</f>
        <v>1.1200000000000001</v>
      </c>
      <c r="G12" s="149"/>
      <c r="H12" s="149"/>
      <c r="I12" s="106"/>
      <c r="J12" s="149"/>
      <c r="K12" s="149"/>
      <c r="L12" s="149"/>
      <c r="M12" s="104"/>
    </row>
    <row r="13" spans="1:14">
      <c r="A13" s="198" t="s">
        <v>185</v>
      </c>
      <c r="B13" s="81" t="s">
        <v>357</v>
      </c>
      <c r="C13" s="79" t="s">
        <v>356</v>
      </c>
      <c r="D13" s="143" t="s">
        <v>24</v>
      </c>
      <c r="E13" s="149">
        <v>44.8</v>
      </c>
      <c r="F13" s="149">
        <f>E13*F11</f>
        <v>2.5087999999999999</v>
      </c>
      <c r="G13" s="149"/>
      <c r="H13" s="149"/>
      <c r="I13" s="149"/>
      <c r="J13" s="149"/>
      <c r="K13" s="149"/>
      <c r="L13" s="149"/>
      <c r="M13" s="104"/>
    </row>
    <row r="14" spans="1:14">
      <c r="A14" s="198" t="s">
        <v>186</v>
      </c>
      <c r="B14" s="140"/>
      <c r="C14" s="145" t="s">
        <v>13</v>
      </c>
      <c r="D14" s="143" t="s">
        <v>25</v>
      </c>
      <c r="E14" s="149">
        <v>2.1</v>
      </c>
      <c r="F14" s="149">
        <f>E14*F11</f>
        <v>0.11760000000000001</v>
      </c>
      <c r="G14" s="149"/>
      <c r="H14" s="149"/>
      <c r="I14" s="149"/>
      <c r="J14" s="149"/>
      <c r="K14" s="106"/>
      <c r="L14" s="149"/>
      <c r="M14" s="104"/>
    </row>
    <row r="15" spans="1:14">
      <c r="A15" s="198" t="s">
        <v>187</v>
      </c>
      <c r="B15" s="81" t="s">
        <v>353</v>
      </c>
      <c r="C15" s="82" t="s">
        <v>352</v>
      </c>
      <c r="D15" s="198" t="s">
        <v>349</v>
      </c>
      <c r="E15" s="149">
        <v>0.05</v>
      </c>
      <c r="F15" s="149">
        <f>E15*F11</f>
        <v>2.8000000000000004E-3</v>
      </c>
      <c r="G15" s="152"/>
      <c r="H15" s="149"/>
      <c r="I15" s="149"/>
      <c r="J15" s="149"/>
      <c r="K15" s="149"/>
      <c r="L15" s="149"/>
      <c r="M15" s="104"/>
    </row>
    <row r="16" spans="1:14">
      <c r="A16" s="198"/>
      <c r="B16" s="196"/>
      <c r="C16" s="202"/>
      <c r="D16" s="198"/>
      <c r="E16" s="204"/>
      <c r="F16" s="204"/>
      <c r="G16" s="204"/>
      <c r="H16" s="204"/>
      <c r="I16" s="204"/>
      <c r="J16" s="204"/>
      <c r="K16" s="204"/>
      <c r="L16" s="204"/>
      <c r="M16" s="204"/>
    </row>
    <row r="17" spans="1:14">
      <c r="A17" s="198">
        <v>1.2</v>
      </c>
      <c r="B17" s="196" t="s">
        <v>383</v>
      </c>
      <c r="C17" s="202" t="s">
        <v>239</v>
      </c>
      <c r="D17" s="198" t="s">
        <v>349</v>
      </c>
      <c r="E17" s="204"/>
      <c r="F17" s="204">
        <v>2</v>
      </c>
      <c r="G17" s="204"/>
      <c r="H17" s="204"/>
      <c r="I17" s="204"/>
      <c r="J17" s="204"/>
      <c r="K17" s="204"/>
      <c r="L17" s="204"/>
      <c r="M17" s="204"/>
      <c r="N17" s="211"/>
    </row>
    <row r="18" spans="1:14">
      <c r="A18" s="198"/>
      <c r="B18" s="196"/>
      <c r="C18" s="202"/>
      <c r="D18" s="198" t="s">
        <v>363</v>
      </c>
      <c r="E18" s="204"/>
      <c r="F18" s="204">
        <f>F17/10</f>
        <v>0.2</v>
      </c>
      <c r="G18" s="204"/>
      <c r="H18" s="204"/>
      <c r="I18" s="204"/>
      <c r="J18" s="204"/>
      <c r="K18" s="204"/>
      <c r="L18" s="204"/>
      <c r="M18" s="204"/>
      <c r="N18" s="211"/>
    </row>
    <row r="19" spans="1:14">
      <c r="A19" s="198" t="s">
        <v>21</v>
      </c>
      <c r="B19" s="196"/>
      <c r="C19" s="202" t="s">
        <v>15</v>
      </c>
      <c r="D19" s="198" t="s">
        <v>1</v>
      </c>
      <c r="E19" s="204">
        <v>17.8</v>
      </c>
      <c r="F19" s="204">
        <f>E19*F18</f>
        <v>3.5600000000000005</v>
      </c>
      <c r="G19" s="204"/>
      <c r="H19" s="204"/>
      <c r="I19" s="204"/>
      <c r="J19" s="204"/>
      <c r="K19" s="204"/>
      <c r="L19" s="204"/>
      <c r="M19" s="204"/>
    </row>
    <row r="20" spans="1:14">
      <c r="A20" s="198" t="s">
        <v>35</v>
      </c>
      <c r="B20" s="201" t="s">
        <v>450</v>
      </c>
      <c r="C20" s="202" t="s">
        <v>94</v>
      </c>
      <c r="D20" s="198" t="s">
        <v>349</v>
      </c>
      <c r="E20" s="204">
        <v>11</v>
      </c>
      <c r="F20" s="204">
        <f>E20*F18</f>
        <v>2.2000000000000002</v>
      </c>
      <c r="G20" s="204"/>
      <c r="H20" s="204"/>
      <c r="I20" s="204"/>
      <c r="J20" s="204"/>
      <c r="K20" s="204"/>
      <c r="L20" s="204"/>
      <c r="M20" s="204"/>
    </row>
    <row r="21" spans="1:14">
      <c r="A21" s="198"/>
      <c r="B21" s="196"/>
      <c r="C21" s="202"/>
      <c r="D21" s="198"/>
      <c r="E21" s="204"/>
      <c r="F21" s="204"/>
      <c r="G21" s="204"/>
      <c r="H21" s="204"/>
      <c r="I21" s="204"/>
      <c r="J21" s="204"/>
      <c r="K21" s="204"/>
      <c r="L21" s="204"/>
      <c r="M21" s="204"/>
    </row>
    <row r="22" spans="1:14">
      <c r="A22" s="198">
        <v>1.3</v>
      </c>
      <c r="B22" s="221" t="s">
        <v>444</v>
      </c>
      <c r="C22" s="202" t="s">
        <v>441</v>
      </c>
      <c r="D22" s="198" t="s">
        <v>96</v>
      </c>
      <c r="E22" s="204"/>
      <c r="F22" s="204">
        <v>22</v>
      </c>
      <c r="G22" s="204"/>
      <c r="H22" s="204"/>
      <c r="I22" s="204"/>
      <c r="J22" s="204"/>
      <c r="K22" s="204"/>
      <c r="L22" s="204"/>
      <c r="M22" s="204"/>
      <c r="N22" s="211"/>
    </row>
    <row r="23" spans="1:14">
      <c r="A23" s="198"/>
      <c r="B23" s="221" t="s">
        <v>396</v>
      </c>
      <c r="C23" s="202"/>
      <c r="D23" s="198" t="s">
        <v>92</v>
      </c>
      <c r="E23" s="204"/>
      <c r="F23" s="220">
        <f>F22/100</f>
        <v>0.22</v>
      </c>
      <c r="G23" s="204"/>
      <c r="H23" s="204"/>
      <c r="I23" s="204"/>
      <c r="J23" s="204"/>
      <c r="K23" s="204"/>
      <c r="L23" s="204"/>
      <c r="M23" s="204"/>
      <c r="N23" s="211"/>
    </row>
    <row r="24" spans="1:14">
      <c r="A24" s="198" t="s">
        <v>30</v>
      </c>
      <c r="B24" s="219"/>
      <c r="C24" s="202" t="s">
        <v>40</v>
      </c>
      <c r="D24" s="198" t="s">
        <v>1</v>
      </c>
      <c r="E24" s="224">
        <v>39.94</v>
      </c>
      <c r="F24" s="204">
        <f>E24*F23</f>
        <v>8.7867999999999995</v>
      </c>
      <c r="G24" s="204"/>
      <c r="H24" s="204"/>
      <c r="I24" s="224"/>
      <c r="J24" s="204"/>
      <c r="K24" s="204"/>
      <c r="L24" s="204"/>
      <c r="M24" s="204"/>
    </row>
    <row r="25" spans="1:14">
      <c r="A25" s="198" t="s">
        <v>45</v>
      </c>
      <c r="B25" s="221" t="s">
        <v>443</v>
      </c>
      <c r="C25" s="202" t="s">
        <v>442</v>
      </c>
      <c r="D25" s="198" t="s">
        <v>96</v>
      </c>
      <c r="E25" s="224" t="s">
        <v>407</v>
      </c>
      <c r="F25" s="204">
        <f>F22</f>
        <v>22</v>
      </c>
      <c r="G25" s="224"/>
      <c r="H25" s="204"/>
      <c r="I25" s="204"/>
      <c r="J25" s="204"/>
      <c r="K25" s="204"/>
      <c r="L25" s="204"/>
      <c r="M25" s="204"/>
    </row>
    <row r="26" spans="1:14" s="231" customFormat="1">
      <c r="A26" s="198" t="s">
        <v>455</v>
      </c>
      <c r="B26" s="201" t="s">
        <v>425</v>
      </c>
      <c r="C26" s="233" t="s">
        <v>447</v>
      </c>
      <c r="D26" s="222" t="s">
        <v>24</v>
      </c>
      <c r="E26" s="224">
        <v>5.79</v>
      </c>
      <c r="F26" s="224">
        <f>E26*F23</f>
        <v>1.2738</v>
      </c>
      <c r="G26" s="224"/>
      <c r="H26" s="224"/>
      <c r="I26" s="224"/>
      <c r="J26" s="224"/>
      <c r="K26" s="224"/>
      <c r="L26" s="224"/>
      <c r="M26" s="224"/>
    </row>
    <row r="27" spans="1:14" s="231" customFormat="1">
      <c r="A27" s="198" t="s">
        <v>456</v>
      </c>
      <c r="B27" s="201" t="s">
        <v>445</v>
      </c>
      <c r="C27" s="233" t="s">
        <v>448</v>
      </c>
      <c r="D27" s="222" t="s">
        <v>24</v>
      </c>
      <c r="E27" s="224">
        <v>3.6</v>
      </c>
      <c r="F27" s="224">
        <f>E27*F23</f>
        <v>0.79200000000000004</v>
      </c>
      <c r="G27" s="224"/>
      <c r="H27" s="224"/>
      <c r="I27" s="224"/>
      <c r="J27" s="224"/>
      <c r="K27" s="224"/>
      <c r="L27" s="224"/>
      <c r="M27" s="224"/>
    </row>
    <row r="28" spans="1:14" s="231" customFormat="1">
      <c r="A28" s="198" t="s">
        <v>457</v>
      </c>
      <c r="B28" s="201" t="s">
        <v>446</v>
      </c>
      <c r="C28" s="233" t="s">
        <v>449</v>
      </c>
      <c r="D28" s="222" t="s">
        <v>24</v>
      </c>
      <c r="E28" s="224">
        <v>0.39</v>
      </c>
      <c r="F28" s="224">
        <f>E28*F23</f>
        <v>8.5800000000000001E-2</v>
      </c>
      <c r="G28" s="224"/>
      <c r="H28" s="224"/>
      <c r="I28" s="224"/>
      <c r="J28" s="224"/>
      <c r="K28" s="224"/>
      <c r="L28" s="224"/>
      <c r="M28" s="224"/>
    </row>
    <row r="29" spans="1:14" s="231" customFormat="1">
      <c r="A29" s="226"/>
      <c r="B29" s="206"/>
      <c r="C29" s="230"/>
      <c r="D29" s="226"/>
      <c r="E29" s="229"/>
      <c r="F29" s="229"/>
      <c r="G29" s="229"/>
      <c r="H29" s="229"/>
      <c r="I29" s="229"/>
      <c r="J29" s="229"/>
      <c r="K29" s="229"/>
      <c r="L29" s="229"/>
      <c r="M29" s="229"/>
    </row>
    <row r="30" spans="1:14" s="232" customFormat="1">
      <c r="A30" s="198"/>
      <c r="B30" s="196"/>
      <c r="C30" s="209"/>
      <c r="D30" s="198"/>
      <c r="E30" s="204"/>
      <c r="F30" s="204"/>
      <c r="G30" s="204"/>
      <c r="H30" s="204"/>
      <c r="I30" s="204"/>
      <c r="J30" s="204"/>
      <c r="K30" s="204"/>
      <c r="L30" s="204"/>
      <c r="M30" s="204"/>
    </row>
    <row r="31" spans="1:14">
      <c r="A31" s="198">
        <v>1.4</v>
      </c>
      <c r="B31" s="201" t="s">
        <v>451</v>
      </c>
      <c r="C31" s="202" t="s">
        <v>305</v>
      </c>
      <c r="D31" s="198" t="s">
        <v>349</v>
      </c>
      <c r="E31" s="204"/>
      <c r="F31" s="204">
        <v>5</v>
      </c>
      <c r="G31" s="204"/>
      <c r="H31" s="204"/>
      <c r="I31" s="204"/>
      <c r="J31" s="204"/>
      <c r="K31" s="204"/>
      <c r="L31" s="204"/>
      <c r="M31" s="204"/>
    </row>
    <row r="32" spans="1:14">
      <c r="A32" s="226"/>
      <c r="B32" s="206"/>
      <c r="C32" s="228"/>
      <c r="D32" s="198" t="s">
        <v>363</v>
      </c>
      <c r="E32" s="204"/>
      <c r="F32" s="220">
        <f>F31/10</f>
        <v>0.5</v>
      </c>
      <c r="G32" s="204"/>
      <c r="H32" s="204"/>
      <c r="I32" s="204"/>
      <c r="J32" s="204"/>
      <c r="K32" s="204"/>
      <c r="L32" s="204"/>
      <c r="M32" s="204"/>
    </row>
    <row r="33" spans="1:14">
      <c r="A33" s="198" t="s">
        <v>22</v>
      </c>
      <c r="B33" s="196"/>
      <c r="C33" s="202" t="s">
        <v>15</v>
      </c>
      <c r="D33" s="198" t="s">
        <v>1</v>
      </c>
      <c r="E33" s="224">
        <v>18</v>
      </c>
      <c r="F33" s="204">
        <f>ROUND(E33*F32,2)</f>
        <v>9</v>
      </c>
      <c r="G33" s="204"/>
      <c r="H33" s="204"/>
      <c r="I33" s="204"/>
      <c r="J33" s="204"/>
      <c r="K33" s="204"/>
      <c r="L33" s="204"/>
      <c r="M33" s="204"/>
    </row>
    <row r="34" spans="1:14">
      <c r="A34" s="198" t="s">
        <v>213</v>
      </c>
      <c r="B34" s="196"/>
      <c r="C34" s="202" t="s">
        <v>121</v>
      </c>
      <c r="D34" s="198" t="s">
        <v>349</v>
      </c>
      <c r="E34" s="204">
        <v>11</v>
      </c>
      <c r="F34" s="204">
        <f>E34*F32</f>
        <v>5.5</v>
      </c>
      <c r="G34" s="204"/>
      <c r="H34" s="204"/>
      <c r="I34" s="204"/>
      <c r="J34" s="204"/>
      <c r="K34" s="204"/>
      <c r="L34" s="204"/>
      <c r="M34" s="204"/>
    </row>
    <row r="35" spans="1:14">
      <c r="A35" s="198"/>
      <c r="B35" s="196"/>
      <c r="C35" s="202"/>
      <c r="D35" s="198"/>
      <c r="E35" s="204"/>
      <c r="F35" s="204"/>
      <c r="G35" s="204"/>
      <c r="H35" s="204"/>
      <c r="I35" s="204"/>
      <c r="J35" s="204"/>
      <c r="K35" s="204"/>
      <c r="L35" s="204"/>
      <c r="M35" s="204"/>
    </row>
    <row r="36" spans="1:14">
      <c r="A36" s="198">
        <v>1.5</v>
      </c>
      <c r="B36" s="140" t="s">
        <v>178</v>
      </c>
      <c r="C36" s="153" t="s">
        <v>238</v>
      </c>
      <c r="D36" s="198" t="s">
        <v>349</v>
      </c>
      <c r="E36" s="149"/>
      <c r="F36" s="149">
        <v>56</v>
      </c>
      <c r="G36" s="149"/>
      <c r="H36" s="149"/>
      <c r="I36" s="149"/>
      <c r="J36" s="149"/>
      <c r="K36" s="149"/>
      <c r="L36" s="149"/>
      <c r="M36" s="104"/>
      <c r="N36" s="211"/>
    </row>
    <row r="37" spans="1:14">
      <c r="A37" s="241"/>
      <c r="B37" s="140"/>
      <c r="C37" s="153"/>
      <c r="D37" s="198" t="s">
        <v>350</v>
      </c>
      <c r="E37" s="149"/>
      <c r="F37" s="188">
        <f>F36/1000</f>
        <v>5.6000000000000001E-2</v>
      </c>
      <c r="G37" s="149"/>
      <c r="H37" s="149"/>
      <c r="I37" s="149"/>
      <c r="J37" s="149"/>
      <c r="K37" s="149"/>
      <c r="L37" s="149"/>
      <c r="M37" s="104"/>
    </row>
    <row r="38" spans="1:14">
      <c r="A38" s="198" t="s">
        <v>188</v>
      </c>
      <c r="B38" s="140"/>
      <c r="C38" s="199" t="s">
        <v>15</v>
      </c>
      <c r="D38" s="143" t="s">
        <v>1</v>
      </c>
      <c r="E38" s="149">
        <v>15.5</v>
      </c>
      <c r="F38" s="149">
        <f>E38*F37</f>
        <v>0.86799999999999999</v>
      </c>
      <c r="G38" s="149"/>
      <c r="H38" s="149"/>
      <c r="I38" s="106"/>
      <c r="J38" s="149"/>
      <c r="K38" s="149"/>
      <c r="L38" s="149"/>
      <c r="M38" s="104"/>
    </row>
    <row r="39" spans="1:14">
      <c r="A39" s="198" t="s">
        <v>189</v>
      </c>
      <c r="B39" s="81" t="s">
        <v>357</v>
      </c>
      <c r="C39" s="79" t="s">
        <v>356</v>
      </c>
      <c r="D39" s="143" t="s">
        <v>24</v>
      </c>
      <c r="E39" s="149">
        <v>34.700000000000003</v>
      </c>
      <c r="F39" s="149">
        <f>E39*F37</f>
        <v>1.9432000000000003</v>
      </c>
      <c r="G39" s="149"/>
      <c r="H39" s="149"/>
      <c r="I39" s="149"/>
      <c r="J39" s="149"/>
      <c r="K39" s="149"/>
      <c r="L39" s="149"/>
      <c r="M39" s="104"/>
    </row>
    <row r="40" spans="1:14">
      <c r="A40" s="198" t="s">
        <v>190</v>
      </c>
      <c r="B40" s="140"/>
      <c r="C40" s="145" t="s">
        <v>13</v>
      </c>
      <c r="D40" s="143" t="s">
        <v>25</v>
      </c>
      <c r="E40" s="152">
        <v>2.09</v>
      </c>
      <c r="F40" s="149">
        <f>E40*F37</f>
        <v>0.11703999999999999</v>
      </c>
      <c r="G40" s="149"/>
      <c r="H40" s="149"/>
      <c r="I40" s="149"/>
      <c r="J40" s="149"/>
      <c r="K40" s="106"/>
      <c r="L40" s="149"/>
      <c r="M40" s="104"/>
    </row>
    <row r="41" spans="1:14">
      <c r="A41" s="198" t="s">
        <v>191</v>
      </c>
      <c r="B41" s="81" t="s">
        <v>353</v>
      </c>
      <c r="C41" s="82" t="s">
        <v>352</v>
      </c>
      <c r="D41" s="198" t="s">
        <v>349</v>
      </c>
      <c r="E41" s="149">
        <v>0.04</v>
      </c>
      <c r="F41" s="188">
        <f>E41*F37</f>
        <v>2.2400000000000002E-3</v>
      </c>
      <c r="G41" s="152"/>
      <c r="H41" s="149"/>
      <c r="I41" s="149"/>
      <c r="J41" s="149"/>
      <c r="K41" s="149"/>
      <c r="L41" s="149"/>
      <c r="M41" s="104"/>
    </row>
    <row r="42" spans="1:14" s="225" customFormat="1">
      <c r="A42" s="226"/>
      <c r="B42" s="234"/>
      <c r="C42" s="235"/>
      <c r="D42" s="226"/>
      <c r="E42" s="147"/>
      <c r="F42" s="236"/>
      <c r="G42" s="147"/>
      <c r="H42" s="147"/>
      <c r="I42" s="147"/>
      <c r="J42" s="147"/>
      <c r="K42" s="147"/>
      <c r="L42" s="147"/>
      <c r="M42" s="237"/>
    </row>
    <row r="43" spans="1:14">
      <c r="A43" s="198">
        <v>1.6</v>
      </c>
      <c r="B43" s="221" t="s">
        <v>453</v>
      </c>
      <c r="C43" s="202" t="s">
        <v>306</v>
      </c>
      <c r="D43" s="198" t="s">
        <v>349</v>
      </c>
      <c r="E43" s="204"/>
      <c r="F43" s="204">
        <v>1.7</v>
      </c>
      <c r="G43" s="204"/>
      <c r="H43" s="204"/>
      <c r="I43" s="204"/>
      <c r="J43" s="204"/>
      <c r="K43" s="204"/>
      <c r="L43" s="204"/>
      <c r="M43" s="204"/>
    </row>
    <row r="44" spans="1:14">
      <c r="A44" s="226"/>
      <c r="B44" s="227"/>
      <c r="C44" s="228"/>
      <c r="D44" s="198" t="s">
        <v>362</v>
      </c>
      <c r="E44" s="204"/>
      <c r="F44" s="220">
        <f>F43/100</f>
        <v>1.7000000000000001E-2</v>
      </c>
      <c r="G44" s="204"/>
      <c r="H44" s="204"/>
      <c r="I44" s="204"/>
      <c r="J44" s="204"/>
      <c r="K44" s="204"/>
      <c r="L44" s="204"/>
      <c r="M44" s="204"/>
    </row>
    <row r="45" spans="1:14">
      <c r="A45" s="198" t="s">
        <v>57</v>
      </c>
      <c r="B45" s="219"/>
      <c r="C45" s="202" t="s">
        <v>15</v>
      </c>
      <c r="D45" s="198" t="s">
        <v>1</v>
      </c>
      <c r="E45" s="224">
        <v>801</v>
      </c>
      <c r="F45" s="204">
        <f>E45*F44</f>
        <v>13.617000000000001</v>
      </c>
      <c r="G45" s="204"/>
      <c r="H45" s="204"/>
      <c r="I45" s="204"/>
      <c r="J45" s="204"/>
      <c r="K45" s="204"/>
      <c r="L45" s="204"/>
      <c r="M45" s="204"/>
    </row>
    <row r="46" spans="1:14">
      <c r="A46" s="198" t="s">
        <v>58</v>
      </c>
      <c r="B46" s="219"/>
      <c r="C46" s="202" t="s">
        <v>13</v>
      </c>
      <c r="D46" s="198" t="s">
        <v>25</v>
      </c>
      <c r="E46" s="224">
        <v>123</v>
      </c>
      <c r="F46" s="204">
        <f>E46*F44</f>
        <v>2.0910000000000002</v>
      </c>
      <c r="G46" s="204"/>
      <c r="H46" s="204"/>
      <c r="I46" s="204"/>
      <c r="J46" s="204"/>
      <c r="K46" s="204"/>
      <c r="L46" s="204"/>
      <c r="M46" s="204"/>
    </row>
    <row r="47" spans="1:14">
      <c r="A47" s="198" t="s">
        <v>199</v>
      </c>
      <c r="B47" s="221" t="s">
        <v>454</v>
      </c>
      <c r="C47" s="202" t="s">
        <v>107</v>
      </c>
      <c r="D47" s="198" t="s">
        <v>349</v>
      </c>
      <c r="E47" s="224">
        <v>101.5</v>
      </c>
      <c r="F47" s="204">
        <f>E47*F44</f>
        <v>1.7255</v>
      </c>
      <c r="G47" s="204"/>
      <c r="H47" s="204"/>
      <c r="I47" s="204"/>
      <c r="J47" s="204"/>
      <c r="K47" s="204"/>
      <c r="L47" s="204"/>
      <c r="M47" s="204"/>
    </row>
    <row r="48" spans="1:14">
      <c r="A48" s="198" t="s">
        <v>200</v>
      </c>
      <c r="B48" s="219"/>
      <c r="C48" s="202" t="s">
        <v>14</v>
      </c>
      <c r="D48" s="198" t="s">
        <v>25</v>
      </c>
      <c r="E48" s="224">
        <v>209</v>
      </c>
      <c r="F48" s="204">
        <f>E48*F44</f>
        <v>3.5530000000000004</v>
      </c>
      <c r="G48" s="204"/>
      <c r="H48" s="204"/>
      <c r="I48" s="204"/>
      <c r="J48" s="204"/>
      <c r="K48" s="204"/>
      <c r="L48" s="204"/>
      <c r="M48" s="204"/>
    </row>
    <row r="49" spans="1:14" s="165" customFormat="1">
      <c r="A49" s="198" t="s">
        <v>201</v>
      </c>
      <c r="B49" s="132" t="s">
        <v>378</v>
      </c>
      <c r="C49" s="133" t="s">
        <v>377</v>
      </c>
      <c r="D49" s="118" t="s">
        <v>359</v>
      </c>
      <c r="E49" s="126">
        <v>128</v>
      </c>
      <c r="F49" s="126">
        <f>E49*F44</f>
        <v>2.1760000000000002</v>
      </c>
      <c r="G49" s="126"/>
      <c r="H49" s="126"/>
      <c r="I49" s="126"/>
      <c r="J49" s="126"/>
      <c r="K49" s="126"/>
      <c r="L49" s="126"/>
      <c r="M49" s="126"/>
    </row>
    <row r="50" spans="1:14" s="165" customFormat="1">
      <c r="A50" s="198" t="s">
        <v>202</v>
      </c>
      <c r="B50" s="132" t="s">
        <v>382</v>
      </c>
      <c r="C50" s="223" t="s">
        <v>458</v>
      </c>
      <c r="D50" s="118" t="s">
        <v>349</v>
      </c>
      <c r="E50" s="126">
        <f>0.24+0.63+3.09</f>
        <v>3.96</v>
      </c>
      <c r="F50" s="126">
        <f>E50*F44</f>
        <v>6.7320000000000005E-2</v>
      </c>
      <c r="G50" s="126"/>
      <c r="H50" s="126"/>
      <c r="I50" s="126"/>
      <c r="J50" s="126"/>
      <c r="K50" s="126"/>
      <c r="L50" s="126"/>
      <c r="M50" s="126"/>
    </row>
    <row r="51" spans="1:14">
      <c r="A51" s="198"/>
      <c r="B51" s="219"/>
      <c r="C51" s="202"/>
      <c r="D51" s="198"/>
      <c r="E51" s="204"/>
      <c r="F51" s="204"/>
      <c r="G51" s="204"/>
      <c r="H51" s="204"/>
      <c r="I51" s="204"/>
      <c r="J51" s="204"/>
      <c r="K51" s="204"/>
      <c r="L51" s="204"/>
      <c r="M51" s="204"/>
    </row>
    <row r="52" spans="1:14">
      <c r="A52" s="210">
        <v>1.7</v>
      </c>
      <c r="B52" s="201" t="s">
        <v>459</v>
      </c>
      <c r="C52" s="202" t="s">
        <v>308</v>
      </c>
      <c r="D52" s="198" t="s">
        <v>307</v>
      </c>
      <c r="E52" s="204"/>
      <c r="F52" s="204">
        <v>1</v>
      </c>
      <c r="G52" s="204"/>
      <c r="H52" s="204"/>
      <c r="I52" s="204"/>
      <c r="J52" s="204"/>
      <c r="K52" s="204"/>
      <c r="L52" s="204"/>
      <c r="M52" s="204"/>
      <c r="N52" s="211"/>
    </row>
    <row r="53" spans="1:14">
      <c r="A53" s="198" t="s">
        <v>59</v>
      </c>
      <c r="B53" s="196"/>
      <c r="C53" s="202" t="s">
        <v>15</v>
      </c>
      <c r="D53" s="198" t="s">
        <v>1</v>
      </c>
      <c r="E53" s="224">
        <v>1.54</v>
      </c>
      <c r="F53" s="204">
        <v>17</v>
      </c>
      <c r="G53" s="204"/>
      <c r="H53" s="204"/>
      <c r="I53" s="204"/>
      <c r="J53" s="204"/>
      <c r="K53" s="204"/>
      <c r="L53" s="204"/>
      <c r="M53" s="204"/>
    </row>
    <row r="54" spans="1:14">
      <c r="A54" s="198" t="s">
        <v>60</v>
      </c>
      <c r="B54" s="201" t="s">
        <v>425</v>
      </c>
      <c r="C54" s="202" t="s">
        <v>447</v>
      </c>
      <c r="D54" s="198" t="s">
        <v>24</v>
      </c>
      <c r="E54" s="224">
        <v>0.09</v>
      </c>
      <c r="F54" s="204">
        <f>E54*F52</f>
        <v>0.09</v>
      </c>
      <c r="G54" s="204"/>
      <c r="H54" s="204"/>
      <c r="I54" s="204"/>
      <c r="J54" s="204"/>
      <c r="K54" s="204"/>
      <c r="L54" s="204"/>
      <c r="M54" s="204"/>
    </row>
    <row r="55" spans="1:14">
      <c r="A55" s="198" t="s">
        <v>194</v>
      </c>
      <c r="B55" s="201" t="s">
        <v>463</v>
      </c>
      <c r="C55" s="202" t="s">
        <v>452</v>
      </c>
      <c r="D55" s="198" t="s">
        <v>307</v>
      </c>
      <c r="E55" s="204">
        <v>1</v>
      </c>
      <c r="F55" s="204">
        <f>E55*F52</f>
        <v>1</v>
      </c>
      <c r="G55" s="204"/>
      <c r="H55" s="204"/>
      <c r="I55" s="204"/>
      <c r="J55" s="204"/>
      <c r="K55" s="204"/>
      <c r="L55" s="204"/>
      <c r="M55" s="204"/>
    </row>
    <row r="56" spans="1:14">
      <c r="A56" s="198" t="s">
        <v>462</v>
      </c>
      <c r="B56" s="201" t="s">
        <v>460</v>
      </c>
      <c r="C56" s="223" t="s">
        <v>461</v>
      </c>
      <c r="D56" s="222" t="s">
        <v>349</v>
      </c>
      <c r="E56" s="238">
        <v>1.4E-2</v>
      </c>
      <c r="F56" s="224">
        <f>E56*F52</f>
        <v>1.4E-2</v>
      </c>
      <c r="G56" s="224"/>
      <c r="H56" s="224"/>
      <c r="I56" s="224"/>
      <c r="J56" s="224"/>
      <c r="K56" s="224"/>
      <c r="L56" s="224"/>
      <c r="M56" s="224"/>
    </row>
    <row r="57" spans="1:14">
      <c r="A57" s="198"/>
      <c r="B57" s="196"/>
      <c r="C57" s="202"/>
      <c r="D57" s="198"/>
      <c r="E57" s="204"/>
      <c r="F57" s="204"/>
      <c r="G57" s="204"/>
      <c r="H57" s="204"/>
      <c r="I57" s="204"/>
      <c r="J57" s="204"/>
      <c r="K57" s="204"/>
      <c r="L57" s="204"/>
      <c r="M57" s="204"/>
    </row>
    <row r="58" spans="1:14">
      <c r="A58" s="198"/>
      <c r="B58" s="219"/>
      <c r="C58" s="202"/>
      <c r="D58" s="198"/>
      <c r="E58" s="204"/>
      <c r="F58" s="204"/>
      <c r="G58" s="204"/>
      <c r="H58" s="204"/>
      <c r="I58" s="204"/>
      <c r="J58" s="204"/>
      <c r="K58" s="204"/>
      <c r="L58" s="204"/>
      <c r="M58" s="204"/>
    </row>
    <row r="59" spans="1:14">
      <c r="A59" s="198">
        <v>1.8</v>
      </c>
      <c r="B59" s="201" t="s">
        <v>459</v>
      </c>
      <c r="C59" s="223" t="s">
        <v>468</v>
      </c>
      <c r="D59" s="222" t="s">
        <v>88</v>
      </c>
      <c r="E59" s="224"/>
      <c r="F59" s="224">
        <v>2</v>
      </c>
      <c r="G59" s="224"/>
      <c r="H59" s="224"/>
      <c r="I59" s="224"/>
      <c r="J59" s="224"/>
      <c r="K59" s="224"/>
      <c r="L59" s="224"/>
      <c r="M59" s="224"/>
      <c r="N59" s="211"/>
    </row>
    <row r="60" spans="1:14">
      <c r="A60" s="198" t="s">
        <v>61</v>
      </c>
      <c r="B60" s="221"/>
      <c r="C60" s="223" t="s">
        <v>40</v>
      </c>
      <c r="D60" s="222" t="s">
        <v>1</v>
      </c>
      <c r="E60" s="224">
        <v>1.54</v>
      </c>
      <c r="F60" s="224">
        <f>E60*F59</f>
        <v>3.08</v>
      </c>
      <c r="G60" s="224"/>
      <c r="H60" s="224"/>
      <c r="I60" s="224"/>
      <c r="J60" s="224"/>
      <c r="K60" s="224"/>
      <c r="L60" s="224"/>
      <c r="M60" s="224"/>
    </row>
    <row r="61" spans="1:14">
      <c r="A61" s="198" t="s">
        <v>62</v>
      </c>
      <c r="B61" s="201" t="s">
        <v>425</v>
      </c>
      <c r="C61" s="223" t="s">
        <v>447</v>
      </c>
      <c r="D61" s="222" t="s">
        <v>24</v>
      </c>
      <c r="E61" s="224">
        <v>0.09</v>
      </c>
      <c r="F61" s="224">
        <f>E61*F59</f>
        <v>0.18</v>
      </c>
      <c r="G61" s="224"/>
      <c r="H61" s="224"/>
      <c r="I61" s="224"/>
      <c r="J61" s="224"/>
      <c r="K61" s="224"/>
      <c r="L61" s="224"/>
      <c r="M61" s="224"/>
    </row>
    <row r="62" spans="1:14">
      <c r="A62" s="198" t="s">
        <v>203</v>
      </c>
      <c r="B62" s="221" t="s">
        <v>470</v>
      </c>
      <c r="C62" s="223" t="s">
        <v>469</v>
      </c>
      <c r="D62" s="222" t="s">
        <v>88</v>
      </c>
      <c r="E62" s="224">
        <v>1</v>
      </c>
      <c r="F62" s="224">
        <f>E62*F59</f>
        <v>2</v>
      </c>
      <c r="G62" s="224"/>
      <c r="H62" s="224"/>
      <c r="I62" s="224"/>
      <c r="J62" s="224"/>
      <c r="K62" s="224"/>
      <c r="L62" s="224"/>
      <c r="M62" s="224"/>
    </row>
    <row r="63" spans="1:14">
      <c r="A63" s="198" t="s">
        <v>204</v>
      </c>
      <c r="B63" s="201" t="s">
        <v>460</v>
      </c>
      <c r="C63" s="223" t="s">
        <v>461</v>
      </c>
      <c r="D63" s="222" t="s">
        <v>349</v>
      </c>
      <c r="E63" s="238">
        <v>1.4E-2</v>
      </c>
      <c r="F63" s="224">
        <f>E63*F59</f>
        <v>2.8000000000000001E-2</v>
      </c>
      <c r="G63" s="224"/>
      <c r="H63" s="224"/>
      <c r="I63" s="224"/>
      <c r="J63" s="224"/>
      <c r="K63" s="224"/>
      <c r="L63" s="224"/>
      <c r="M63" s="224"/>
    </row>
    <row r="64" spans="1:14">
      <c r="A64" s="198"/>
      <c r="B64" s="219"/>
      <c r="C64" s="202"/>
      <c r="D64" s="198"/>
      <c r="E64" s="204"/>
      <c r="F64" s="204"/>
      <c r="G64" s="204"/>
      <c r="H64" s="204"/>
      <c r="I64" s="204"/>
      <c r="J64" s="204"/>
      <c r="K64" s="204"/>
      <c r="L64" s="204"/>
      <c r="M64" s="204"/>
    </row>
    <row r="65" spans="1:14">
      <c r="A65" s="210">
        <v>1.9</v>
      </c>
      <c r="B65" s="201" t="s">
        <v>459</v>
      </c>
      <c r="C65" s="202" t="s">
        <v>464</v>
      </c>
      <c r="D65" s="198" t="s">
        <v>307</v>
      </c>
      <c r="E65" s="204"/>
      <c r="F65" s="204">
        <v>1</v>
      </c>
      <c r="G65" s="204"/>
      <c r="H65" s="204"/>
      <c r="I65" s="204"/>
      <c r="J65" s="204"/>
      <c r="K65" s="204"/>
      <c r="L65" s="204"/>
      <c r="M65" s="204"/>
      <c r="N65" s="211"/>
    </row>
    <row r="66" spans="1:14">
      <c r="A66" s="198" t="s">
        <v>63</v>
      </c>
      <c r="B66" s="196"/>
      <c r="C66" s="202" t="s">
        <v>15</v>
      </c>
      <c r="D66" s="198" t="s">
        <v>1</v>
      </c>
      <c r="E66" s="224">
        <v>1.54</v>
      </c>
      <c r="F66" s="204">
        <v>17</v>
      </c>
      <c r="G66" s="204"/>
      <c r="H66" s="204"/>
      <c r="I66" s="204"/>
      <c r="J66" s="204"/>
      <c r="K66" s="204"/>
      <c r="L66" s="204"/>
      <c r="M66" s="204"/>
    </row>
    <row r="67" spans="1:14">
      <c r="A67" s="198" t="s">
        <v>64</v>
      </c>
      <c r="B67" s="201" t="s">
        <v>425</v>
      </c>
      <c r="C67" s="202" t="s">
        <v>447</v>
      </c>
      <c r="D67" s="198" t="s">
        <v>24</v>
      </c>
      <c r="E67" s="224">
        <v>0.09</v>
      </c>
      <c r="F67" s="204">
        <f>E67*F65</f>
        <v>0.09</v>
      </c>
      <c r="G67" s="204"/>
      <c r="H67" s="204"/>
      <c r="I67" s="204"/>
      <c r="J67" s="204"/>
      <c r="K67" s="204"/>
      <c r="L67" s="204"/>
      <c r="M67" s="204"/>
    </row>
    <row r="68" spans="1:14">
      <c r="A68" s="198" t="s">
        <v>207</v>
      </c>
      <c r="B68" s="201" t="s">
        <v>460</v>
      </c>
      <c r="C68" s="223" t="s">
        <v>461</v>
      </c>
      <c r="D68" s="222" t="s">
        <v>349</v>
      </c>
      <c r="E68" s="238">
        <v>1.4E-2</v>
      </c>
      <c r="F68" s="224">
        <f>E68*F65</f>
        <v>1.4E-2</v>
      </c>
      <c r="G68" s="224"/>
      <c r="H68" s="224"/>
      <c r="I68" s="224"/>
      <c r="J68" s="224"/>
      <c r="K68" s="224"/>
      <c r="L68" s="224"/>
      <c r="M68" s="224"/>
    </row>
    <row r="69" spans="1:14">
      <c r="A69" s="198" t="s">
        <v>208</v>
      </c>
      <c r="B69" s="201" t="s">
        <v>465</v>
      </c>
      <c r="C69" s="223" t="s">
        <v>466</v>
      </c>
      <c r="D69" s="222" t="s">
        <v>467</v>
      </c>
      <c r="E69" s="224">
        <v>1</v>
      </c>
      <c r="F69" s="224">
        <f>E69*F65</f>
        <v>1</v>
      </c>
      <c r="G69" s="224"/>
      <c r="H69" s="224"/>
      <c r="I69" s="224"/>
      <c r="J69" s="224"/>
      <c r="K69" s="224"/>
      <c r="L69" s="224"/>
      <c r="M69" s="224"/>
    </row>
    <row r="70" spans="1:14">
      <c r="A70" s="198"/>
      <c r="B70" s="196"/>
      <c r="C70" s="202"/>
      <c r="D70" s="198"/>
      <c r="E70" s="204"/>
      <c r="F70" s="204"/>
      <c r="G70" s="204"/>
      <c r="H70" s="204"/>
      <c r="I70" s="204"/>
      <c r="J70" s="204"/>
      <c r="K70" s="204"/>
      <c r="L70" s="204"/>
      <c r="M70" s="204"/>
    </row>
    <row r="71" spans="1:14" s="86" customFormat="1">
      <c r="A71" s="134"/>
      <c r="B71" s="85"/>
      <c r="C71" s="134" t="s">
        <v>4</v>
      </c>
      <c r="D71" s="134"/>
      <c r="E71" s="47"/>
      <c r="F71" s="47"/>
      <c r="G71" s="47"/>
      <c r="H71" s="47"/>
      <c r="I71" s="47"/>
      <c r="J71" s="47"/>
      <c r="K71" s="47"/>
      <c r="L71" s="47"/>
      <c r="M71" s="47"/>
    </row>
    <row r="72" spans="1:14" s="205" customFormat="1">
      <c r="A72" s="134"/>
      <c r="B72" s="196"/>
      <c r="C72" s="143"/>
      <c r="D72" s="143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1:14" s="205" customFormat="1">
      <c r="A73" s="134"/>
      <c r="B73" s="196"/>
      <c r="C73" s="143" t="s">
        <v>10</v>
      </c>
      <c r="D73" s="164">
        <v>0.1</v>
      </c>
      <c r="E73" s="149"/>
      <c r="F73" s="149"/>
      <c r="G73" s="149"/>
      <c r="H73" s="149"/>
      <c r="I73" s="149"/>
      <c r="J73" s="149"/>
      <c r="K73" s="149"/>
      <c r="L73" s="149"/>
      <c r="M73" s="149"/>
    </row>
    <row r="74" spans="1:14" s="205" customFormat="1">
      <c r="A74" s="134"/>
      <c r="B74" s="196"/>
      <c r="C74" s="143" t="s">
        <v>4</v>
      </c>
      <c r="D74" s="164"/>
      <c r="E74" s="149"/>
      <c r="F74" s="149"/>
      <c r="G74" s="149"/>
      <c r="H74" s="149"/>
      <c r="I74" s="149"/>
      <c r="J74" s="149"/>
      <c r="K74" s="149"/>
      <c r="L74" s="149"/>
      <c r="M74" s="149"/>
    </row>
    <row r="75" spans="1:14" s="205" customFormat="1">
      <c r="A75" s="134"/>
      <c r="B75" s="196"/>
      <c r="C75" s="143" t="s">
        <v>11</v>
      </c>
      <c r="D75" s="164">
        <v>0.08</v>
      </c>
      <c r="E75" s="149"/>
      <c r="F75" s="149"/>
      <c r="G75" s="149"/>
      <c r="H75" s="149"/>
      <c r="I75" s="149"/>
      <c r="J75" s="149"/>
      <c r="K75" s="149"/>
      <c r="L75" s="149"/>
      <c r="M75" s="149"/>
    </row>
    <row r="76" spans="1:14" s="205" customFormat="1">
      <c r="A76" s="134"/>
      <c r="B76" s="196"/>
      <c r="C76" s="143"/>
      <c r="D76" s="164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14" s="86" customFormat="1">
      <c r="A77" s="134"/>
      <c r="B77" s="85"/>
      <c r="C77" s="134" t="s">
        <v>4</v>
      </c>
      <c r="D77" s="134"/>
      <c r="E77" s="47"/>
      <c r="F77" s="47"/>
      <c r="G77" s="47"/>
      <c r="H77" s="47"/>
      <c r="I77" s="47"/>
      <c r="J77" s="47"/>
      <c r="K77" s="47"/>
      <c r="L77" s="47"/>
      <c r="M77" s="47"/>
    </row>
    <row r="78" spans="1:14">
      <c r="B78" s="214"/>
      <c r="C78" s="213"/>
      <c r="D78" s="214"/>
      <c r="E78" s="214"/>
      <c r="F78" s="214"/>
      <c r="G78" s="214"/>
      <c r="H78" s="214"/>
      <c r="I78" s="214"/>
      <c r="J78" s="214"/>
      <c r="K78" s="214"/>
      <c r="L78" s="214"/>
      <c r="M78" s="215"/>
    </row>
    <row r="79" spans="1:14">
      <c r="B79" s="214"/>
      <c r="C79" s="213"/>
      <c r="D79" s="214"/>
      <c r="E79" s="214"/>
      <c r="F79" s="214"/>
      <c r="G79" s="214"/>
      <c r="H79" s="214"/>
      <c r="I79" s="214"/>
      <c r="J79" s="214"/>
      <c r="K79" s="214"/>
      <c r="L79" s="214"/>
      <c r="M79" s="215"/>
    </row>
    <row r="80" spans="1:14">
      <c r="B80" s="214"/>
      <c r="C80" s="213"/>
      <c r="D80" s="214"/>
      <c r="E80" s="214"/>
      <c r="F80" s="214"/>
      <c r="G80" s="214"/>
      <c r="H80" s="214"/>
      <c r="I80" s="214"/>
      <c r="J80" s="214"/>
      <c r="K80" s="214"/>
      <c r="L80" s="214"/>
      <c r="M80" s="215"/>
    </row>
    <row r="81" spans="2:13">
      <c r="B81" s="214"/>
      <c r="C81" s="213"/>
      <c r="D81" s="214"/>
      <c r="E81" s="214"/>
      <c r="F81" s="214"/>
      <c r="G81" s="214"/>
      <c r="H81" s="214"/>
      <c r="I81" s="214"/>
      <c r="J81" s="214"/>
      <c r="K81" s="214"/>
      <c r="L81" s="214"/>
      <c r="M81" s="215"/>
    </row>
    <row r="82" spans="2:13">
      <c r="B82" s="214"/>
      <c r="C82" s="213"/>
      <c r="D82" s="214"/>
      <c r="E82" s="214"/>
      <c r="F82" s="214"/>
      <c r="G82" s="214"/>
      <c r="H82" s="214"/>
      <c r="I82" s="214"/>
      <c r="J82" s="214"/>
      <c r="K82" s="214"/>
      <c r="L82" s="214"/>
      <c r="M82" s="215"/>
    </row>
    <row r="83" spans="2:13">
      <c r="B83" s="214"/>
      <c r="C83" s="213"/>
      <c r="D83" s="214"/>
      <c r="E83" s="214"/>
      <c r="F83" s="214"/>
      <c r="G83" s="214"/>
      <c r="H83" s="214"/>
      <c r="I83" s="214"/>
      <c r="J83" s="214"/>
      <c r="K83" s="214"/>
      <c r="L83" s="214"/>
      <c r="M83" s="215"/>
    </row>
    <row r="84" spans="2:13">
      <c r="B84" s="214"/>
      <c r="C84" s="213"/>
      <c r="D84" s="214"/>
      <c r="E84" s="214"/>
      <c r="F84" s="214"/>
      <c r="G84" s="214"/>
      <c r="H84" s="214"/>
      <c r="I84" s="214"/>
      <c r="J84" s="214"/>
      <c r="K84" s="214"/>
      <c r="L84" s="214"/>
      <c r="M84" s="215"/>
    </row>
    <row r="85" spans="2:13">
      <c r="B85" s="214"/>
      <c r="C85" s="213"/>
      <c r="D85" s="214"/>
      <c r="E85" s="214"/>
      <c r="F85" s="214"/>
      <c r="G85" s="214"/>
      <c r="H85" s="214"/>
      <c r="I85" s="214"/>
      <c r="J85" s="214"/>
      <c r="K85" s="214"/>
      <c r="L85" s="214"/>
      <c r="M85" s="215"/>
    </row>
    <row r="86" spans="2:13">
      <c r="B86" s="214"/>
      <c r="C86" s="213"/>
      <c r="D86" s="214"/>
      <c r="E86" s="214"/>
      <c r="F86" s="214"/>
      <c r="G86" s="214"/>
      <c r="H86" s="214"/>
      <c r="I86" s="214"/>
      <c r="J86" s="214"/>
      <c r="K86" s="214"/>
      <c r="L86" s="214"/>
      <c r="M86" s="215"/>
    </row>
    <row r="87" spans="2:13">
      <c r="B87" s="214"/>
      <c r="C87" s="213"/>
      <c r="D87" s="214"/>
      <c r="E87" s="214"/>
      <c r="F87" s="214"/>
      <c r="G87" s="214"/>
      <c r="H87" s="214"/>
      <c r="I87" s="214"/>
      <c r="J87" s="214"/>
      <c r="K87" s="214"/>
      <c r="L87" s="214"/>
      <c r="M87" s="215"/>
    </row>
    <row r="88" spans="2:13">
      <c r="B88" s="214"/>
      <c r="C88" s="213"/>
      <c r="D88" s="214"/>
      <c r="E88" s="214"/>
      <c r="F88" s="214"/>
      <c r="G88" s="214"/>
      <c r="H88" s="214"/>
      <c r="I88" s="214"/>
      <c r="J88" s="214"/>
      <c r="K88" s="214"/>
      <c r="L88" s="214"/>
      <c r="M88" s="215"/>
    </row>
    <row r="89" spans="2:13">
      <c r="B89" s="214"/>
      <c r="C89" s="213"/>
      <c r="D89" s="214"/>
      <c r="E89" s="214"/>
      <c r="F89" s="214"/>
      <c r="G89" s="214"/>
      <c r="H89" s="214"/>
      <c r="I89" s="214"/>
      <c r="J89" s="214"/>
      <c r="K89" s="214"/>
      <c r="L89" s="214"/>
      <c r="M89" s="215"/>
    </row>
    <row r="90" spans="2:13">
      <c r="B90" s="214"/>
      <c r="C90" s="213"/>
      <c r="D90" s="214"/>
      <c r="E90" s="214"/>
      <c r="F90" s="214"/>
      <c r="G90" s="214"/>
      <c r="H90" s="214"/>
      <c r="I90" s="214"/>
      <c r="J90" s="214"/>
      <c r="K90" s="214"/>
      <c r="L90" s="214"/>
      <c r="M90" s="215"/>
    </row>
    <row r="91" spans="2:13">
      <c r="B91" s="214"/>
      <c r="C91" s="213"/>
      <c r="D91" s="214"/>
      <c r="E91" s="214"/>
      <c r="F91" s="214"/>
      <c r="G91" s="214"/>
      <c r="H91" s="214"/>
      <c r="I91" s="214"/>
      <c r="J91" s="214"/>
      <c r="K91" s="214"/>
      <c r="L91" s="214"/>
      <c r="M91" s="215"/>
    </row>
    <row r="92" spans="2:13">
      <c r="B92" s="214"/>
      <c r="C92" s="213"/>
      <c r="D92" s="214"/>
      <c r="E92" s="214"/>
      <c r="F92" s="214"/>
      <c r="G92" s="214"/>
      <c r="H92" s="214"/>
      <c r="I92" s="214"/>
      <c r="J92" s="214"/>
      <c r="K92" s="214"/>
      <c r="L92" s="214"/>
      <c r="M92" s="215"/>
    </row>
    <row r="93" spans="2:13">
      <c r="B93" s="214"/>
      <c r="C93" s="213"/>
      <c r="D93" s="214"/>
      <c r="E93" s="214"/>
      <c r="F93" s="214"/>
      <c r="G93" s="214"/>
      <c r="H93" s="214"/>
      <c r="I93" s="214"/>
      <c r="J93" s="214"/>
      <c r="K93" s="214"/>
      <c r="L93" s="214"/>
      <c r="M93" s="215"/>
    </row>
    <row r="94" spans="2:13">
      <c r="B94" s="214"/>
      <c r="C94" s="213"/>
      <c r="D94" s="214"/>
      <c r="E94" s="214"/>
      <c r="F94" s="214"/>
      <c r="G94" s="214"/>
      <c r="H94" s="214"/>
      <c r="I94" s="214"/>
      <c r="J94" s="214"/>
      <c r="K94" s="214"/>
      <c r="L94" s="214"/>
      <c r="M94" s="215"/>
    </row>
    <row r="95" spans="2:13">
      <c r="B95" s="214"/>
      <c r="C95" s="213"/>
      <c r="D95" s="214"/>
      <c r="E95" s="214"/>
      <c r="F95" s="214"/>
      <c r="G95" s="214"/>
      <c r="H95" s="214"/>
      <c r="I95" s="214"/>
      <c r="J95" s="214"/>
      <c r="K95" s="214"/>
      <c r="L95" s="214"/>
      <c r="M95" s="215"/>
    </row>
    <row r="96" spans="2:13">
      <c r="B96" s="214"/>
      <c r="C96" s="213"/>
      <c r="D96" s="214"/>
      <c r="E96" s="214"/>
      <c r="F96" s="214"/>
      <c r="G96" s="214"/>
      <c r="H96" s="214"/>
      <c r="I96" s="214"/>
      <c r="J96" s="214"/>
      <c r="K96" s="214"/>
      <c r="L96" s="214"/>
      <c r="M96" s="215"/>
    </row>
    <row r="97" spans="2:13">
      <c r="B97" s="214"/>
      <c r="C97" s="213"/>
      <c r="D97" s="214"/>
      <c r="E97" s="214"/>
      <c r="F97" s="214"/>
      <c r="G97" s="214"/>
      <c r="H97" s="214"/>
      <c r="I97" s="214"/>
      <c r="J97" s="214"/>
      <c r="K97" s="214"/>
      <c r="L97" s="214"/>
      <c r="M97" s="215"/>
    </row>
    <row r="98" spans="2:13">
      <c r="B98" s="214"/>
      <c r="C98" s="213"/>
      <c r="D98" s="214"/>
      <c r="E98" s="214"/>
      <c r="F98" s="214"/>
      <c r="G98" s="214"/>
      <c r="H98" s="214"/>
      <c r="I98" s="214"/>
      <c r="J98" s="214"/>
      <c r="K98" s="214"/>
      <c r="L98" s="214"/>
      <c r="M98" s="215"/>
    </row>
    <row r="99" spans="2:13">
      <c r="B99" s="214"/>
      <c r="C99" s="213"/>
      <c r="D99" s="214"/>
      <c r="E99" s="214"/>
      <c r="F99" s="214"/>
      <c r="G99" s="214"/>
      <c r="H99" s="214"/>
      <c r="I99" s="214"/>
      <c r="J99" s="214"/>
      <c r="K99" s="214"/>
      <c r="L99" s="214"/>
      <c r="M99" s="215"/>
    </row>
    <row r="100" spans="2:13">
      <c r="B100" s="214"/>
      <c r="C100" s="213"/>
      <c r="D100" s="214"/>
      <c r="E100" s="214"/>
      <c r="F100" s="214"/>
      <c r="G100" s="214"/>
      <c r="H100" s="214"/>
      <c r="I100" s="214"/>
      <c r="J100" s="214"/>
      <c r="K100" s="214"/>
      <c r="L100" s="214"/>
      <c r="M100" s="215"/>
    </row>
    <row r="101" spans="2:13">
      <c r="B101" s="214"/>
      <c r="C101" s="213"/>
      <c r="D101" s="214"/>
      <c r="E101" s="214"/>
      <c r="F101" s="214"/>
      <c r="G101" s="214"/>
      <c r="H101" s="214"/>
      <c r="I101" s="214"/>
      <c r="J101" s="214"/>
      <c r="K101" s="214"/>
      <c r="L101" s="214"/>
      <c r="M101" s="215"/>
    </row>
    <row r="102" spans="2:13">
      <c r="B102" s="214"/>
      <c r="C102" s="213"/>
      <c r="D102" s="214"/>
      <c r="E102" s="214"/>
      <c r="F102" s="214"/>
      <c r="G102" s="214"/>
      <c r="H102" s="214"/>
      <c r="I102" s="214"/>
      <c r="J102" s="214"/>
      <c r="K102" s="214"/>
      <c r="L102" s="214"/>
      <c r="M102" s="215"/>
    </row>
    <row r="103" spans="2:13">
      <c r="B103" s="214"/>
      <c r="C103" s="213"/>
      <c r="D103" s="214"/>
      <c r="E103" s="214"/>
      <c r="F103" s="214"/>
      <c r="G103" s="214"/>
      <c r="H103" s="214"/>
      <c r="I103" s="214"/>
      <c r="J103" s="214"/>
      <c r="K103" s="214"/>
      <c r="L103" s="214"/>
      <c r="M103" s="215"/>
    </row>
    <row r="104" spans="2:13">
      <c r="B104" s="214"/>
      <c r="C104" s="213"/>
      <c r="D104" s="214"/>
      <c r="E104" s="214"/>
      <c r="F104" s="214"/>
      <c r="G104" s="214"/>
      <c r="H104" s="214"/>
      <c r="I104" s="214"/>
      <c r="J104" s="214"/>
      <c r="K104" s="214"/>
      <c r="L104" s="214"/>
      <c r="M104" s="215"/>
    </row>
    <row r="105" spans="2:13">
      <c r="B105" s="214"/>
      <c r="C105" s="213"/>
      <c r="D105" s="214"/>
      <c r="E105" s="214"/>
      <c r="F105" s="214"/>
      <c r="G105" s="214"/>
      <c r="H105" s="214"/>
      <c r="I105" s="214"/>
      <c r="J105" s="214"/>
      <c r="K105" s="214"/>
      <c r="L105" s="214"/>
      <c r="M105" s="215"/>
    </row>
    <row r="106" spans="2:13">
      <c r="B106" s="214"/>
      <c r="C106" s="213"/>
      <c r="D106" s="214"/>
      <c r="E106" s="214"/>
      <c r="F106" s="214"/>
      <c r="G106" s="214"/>
      <c r="H106" s="214"/>
      <c r="I106" s="214"/>
      <c r="J106" s="214"/>
      <c r="K106" s="214"/>
      <c r="L106" s="214"/>
      <c r="M106" s="215"/>
    </row>
    <row r="107" spans="2:13">
      <c r="B107" s="214"/>
      <c r="C107" s="213"/>
      <c r="D107" s="214"/>
      <c r="E107" s="214"/>
      <c r="F107" s="214"/>
      <c r="G107" s="214"/>
      <c r="H107" s="214"/>
      <c r="I107" s="214"/>
      <c r="J107" s="214"/>
      <c r="K107" s="214"/>
      <c r="L107" s="214"/>
      <c r="M107" s="215"/>
    </row>
    <row r="108" spans="2:13">
      <c r="B108" s="214"/>
      <c r="C108" s="213"/>
      <c r="D108" s="214"/>
      <c r="E108" s="214"/>
      <c r="F108" s="214"/>
      <c r="G108" s="214"/>
      <c r="H108" s="214"/>
      <c r="I108" s="214"/>
      <c r="J108" s="214"/>
      <c r="K108" s="214"/>
      <c r="L108" s="214"/>
      <c r="M108" s="215"/>
    </row>
    <row r="109" spans="2:13">
      <c r="B109" s="214"/>
      <c r="C109" s="213"/>
      <c r="D109" s="214"/>
      <c r="E109" s="214"/>
      <c r="F109" s="214"/>
      <c r="G109" s="214"/>
      <c r="H109" s="214"/>
      <c r="I109" s="214"/>
      <c r="J109" s="214"/>
      <c r="K109" s="214"/>
      <c r="L109" s="214"/>
      <c r="M109" s="215"/>
    </row>
    <row r="110" spans="2:13">
      <c r="B110" s="214"/>
      <c r="C110" s="213"/>
      <c r="D110" s="214"/>
      <c r="E110" s="214"/>
      <c r="F110" s="214"/>
      <c r="G110" s="214"/>
      <c r="H110" s="214"/>
      <c r="I110" s="214"/>
      <c r="J110" s="214"/>
      <c r="K110" s="214"/>
      <c r="L110" s="214"/>
      <c r="M110" s="215"/>
    </row>
    <row r="111" spans="2:13">
      <c r="B111" s="214"/>
      <c r="C111" s="213"/>
      <c r="D111" s="214"/>
      <c r="E111" s="214"/>
      <c r="F111" s="214"/>
      <c r="G111" s="214"/>
      <c r="H111" s="214"/>
      <c r="I111" s="214"/>
      <c r="J111" s="214"/>
      <c r="K111" s="214"/>
      <c r="L111" s="214"/>
      <c r="M111" s="215"/>
    </row>
    <row r="112" spans="2:13">
      <c r="B112" s="214"/>
      <c r="C112" s="213"/>
      <c r="D112" s="214"/>
      <c r="E112" s="214"/>
      <c r="F112" s="214"/>
      <c r="G112" s="214"/>
      <c r="H112" s="214"/>
      <c r="I112" s="214"/>
      <c r="J112" s="214"/>
      <c r="K112" s="214"/>
      <c r="L112" s="214"/>
      <c r="M112" s="215"/>
    </row>
    <row r="113" spans="2:13">
      <c r="B113" s="214"/>
      <c r="C113" s="213"/>
      <c r="D113" s="214"/>
      <c r="E113" s="214"/>
      <c r="F113" s="214"/>
      <c r="G113" s="214"/>
      <c r="H113" s="214"/>
      <c r="I113" s="214"/>
      <c r="J113" s="214"/>
      <c r="K113" s="214"/>
      <c r="L113" s="214"/>
      <c r="M113" s="215"/>
    </row>
    <row r="114" spans="2:13">
      <c r="B114" s="214"/>
      <c r="C114" s="213"/>
      <c r="D114" s="214"/>
      <c r="E114" s="214"/>
      <c r="F114" s="214"/>
      <c r="G114" s="214"/>
      <c r="H114" s="214"/>
      <c r="I114" s="214"/>
      <c r="J114" s="214"/>
      <c r="K114" s="214"/>
      <c r="L114" s="214"/>
      <c r="M114" s="215"/>
    </row>
    <row r="115" spans="2:13">
      <c r="B115" s="214"/>
      <c r="C115" s="213"/>
      <c r="D115" s="214"/>
      <c r="E115" s="214"/>
      <c r="F115" s="214"/>
      <c r="G115" s="214"/>
      <c r="H115" s="214"/>
      <c r="I115" s="214"/>
      <c r="J115" s="214"/>
      <c r="K115" s="214"/>
      <c r="L115" s="214"/>
      <c r="M115" s="215"/>
    </row>
    <row r="116" spans="2:13">
      <c r="B116" s="214"/>
      <c r="C116" s="213"/>
      <c r="D116" s="214"/>
      <c r="E116" s="214"/>
      <c r="F116" s="214"/>
      <c r="G116" s="214"/>
      <c r="H116" s="214"/>
      <c r="I116" s="214"/>
      <c r="J116" s="214"/>
      <c r="K116" s="214"/>
      <c r="L116" s="214"/>
      <c r="M116" s="215"/>
    </row>
    <row r="117" spans="2:13">
      <c r="B117" s="214"/>
      <c r="C117" s="213"/>
      <c r="D117" s="214"/>
      <c r="E117" s="214"/>
      <c r="F117" s="214"/>
      <c r="G117" s="214"/>
      <c r="H117" s="214"/>
      <c r="I117" s="214"/>
      <c r="J117" s="214"/>
      <c r="K117" s="214"/>
      <c r="L117" s="214"/>
      <c r="M117" s="215"/>
    </row>
    <row r="118" spans="2:13">
      <c r="B118" s="214"/>
      <c r="C118" s="213"/>
      <c r="D118" s="214"/>
      <c r="E118" s="214"/>
      <c r="F118" s="214"/>
      <c r="G118" s="214"/>
      <c r="H118" s="214"/>
      <c r="I118" s="214"/>
      <c r="J118" s="214"/>
      <c r="K118" s="214"/>
      <c r="L118" s="214"/>
      <c r="M118" s="215"/>
    </row>
    <row r="119" spans="2:13"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6"/>
    </row>
    <row r="120" spans="2:13"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6"/>
    </row>
    <row r="121" spans="2:13"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6"/>
    </row>
    <row r="122" spans="2:13"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6"/>
    </row>
    <row r="123" spans="2:13"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6"/>
    </row>
    <row r="124" spans="2:13"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6"/>
    </row>
    <row r="125" spans="2:13"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6"/>
    </row>
    <row r="126" spans="2:13"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6"/>
    </row>
    <row r="127" spans="2:13"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6"/>
    </row>
    <row r="128" spans="2:13"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6"/>
    </row>
    <row r="129" spans="2:13"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6"/>
    </row>
    <row r="130" spans="2:13"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6"/>
    </row>
    <row r="131" spans="2:13"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6"/>
    </row>
  </sheetData>
  <autoFilter ref="A1:M133"/>
  <mergeCells count="10">
    <mergeCell ref="I4:J4"/>
    <mergeCell ref="K4:L4"/>
    <mergeCell ref="A2:M2"/>
    <mergeCell ref="A4:A5"/>
    <mergeCell ref="M4:M5"/>
    <mergeCell ref="B4:B5"/>
    <mergeCell ref="C4:C5"/>
    <mergeCell ref="D4:D5"/>
    <mergeCell ref="E4:F4"/>
    <mergeCell ref="G4:H4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114</vt:i4>
      </vt:variant>
    </vt:vector>
  </HeadingPairs>
  <TitlesOfParts>
    <vt:vector size="129" baseType="lpstr">
      <vt:lpstr>კრებსითი</vt:lpstr>
      <vt:lpstr>1-1</vt:lpstr>
      <vt:lpstr>2-1</vt:lpstr>
      <vt:lpstr>3-1</vt:lpstr>
      <vt:lpstr>3-2</vt:lpstr>
      <vt:lpstr>3-3</vt:lpstr>
      <vt:lpstr>3-4</vt:lpstr>
      <vt:lpstr>3-5</vt:lpstr>
      <vt:lpstr>3-6</vt:lpstr>
      <vt:lpstr>3-7</vt:lpstr>
      <vt:lpstr>3-8</vt:lpstr>
      <vt:lpstr>4-1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'3-2'!Область_печати</vt:lpstr>
      <vt:lpstr>'3-3'!Область_печати</vt:lpstr>
      <vt:lpstr>'3-4'!Область_печати</vt:lpstr>
      <vt:lpstr>'3-5'!Область_печати</vt:lpstr>
      <vt:lpstr>'3-6'!Область_печати</vt:lpstr>
      <vt:lpstr>'3-7'!Область_печати</vt:lpstr>
      <vt:lpstr>'3-8'!Область_печати</vt:lpstr>
      <vt:lpstr>'4-1'!Область_печати</vt:lpstr>
      <vt:lpstr>კრებსითი!Область_печати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2018-09-12T13:59:24Z</dcterms:modified>
</cp:coreProperties>
</file>