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tabRatio="848" activeTab="5"/>
  </bookViews>
  <sheets>
    <sheet name="კრებს" sheetId="1" r:id="rId1"/>
    <sheet name="ობ. შენობა" sheetId="2" r:id="rId2"/>
    <sheet name="სამშ." sheetId="3" r:id="rId3"/>
    <sheet name="შიდა წყალს" sheetId="4" r:id="rId4"/>
    <sheet name="შიდა კანალიზ" sheetId="5" r:id="rId5"/>
    <sheet name="ვენტ" sheetId="6" r:id="rId6"/>
    <sheet name="ელექტროგათბ" sheetId="7" r:id="rId7"/>
    <sheet name="ელექტრობა" sheetId="8" r:id="rId8"/>
    <sheet name="სუსტ" sheetId="9" r:id="rId9"/>
    <sheet name="ლიფტი" sheetId="10" r:id="rId10"/>
    <sheet name="დაბ. ძაბვა" sheetId="11" r:id="rId11"/>
    <sheet name="გარე წყ" sheetId="12" r:id="rId12"/>
    <sheet name="გარე კან" sheetId="13" r:id="rId13"/>
    <sheet name="ვერტ" sheetId="14" r:id="rId14"/>
    <sheet name="კეთილმოწყ" sheetId="15" r:id="rId15"/>
  </sheets>
  <definedNames>
    <definedName name="_xlnm.Print_Area" localSheetId="12">'გარე კან'!$A$1:$M$44</definedName>
    <definedName name="_xlnm.Print_Area" localSheetId="11">'გარე წყ'!$A$1:$M$51</definedName>
    <definedName name="_xlnm.Print_Area" localSheetId="10">'დაბ. ძაბვა'!$A$1:$M$49</definedName>
    <definedName name="_xlnm.Print_Area" localSheetId="7">'ელექტრობა'!$A$1:$M$151</definedName>
    <definedName name="_xlnm.Print_Area" localSheetId="6">'ელექტროგათბ'!$A$1:$M$85</definedName>
    <definedName name="_xlnm.Print_Area" localSheetId="5">'ვენტ'!$A$1:$M$132</definedName>
    <definedName name="_xlnm.Print_Area" localSheetId="13">'ვერტ'!$A$1:$M$33</definedName>
    <definedName name="_xlnm.Print_Area" localSheetId="14">'კეთილმოწყ'!$A$1:$M$72</definedName>
    <definedName name="_xlnm.Print_Area" localSheetId="0">'კრებს'!$A$1:$H$46</definedName>
    <definedName name="_xlnm.Print_Area" localSheetId="9">'ლიფტი'!$A$1:$M$23</definedName>
    <definedName name="_xlnm.Print_Area" localSheetId="1">'ობ. შენობა'!$A$1:$H$21</definedName>
    <definedName name="_xlnm.Print_Area" localSheetId="2">'სამშ.'!$A$1:$M$673</definedName>
    <definedName name="_xlnm.Print_Area" localSheetId="8">'სუსტ'!$A$1:$M$166</definedName>
    <definedName name="_xlnm.Print_Area" localSheetId="4">'შიდა კანალიზ'!$A$1:$M$84</definedName>
    <definedName name="_xlnm.Print_Area" localSheetId="3">'შიდა წყალს'!$A$1:$M$109</definedName>
    <definedName name="_xlnm.Print_Titles" localSheetId="12">'გარე კან'!$8:$8</definedName>
    <definedName name="_xlnm.Print_Titles" localSheetId="11">'გარე წყ'!$8:$8</definedName>
    <definedName name="_xlnm.Print_Titles" localSheetId="10">'დაბ. ძაბვა'!$10:$10</definedName>
    <definedName name="_xlnm.Print_Titles" localSheetId="7">'ელექტრობა'!$8:$8</definedName>
    <definedName name="_xlnm.Print_Titles" localSheetId="6">'ელექტროგათბ'!$8:$8</definedName>
    <definedName name="_xlnm.Print_Titles" localSheetId="5">'ვენტ'!$8:$8</definedName>
    <definedName name="_xlnm.Print_Titles" localSheetId="13">'ვერტ'!$8:$8</definedName>
    <definedName name="_xlnm.Print_Titles" localSheetId="14">'კეთილმოწყ'!$8:$8</definedName>
    <definedName name="_xlnm.Print_Titles" localSheetId="0">'კრებს'!$6:$6</definedName>
    <definedName name="_xlnm.Print_Titles" localSheetId="9">'ლიფტი'!$8:$8</definedName>
    <definedName name="_xlnm.Print_Titles" localSheetId="1">'ობ. შენობა'!$7:$7</definedName>
    <definedName name="_xlnm.Print_Titles" localSheetId="2">'სამშ.'!$8:$8</definedName>
    <definedName name="_xlnm.Print_Titles" localSheetId="8">'სუსტ'!$8:$8</definedName>
    <definedName name="_xlnm.Print_Titles" localSheetId="4">'შიდა კანალიზ'!$8:$8</definedName>
    <definedName name="_xlnm.Print_Titles" localSheetId="3">'შიდა წყალს'!$9:$9</definedName>
  </definedNames>
  <calcPr fullCalcOnLoad="1"/>
</workbook>
</file>

<file path=xl/sharedStrings.xml><?xml version="1.0" encoding="utf-8"?>
<sst xmlns="http://schemas.openxmlformats.org/spreadsheetml/2006/main" count="3556" uniqueCount="898">
  <si>
    <t>xis ficari 2x.25-32mm</t>
  </si>
  <si>
    <t>samSeneblo WanWiki</t>
  </si>
  <si>
    <t>cementis xsnari m100</t>
  </si>
  <si>
    <t>sxvadasxva masala normiT</t>
  </si>
  <si>
    <t>Sromis danaxarjebi 0,188+0,0034X4=</t>
  </si>
  <si>
    <t>1. miwis samuSaoebi</t>
  </si>
  <si>
    <t>1-25-2</t>
  </si>
  <si>
    <t>buldozeri 108cx.Z.</t>
  </si>
  <si>
    <t>15-164-8</t>
  </si>
  <si>
    <t>liTonis moajiri</t>
  </si>
  <si>
    <t>cementi m300</t>
  </si>
  <si>
    <t>2. saZirkveli</t>
  </si>
  <si>
    <t>RorRi</t>
  </si>
  <si>
    <t>6-12-7</t>
  </si>
  <si>
    <t>antiseptikuri pasta</t>
  </si>
  <si>
    <t>jami 3</t>
  </si>
  <si>
    <t>4. saxuravi</t>
  </si>
  <si>
    <t>10-37-3</t>
  </si>
  <si>
    <t>xis molartyvis cecxldacva</t>
  </si>
  <si>
    <t>xis molartyvis antiseptireba</t>
  </si>
  <si>
    <t>pasta antiseptikuri</t>
  </si>
  <si>
    <t>jami 4</t>
  </si>
  <si>
    <t>jami 5</t>
  </si>
  <si>
    <t>jami 6</t>
  </si>
  <si>
    <t>jami 7</t>
  </si>
  <si>
    <t>15-52-3</t>
  </si>
  <si>
    <t>xaraCos liTonis elementebi</t>
  </si>
  <si>
    <t>xaraCos xis elementebi</t>
  </si>
  <si>
    <t>fenilis fari</t>
  </si>
  <si>
    <t>jami 8</t>
  </si>
  <si>
    <t>jami 9</t>
  </si>
  <si>
    <t>8-3-2</t>
  </si>
  <si>
    <t>sxvadasxva samuSaoebi</t>
  </si>
  <si>
    <t>droebiTi Senoba - nagebobebi</t>
  </si>
  <si>
    <t xml:space="preserve">                     Seadgina:</t>
  </si>
  <si>
    <t xml:space="preserve">      </t>
  </si>
  <si>
    <t>10-11</t>
  </si>
  <si>
    <t>samSeneblo lursmani</t>
  </si>
  <si>
    <t>mavTuli glinula</t>
  </si>
  <si>
    <t>10-37-1</t>
  </si>
  <si>
    <t>fosformJava amoniumi</t>
  </si>
  <si>
    <t>amoniumis sulfati</t>
  </si>
  <si>
    <t>navTis kontaqti</t>
  </si>
  <si>
    <t>lari</t>
  </si>
  <si>
    <t>ganz.</t>
  </si>
  <si>
    <t>raodenoba</t>
  </si>
  <si>
    <t>masala</t>
  </si>
  <si>
    <t>xelfasi</t>
  </si>
  <si>
    <t>manqana-meqanizmebi da transporti</t>
  </si>
  <si>
    <t>jami</t>
  </si>
  <si>
    <t>normativiT erTeulze</t>
  </si>
  <si>
    <t>sul</t>
  </si>
  <si>
    <t>erT. fasi</t>
  </si>
  <si>
    <t>1</t>
  </si>
  <si>
    <t xml:space="preserve">Sromis danaxarjebi </t>
  </si>
  <si>
    <t>kac/sT</t>
  </si>
  <si>
    <t>masala:</t>
  </si>
  <si>
    <t>sxva masala</t>
  </si>
  <si>
    <t>Seadgina:</t>
  </si>
  <si>
    <t>c</t>
  </si>
  <si>
    <t>7</t>
  </si>
  <si>
    <t>NN</t>
  </si>
  <si>
    <t>sxva manqana</t>
  </si>
  <si>
    <t>samuSao</t>
  </si>
  <si>
    <t>m2</t>
  </si>
  <si>
    <t>kg</t>
  </si>
  <si>
    <t>m3</t>
  </si>
  <si>
    <t>samSeneblo samuSaoebi</t>
  </si>
  <si>
    <t>2</t>
  </si>
  <si>
    <t>3</t>
  </si>
  <si>
    <t>4</t>
  </si>
  <si>
    <t>5</t>
  </si>
  <si>
    <t>6</t>
  </si>
  <si>
    <t>8</t>
  </si>
  <si>
    <r>
      <t xml:space="preserve">gafas.     </t>
    </r>
    <r>
      <rPr>
        <sz val="10"/>
        <rFont val="Arial"/>
        <family val="2"/>
      </rPr>
      <t>N</t>
    </r>
  </si>
  <si>
    <t>t</t>
  </si>
  <si>
    <t>aTasi lari</t>
  </si>
  <si>
    <t>mSeneblobis Rirebulebis krebsiTi saxarjTaRricxvo gaangariSeba</t>
  </si>
  <si>
    <t>rigiTi #</t>
  </si>
  <si>
    <t>xarjT.                  #</t>
  </si>
  <si>
    <t>Tavebis, obieqtebis, samuSaoebisa da danaxarjebis dasaxeleba</t>
  </si>
  <si>
    <t xml:space="preserve">mowyobiloba </t>
  </si>
  <si>
    <t>Tavi 2</t>
  </si>
  <si>
    <t>mSeneblobis ZiriTadi obieqtebi</t>
  </si>
  <si>
    <t>xis Zeli</t>
  </si>
  <si>
    <t>m</t>
  </si>
  <si>
    <t>sabazro</t>
  </si>
  <si>
    <t>jami 1</t>
  </si>
  <si>
    <t>jami 2</t>
  </si>
  <si>
    <t xml:space="preserve">samSeneblo samuSaoebi </t>
  </si>
  <si>
    <t>toli</t>
  </si>
  <si>
    <t>naWedi</t>
  </si>
  <si>
    <t>15-14-1</t>
  </si>
  <si>
    <t>Tavi 8</t>
  </si>
  <si>
    <t xml:space="preserve">Sromis danaxarjebi  </t>
  </si>
  <si>
    <t>xsnaris tumbo 1m3/sT</t>
  </si>
  <si>
    <t>cementis xsnari 1:3</t>
  </si>
  <si>
    <t>liTonis bade</t>
  </si>
  <si>
    <t>11-8-1</t>
  </si>
  <si>
    <t xml:space="preserve">sxva manqana </t>
  </si>
  <si>
    <t>saRebavi pva</t>
  </si>
  <si>
    <t>safiTxni</t>
  </si>
  <si>
    <t xml:space="preserve">jami </t>
  </si>
  <si>
    <t>eleqtrodi</t>
  </si>
  <si>
    <t>mSeneblobis dasaxeleba</t>
  </si>
  <si>
    <t>rigiTi nomeri</t>
  </si>
  <si>
    <t>#</t>
  </si>
  <si>
    <t>samontaJo samuSaoebi</t>
  </si>
  <si>
    <t xml:space="preserve">sxvadasxva samuSaoebi </t>
  </si>
  <si>
    <t>9</t>
  </si>
  <si>
    <t>10</t>
  </si>
  <si>
    <t>12</t>
  </si>
  <si>
    <t>13</t>
  </si>
  <si>
    <t>zeTovani saRebavi</t>
  </si>
  <si>
    <t>olifa</t>
  </si>
  <si>
    <t>grZ.m</t>
  </si>
  <si>
    <t xml:space="preserve">sxva manqana  </t>
  </si>
  <si>
    <t>16-24-2</t>
  </si>
  <si>
    <t>16-24-3</t>
  </si>
  <si>
    <t>16-24-4</t>
  </si>
  <si>
    <t>16-12-1</t>
  </si>
  <si>
    <t>cali</t>
  </si>
  <si>
    <t>foladis miltuCi</t>
  </si>
  <si>
    <t>WanWiki qanCiT</t>
  </si>
  <si>
    <t>mili d=50mm</t>
  </si>
  <si>
    <t>komp</t>
  </si>
  <si>
    <t>8-599-1</t>
  </si>
  <si>
    <t>8-591-8</t>
  </si>
  <si>
    <t>8-591-3</t>
  </si>
  <si>
    <t>16-24-5</t>
  </si>
  <si>
    <t>kompl.</t>
  </si>
  <si>
    <t>ventili d=20mm</t>
  </si>
  <si>
    <t>26-4-3</t>
  </si>
  <si>
    <t xml:space="preserve">Sromis danaxarjebi   </t>
  </si>
  <si>
    <t xml:space="preserve">Sesakravi zolana </t>
  </si>
  <si>
    <t>mavTuli</t>
  </si>
  <si>
    <t>samuSaos dasaxeleba</t>
  </si>
  <si>
    <t>Tavi 6</t>
  </si>
  <si>
    <t>gare qselebi</t>
  </si>
  <si>
    <t>jami 10</t>
  </si>
  <si>
    <t>maT Soris: mowyobiloba</t>
  </si>
  <si>
    <t>Sromis danaxarjebi</t>
  </si>
  <si>
    <t>betoni m200</t>
  </si>
  <si>
    <t>lursmani</t>
  </si>
  <si>
    <t>yalibis fari</t>
  </si>
  <si>
    <t xml:space="preserve">xis ficari 3x.40mm </t>
  </si>
  <si>
    <t>xis ficari 2x.40mm da meti</t>
  </si>
  <si>
    <t>xis ficari 3x.40mm da meti</t>
  </si>
  <si>
    <t>armatura a-3</t>
  </si>
  <si>
    <t>6-1-1</t>
  </si>
  <si>
    <t>cementis xsnari m25</t>
  </si>
  <si>
    <t>8-402-2</t>
  </si>
  <si>
    <t>jami 1+2+3+4+5+6+7+8+9+10</t>
  </si>
  <si>
    <t>betoni m100</t>
  </si>
  <si>
    <t>9-14-5</t>
  </si>
  <si>
    <t>7-58-4</t>
  </si>
  <si>
    <t>xarjTaRricxva #4</t>
  </si>
  <si>
    <t>xarjT. #4</t>
  </si>
  <si>
    <t xml:space="preserve">sul </t>
  </si>
  <si>
    <t>RorRi m800 fr. 20-40mm</t>
  </si>
  <si>
    <t>aguri</t>
  </si>
  <si>
    <t>1000c</t>
  </si>
  <si>
    <t>pnevmosatkepni</t>
  </si>
  <si>
    <t>3. karkasi, kedlebi da tixrebi</t>
  </si>
  <si>
    <t>5. kibe</t>
  </si>
  <si>
    <t>6. Riobebi</t>
  </si>
  <si>
    <t>7. iatakebi</t>
  </si>
  <si>
    <t>9 gare mopirkeTeba</t>
  </si>
  <si>
    <t>liTonis moajiris SeRebva zeTovani saRebaviT orjer</t>
  </si>
  <si>
    <t>10-54-7</t>
  </si>
  <si>
    <t>10-742-1</t>
  </si>
  <si>
    <t xml:space="preserve">saxanZro signalizaciis paneli </t>
  </si>
  <si>
    <t>10-743-3</t>
  </si>
  <si>
    <t>10-744-6</t>
  </si>
  <si>
    <t>sirena</t>
  </si>
  <si>
    <t>10-974-1</t>
  </si>
  <si>
    <t>sakabelo arxi</t>
  </si>
  <si>
    <t>hidroizoli</t>
  </si>
  <si>
    <t>10-20-3</t>
  </si>
  <si>
    <r>
      <t xml:space="preserve">satelefono rozeti </t>
    </r>
    <r>
      <rPr>
        <sz val="10"/>
        <rFont val="Arial"/>
        <family val="2"/>
      </rPr>
      <t>RJ</t>
    </r>
    <r>
      <rPr>
        <sz val="10"/>
        <rFont val="AcadNusx"/>
        <family val="0"/>
      </rPr>
      <t>45 (me-5 kategoria)</t>
    </r>
  </si>
  <si>
    <r>
      <t xml:space="preserve">rozeti </t>
    </r>
    <r>
      <rPr>
        <sz val="10"/>
        <rFont val="Arial"/>
        <family val="2"/>
      </rPr>
      <t>RJ</t>
    </r>
    <r>
      <rPr>
        <sz val="10"/>
        <rFont val="AcadNusx"/>
        <family val="0"/>
      </rPr>
      <t>45 kompiuteris                            (me-5 kategoria)</t>
    </r>
  </si>
  <si>
    <t>8-102-1</t>
  </si>
  <si>
    <t>erTklaviSiani CamrTveli</t>
  </si>
  <si>
    <t>orklaviSiani CamrTveli</t>
  </si>
  <si>
    <t>saxarjTaRricxvo Rirebuleba</t>
  </si>
  <si>
    <t xml:space="preserve"> maT Soris xelfasi</t>
  </si>
  <si>
    <t xml:space="preserve">zednadebi xarjebi  </t>
  </si>
  <si>
    <t>mogeba</t>
  </si>
  <si>
    <t>12-8-5</t>
  </si>
  <si>
    <t>armatura a-1</t>
  </si>
  <si>
    <t>6-16-5</t>
  </si>
  <si>
    <t>8-4-3</t>
  </si>
  <si>
    <t>RorRis baliSis mowyoba saZirkvlis qveS</t>
  </si>
  <si>
    <t>izoaluminis fanjara</t>
  </si>
  <si>
    <t>11-7-1</t>
  </si>
  <si>
    <t>15-56-1</t>
  </si>
  <si>
    <t>1-118-11</t>
  </si>
  <si>
    <t xml:space="preserve">gruntis datkepna pnevmosatkepnebiT </t>
  </si>
  <si>
    <t>1-22-15</t>
  </si>
  <si>
    <t>buldozeri 80cx.Z.</t>
  </si>
  <si>
    <t>moWiquli filebi</t>
  </si>
  <si>
    <t>16-6-1</t>
  </si>
  <si>
    <t>samagri</t>
  </si>
  <si>
    <t>16-6-2</t>
  </si>
  <si>
    <t>mili d=100 mm</t>
  </si>
  <si>
    <t>17-1-9</t>
  </si>
  <si>
    <t>trapi d=50</t>
  </si>
  <si>
    <t>17-1-5</t>
  </si>
  <si>
    <t xml:space="preserve">xelsabani </t>
  </si>
  <si>
    <t>17-4-1</t>
  </si>
  <si>
    <t>unitazi</t>
  </si>
  <si>
    <t>qviSa</t>
  </si>
  <si>
    <t>samkapi 50/50 plastmasis</t>
  </si>
  <si>
    <t>unitazi (Camrecxi avziT)</t>
  </si>
  <si>
    <t>1-81-3</t>
  </si>
  <si>
    <t>ventili d=25mm</t>
  </si>
  <si>
    <t>sxva xarjebi</t>
  </si>
  <si>
    <t>Tavi 9</t>
  </si>
  <si>
    <t>Tujis xufi</t>
  </si>
  <si>
    <t>mdf-is kari furnituriT</t>
  </si>
  <si>
    <t>mdf karis dayeneba (furnituriT)</t>
  </si>
  <si>
    <t>gare wyalsadeni</t>
  </si>
  <si>
    <t>III kategoriis gruntis damuSaveba xeliT</t>
  </si>
  <si>
    <t>Sromis danaxarji</t>
  </si>
  <si>
    <t>sxvadasxva manqana</t>
  </si>
  <si>
    <t>sxvadasxva masala</t>
  </si>
  <si>
    <t xml:space="preserve">zednadebi xarjebi </t>
  </si>
  <si>
    <t xml:space="preserve">mogeba </t>
  </si>
  <si>
    <t>gare kanalizacia</t>
  </si>
  <si>
    <t>1-11-15</t>
  </si>
  <si>
    <t>22-8-3</t>
  </si>
  <si>
    <t>23-12-1</t>
  </si>
  <si>
    <t>armatura</t>
  </si>
  <si>
    <t>ventilacia</t>
  </si>
  <si>
    <t>20-7-1</t>
  </si>
  <si>
    <t>man.</t>
  </si>
  <si>
    <t>6-11-3</t>
  </si>
  <si>
    <t>eqskavatori muxluxa svlaze CamCis tevadobiT 0,5m3</t>
  </si>
  <si>
    <t>22-30-1</t>
  </si>
  <si>
    <t>onkani d=20mm</t>
  </si>
  <si>
    <t>unitazis (Camrecxi avziT) mowyoba SezRuduli unaris mqone pirTaTvis kompleqtSi</t>
  </si>
  <si>
    <t>kompl</t>
  </si>
  <si>
    <t>unitazi SezRuduli unaris mqone pirTaTvis kompleqtSi</t>
  </si>
  <si>
    <t>xelsabani niJaris mowyoba SezRuduli unarebis mqoneTaTvis kompleqtSi</t>
  </si>
  <si>
    <t>xelsabani SezRuduli unarebis mqoneTaTvis kompleqtSi</t>
  </si>
  <si>
    <t>muxli d=50mm</t>
  </si>
  <si>
    <t>muxli d=100mm</t>
  </si>
  <si>
    <t>samkapi 50/100 plastmasis</t>
  </si>
  <si>
    <t xml:space="preserve">samkapi 100/100 plastmasis </t>
  </si>
  <si>
    <t>dabali Zabvis sakabelo qseli</t>
  </si>
  <si>
    <t>safuZveli</t>
  </si>
  <si>
    <t>normatiuli</t>
  </si>
  <si>
    <t xml:space="preserve">samSeneblo </t>
  </si>
  <si>
    <t>s a m u S a o s</t>
  </si>
  <si>
    <t>resursi</t>
  </si>
  <si>
    <t>meqanizmebi</t>
  </si>
  <si>
    <t>dasaxeleba</t>
  </si>
  <si>
    <t>erTeulze</t>
  </si>
  <si>
    <t>erT.</t>
  </si>
  <si>
    <t>fasi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</si>
  <si>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</si>
  <si>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</si>
  <si>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</si>
  <si>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</si>
  <si>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</si>
  <si>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</si>
  <si>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</si>
  <si>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</si>
  <si>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</si>
  <si>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</si>
  <si>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</si>
  <si>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</si>
  <si>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1. samSeneblo samuSaoebi</t>
  </si>
  <si>
    <t>1-80-3</t>
  </si>
  <si>
    <t>Txrilis gaTxra xeliT erTi kabelisaTvis</t>
  </si>
  <si>
    <t>zednadebi xarjebi</t>
  </si>
  <si>
    <t>2. samontaJo samuSaoebi</t>
  </si>
  <si>
    <t>8-142-1</t>
  </si>
  <si>
    <t>zednadebi xarjebi xelfasidan</t>
  </si>
  <si>
    <t>jami 1+2</t>
  </si>
  <si>
    <t>Tavi 4</t>
  </si>
  <si>
    <t>energetikuli daniSnulebis obieqtebi</t>
  </si>
  <si>
    <t>8-471-1</t>
  </si>
  <si>
    <r>
      <t xml:space="preserve">kabeli </t>
    </r>
    <r>
      <rPr>
        <sz val="10"/>
        <rFont val="Arial"/>
        <family val="2"/>
      </rPr>
      <t>JYSTY</t>
    </r>
    <r>
      <rPr>
        <sz val="10"/>
        <rFont val="AcadNusx"/>
        <family val="0"/>
      </rPr>
      <t xml:space="preserve"> 10X2X0,6</t>
    </r>
  </si>
  <si>
    <t>kabeli 10X2X0,6</t>
  </si>
  <si>
    <r>
      <t>rozeti</t>
    </r>
    <r>
      <rPr>
        <sz val="10"/>
        <rFont val="Arial"/>
        <family val="2"/>
      </rPr>
      <t>-</t>
    </r>
    <r>
      <rPr>
        <sz val="10"/>
        <rFont val="AcadNusx"/>
        <family val="0"/>
      </rPr>
      <t>45 satelevizio</t>
    </r>
  </si>
  <si>
    <t>10-604-3</t>
  </si>
  <si>
    <t>satelevizio  antena</t>
  </si>
  <si>
    <r>
      <t xml:space="preserve">gamtari </t>
    </r>
    <r>
      <rPr>
        <sz val="10"/>
        <rFont val="Arial"/>
        <family val="2"/>
      </rPr>
      <t xml:space="preserve"> 2X1,5</t>
    </r>
    <r>
      <rPr>
        <sz val="10"/>
        <rFont val="AcadNusx"/>
        <family val="0"/>
      </rPr>
      <t>mm</t>
    </r>
  </si>
  <si>
    <r>
      <t>samagri Ziri</t>
    </r>
    <r>
      <rPr>
        <sz val="10"/>
        <rFont val="Arial"/>
        <family val="2"/>
      </rPr>
      <t xml:space="preserve"> USB-</t>
    </r>
    <r>
      <rPr>
        <sz val="10"/>
        <rFont val="AcadNusx"/>
        <family val="0"/>
      </rPr>
      <t>501-1</t>
    </r>
  </si>
  <si>
    <t>komp.</t>
  </si>
  <si>
    <t>8-594-1</t>
  </si>
  <si>
    <t xml:space="preserve">wertilovani sanaTi </t>
  </si>
  <si>
    <t>viniplastis milis montaJi d=25mm</t>
  </si>
  <si>
    <t>viniplastis mili d=25mm</t>
  </si>
  <si>
    <t>liTonis konstruqciebi</t>
  </si>
  <si>
    <t>gamoZaxebis Rilaki TokiT</t>
  </si>
  <si>
    <t>10-743-12</t>
  </si>
  <si>
    <r>
      <t xml:space="preserve">xelis Rilakiani (SuSis) deteqtori </t>
    </r>
    <r>
      <rPr>
        <sz val="10"/>
        <rFont val="Arial"/>
        <family val="2"/>
      </rPr>
      <t>FT-513</t>
    </r>
  </si>
  <si>
    <t>pemza</t>
  </si>
  <si>
    <t>15-55-5-11</t>
  </si>
  <si>
    <t>15-55-6-11</t>
  </si>
  <si>
    <t>15-168-4</t>
  </si>
  <si>
    <t>maT Soris:</t>
  </si>
  <si>
    <t>mowyobiloba</t>
  </si>
  <si>
    <t>sanaTi</t>
  </si>
  <si>
    <t>8-149-1</t>
  </si>
  <si>
    <t>sakabelo lenta</t>
  </si>
  <si>
    <t>12-8-3</t>
  </si>
  <si>
    <t>WanWiki</t>
  </si>
  <si>
    <t>Sromis danaxarjebi 2,73+0,492=</t>
  </si>
  <si>
    <t>sxva manqana 0,02+0,008=</t>
  </si>
  <si>
    <t>alebastri</t>
  </si>
  <si>
    <t>sxvadasxva masala 0,0343+0,007=</t>
  </si>
  <si>
    <t>kedlebis Selesva cementis xsnariT</t>
  </si>
  <si>
    <t>saRebavi</t>
  </si>
  <si>
    <t>22-8-1</t>
  </si>
  <si>
    <t>11-42-1</t>
  </si>
  <si>
    <t>6-12-4</t>
  </si>
  <si>
    <t>6-15-9</t>
  </si>
  <si>
    <t>8-15-1</t>
  </si>
  <si>
    <t>mcire zomis betonis blokebi</t>
  </si>
  <si>
    <t>laqi</t>
  </si>
  <si>
    <t>11-1-6</t>
  </si>
  <si>
    <t>gruntis ukuCayra xeliT, CatkepniT</t>
  </si>
  <si>
    <t xml:space="preserve">xis ficari 3x.25-32mm </t>
  </si>
  <si>
    <t>16-24-6</t>
  </si>
  <si>
    <t>xis konstruqciebis cecxldacva</t>
  </si>
  <si>
    <t>10-3-5</t>
  </si>
  <si>
    <t xml:space="preserve">paCpaneli </t>
  </si>
  <si>
    <r>
      <t>rozeti</t>
    </r>
    <r>
      <rPr>
        <sz val="10"/>
        <rFont val="Arial"/>
        <family val="2"/>
      </rPr>
      <t xml:space="preserve"> RJ</t>
    </r>
    <r>
      <rPr>
        <sz val="10"/>
        <rFont val="AcadNusx"/>
        <family val="0"/>
      </rPr>
      <t xml:space="preserve">45 kompiuteris (orbudiani) </t>
    </r>
  </si>
  <si>
    <r>
      <t>satelefono rozeti</t>
    </r>
    <r>
      <rPr>
        <sz val="10"/>
        <rFont val="Arial"/>
        <family val="2"/>
      </rPr>
      <t xml:space="preserve"> (</t>
    </r>
    <r>
      <rPr>
        <sz val="10"/>
        <rFont val="AcadNusx"/>
        <family val="0"/>
      </rPr>
      <t>orbudiani</t>
    </r>
    <r>
      <rPr>
        <sz val="10"/>
        <rFont val="Arial"/>
        <family val="2"/>
      </rPr>
      <t>)  RJ</t>
    </r>
    <r>
      <rPr>
        <sz val="10"/>
        <rFont val="AcadNusx"/>
        <family val="0"/>
      </rPr>
      <t xml:space="preserve">45                      </t>
    </r>
  </si>
  <si>
    <t xml:space="preserve">optikuri kabeli </t>
  </si>
  <si>
    <t>satelevizio sistema</t>
  </si>
  <si>
    <t>gamoZaxebis sasignalo sistema</t>
  </si>
  <si>
    <t>signalizatori</t>
  </si>
  <si>
    <r>
      <t xml:space="preserve">kvamlis deteqtori </t>
    </r>
    <r>
      <rPr>
        <sz val="10"/>
        <rFont val="Arial"/>
        <family val="2"/>
      </rPr>
      <t>SSD-521</t>
    </r>
  </si>
  <si>
    <t>masali</t>
  </si>
  <si>
    <t>ventili d=40mm</t>
  </si>
  <si>
    <t>17-3-3</t>
  </si>
  <si>
    <t>Semrevi</t>
  </si>
  <si>
    <t>16-24-7</t>
  </si>
  <si>
    <t>16-12-2</t>
  </si>
  <si>
    <t>8-4-5</t>
  </si>
  <si>
    <t>II kategoriis gruntis ukuCayra buldozeriT</t>
  </si>
  <si>
    <t xml:space="preserve">gare xaraCoebis mowyoba </t>
  </si>
  <si>
    <t xml:space="preserve">sxva masala </t>
  </si>
  <si>
    <t>polieTilenis mili d=20mm</t>
  </si>
  <si>
    <t>ventili d=20-25mm</t>
  </si>
  <si>
    <t>unitazis onkani d=20mm</t>
  </si>
  <si>
    <t>jvaredini 100/100</t>
  </si>
  <si>
    <t>20-22-3</t>
  </si>
  <si>
    <t xml:space="preserve">sxvadasxva manqanebi normiT </t>
  </si>
  <si>
    <t>laqi ak-113</t>
  </si>
  <si>
    <t>15-12-2</t>
  </si>
  <si>
    <t>34-60-3</t>
  </si>
  <si>
    <t>maT Soris: samSeneblo samuSaoebi</t>
  </si>
  <si>
    <t>1-31-2</t>
  </si>
  <si>
    <t>15-12-1</t>
  </si>
  <si>
    <t>Zalovani eleqtromowyobiloba da eleqtroganaTeba</t>
  </si>
  <si>
    <t>Sida kanalizacia</t>
  </si>
  <si>
    <t>Sida wyalsadeni</t>
  </si>
  <si>
    <t>mowyobiloba, aveji, inventari</t>
  </si>
  <si>
    <t xml:space="preserve">saxarjTaRricxvo Rirebuleba, aTasi lari </t>
  </si>
  <si>
    <t>saerTo saxarjTaR. Rirebuleba, aTasi lari</t>
  </si>
  <si>
    <t>manq.-sT</t>
  </si>
  <si>
    <t>kac.-sT</t>
  </si>
  <si>
    <r>
      <t xml:space="preserve">betoni </t>
    </r>
    <r>
      <rPr>
        <sz val="10"/>
        <rFont val="Times New Roman"/>
        <family val="1"/>
      </rPr>
      <t>B25</t>
    </r>
  </si>
  <si>
    <t>bitumis mastika</t>
  </si>
  <si>
    <t>kedlebis hidroizolacia ori fena hidroizoliT</t>
  </si>
  <si>
    <t>8. Sida mopirkeTeba</t>
  </si>
  <si>
    <t>11-8-1, 11-8-2</t>
  </si>
  <si>
    <t>sxvadasxva manqanebi normiT 0,0095+0,0023X4=</t>
  </si>
  <si>
    <t>cementis xsnari m150 0,0204+0,0051X4=</t>
  </si>
  <si>
    <t>11-7-3</t>
  </si>
  <si>
    <t>webocementi</t>
  </si>
  <si>
    <r>
      <t>saizolacio fena "</t>
    </r>
    <r>
      <rPr>
        <sz val="10"/>
        <rFont val="Arial"/>
        <family val="2"/>
      </rPr>
      <t>TERAFOM</t>
    </r>
    <r>
      <rPr>
        <sz val="10"/>
        <rFont val="AcadNusx"/>
        <family val="0"/>
      </rPr>
      <t>" sisqiT 8mm</t>
    </r>
  </si>
  <si>
    <t>Weris damuSaveba fiTxiT da SeRebva wyalemulsiuri saRebaviT orjer</t>
  </si>
  <si>
    <t>15-54</t>
  </si>
  <si>
    <t>10. sxvadasxva samuSaoebi</t>
  </si>
  <si>
    <t>gruntis gatana</t>
  </si>
  <si>
    <t>jami Tavi 2</t>
  </si>
  <si>
    <t>jami Tavi 4</t>
  </si>
  <si>
    <t>jami Tavi 6</t>
  </si>
  <si>
    <t>jami Tavi 8</t>
  </si>
  <si>
    <t>jami Tavi 2-8</t>
  </si>
  <si>
    <t>jami Tavi 9</t>
  </si>
  <si>
    <t>jami Tavi 2-9</t>
  </si>
  <si>
    <t>zednadebi xarjebi liTonis konstruqciebze</t>
  </si>
  <si>
    <t xml:space="preserve">maT Soris: samSeneblo samuSaoebi </t>
  </si>
  <si>
    <t>III kategoriis gruntis damuSaveba eqskavatoriT adgilze dayriT</t>
  </si>
  <si>
    <t>polipeTilenis mili d=25mm</t>
  </si>
  <si>
    <t>polieTilenis wyalsadenis milis d=40mm mowyoba</t>
  </si>
  <si>
    <t>polieTilenis mili d=40mm</t>
  </si>
  <si>
    <t>polieTilenis wyalsadenis milis d=50mm mowyoba</t>
  </si>
  <si>
    <t>polieTilenis mili d=50mm</t>
  </si>
  <si>
    <t>muxli d=20mm</t>
  </si>
  <si>
    <t>muxli d=25mm</t>
  </si>
  <si>
    <t>zednadebi xarjebi santeqnikur  samuSaoebze</t>
  </si>
  <si>
    <t>trapi nikelis sifoniT d=50</t>
  </si>
  <si>
    <t>zednadebi xarjebi samontaJo samuSaoebze xelfasidan</t>
  </si>
  <si>
    <t>maT Soris: santeqnikuri samuSaoebi</t>
  </si>
  <si>
    <t xml:space="preserve">sanaTi luminescenturi </t>
  </si>
  <si>
    <t xml:space="preserve">spilenZis ZarRviani ormagizolaciani kabelebi   </t>
  </si>
  <si>
    <t>10-92-4</t>
  </si>
  <si>
    <t>10-489-1</t>
  </si>
  <si>
    <r>
      <t>kompiuteruli qselis komutatori (</t>
    </r>
    <r>
      <rPr>
        <sz val="10"/>
        <rFont val="Times New Roman"/>
        <family val="1"/>
      </rPr>
      <t>switch)</t>
    </r>
    <r>
      <rPr>
        <sz val="10"/>
        <rFont val="AcadNusx"/>
        <family val="0"/>
      </rPr>
      <t xml:space="preserve"> 24 portiani</t>
    </r>
  </si>
  <si>
    <t>qselis komutatori</t>
  </si>
  <si>
    <r>
      <t xml:space="preserve">optikuri kabeli </t>
    </r>
    <r>
      <rPr>
        <sz val="10"/>
        <rFont val="Arial"/>
        <family val="2"/>
      </rPr>
      <t>2X2</t>
    </r>
  </si>
  <si>
    <r>
      <t>5 kategoriis kabeliU</t>
    </r>
    <r>
      <rPr>
        <sz val="10"/>
        <rFont val="Arial"/>
        <family val="2"/>
      </rPr>
      <t xml:space="preserve">UTP-5 </t>
    </r>
  </si>
  <si>
    <r>
      <t xml:space="preserve">telefonis qselis kabeli </t>
    </r>
    <r>
      <rPr>
        <sz val="10"/>
        <rFont val="Arial"/>
        <family val="2"/>
      </rPr>
      <t xml:space="preserve">UTP-5 </t>
    </r>
  </si>
  <si>
    <t>saxanZro kabeli 2X1,5mm</t>
  </si>
  <si>
    <t xml:space="preserve">zednadebi xarjebi santeqnikur samuSaoebze </t>
  </si>
  <si>
    <t>III kategoriis gruntis ukuCayra xeliT, CatkepniT</t>
  </si>
  <si>
    <t>qviSis safuZvelis momzadeba TxrilSi erTi kabelisaTvis</t>
  </si>
  <si>
    <t>kedlebis mowyoba mcire zomis betonis blokebiT</t>
  </si>
  <si>
    <t>gadaxurvis da Ziris anakrebi rkinabetonis mrgvali fila</t>
  </si>
  <si>
    <t>III kategoriis gruntis damuSaveba eqskavatoriT avtoTviTmclelze datvirTviT</t>
  </si>
  <si>
    <t>anakrebi rkinabetonis rgoli d=1m</t>
  </si>
  <si>
    <t>anakrebi rkinabetonis rgoli d=1 m</t>
  </si>
  <si>
    <t>anakrebi rkinabetonis rgoli d=0,7m</t>
  </si>
  <si>
    <t>plastmasis mili d=100mm</t>
  </si>
  <si>
    <t>danaxarjebi droebiT Senoba-nagebobebze 1,5%</t>
  </si>
  <si>
    <t>rezervi gauTvaliswinebel samuSaoebze 5%</t>
  </si>
  <si>
    <t>zedmeti gruntis gatana</t>
  </si>
  <si>
    <t>buldozeris muSaoba nayarSi</t>
  </si>
  <si>
    <t>dRg 18%</t>
  </si>
  <si>
    <t>saerTo saxarjTaRricxvo Rirebuleba, aTasi lari</t>
  </si>
  <si>
    <t>safuZveli: proeqti</t>
  </si>
  <si>
    <r>
      <t xml:space="preserve">betonis momzadeba </t>
    </r>
    <r>
      <rPr>
        <sz val="10"/>
        <rFont val="Times New Roman"/>
        <family val="1"/>
      </rPr>
      <t>B15</t>
    </r>
  </si>
  <si>
    <r>
      <t xml:space="preserve">betoni </t>
    </r>
    <r>
      <rPr>
        <sz val="10"/>
        <rFont val="Times New Roman"/>
        <family val="1"/>
      </rPr>
      <t>B15</t>
    </r>
  </si>
  <si>
    <r>
      <t xml:space="preserve">monoliTuri rkinabetonis saZirkvlis filis mowyoba </t>
    </r>
    <r>
      <rPr>
        <sz val="10"/>
        <rFont val="Times New Roman"/>
        <family val="1"/>
      </rPr>
      <t>B25W8</t>
    </r>
    <r>
      <rPr>
        <sz val="10"/>
        <rFont val="AcadNusx"/>
        <family val="0"/>
      </rPr>
      <t xml:space="preserve"> betoniT</t>
    </r>
  </si>
  <si>
    <t>6-1-16</t>
  </si>
  <si>
    <r>
      <t xml:space="preserve">betoni </t>
    </r>
    <r>
      <rPr>
        <sz val="10"/>
        <rFont val="Times New Roman"/>
        <family val="1"/>
      </rPr>
      <t>B25W8</t>
    </r>
  </si>
  <si>
    <r>
      <t xml:space="preserve">monoliTuri rkinabetonis svetebis mowyoba </t>
    </r>
    <r>
      <rPr>
        <sz val="10"/>
        <rFont val="Times New Roman"/>
        <family val="1"/>
      </rPr>
      <t xml:space="preserve">B25 </t>
    </r>
    <r>
      <rPr>
        <sz val="10"/>
        <rFont val="AcadNusx"/>
        <family val="0"/>
      </rPr>
      <t>betoniT</t>
    </r>
  </si>
  <si>
    <t>6-14-4</t>
  </si>
  <si>
    <r>
      <t>monoliTuri rkinabetonis rigelebis da gadaxurvis filebis mowyobaB</t>
    </r>
    <r>
      <rPr>
        <sz val="10"/>
        <rFont val="Arial"/>
        <family val="2"/>
      </rPr>
      <t>B</t>
    </r>
    <r>
      <rPr>
        <sz val="10"/>
        <rFont val="AcadNusx"/>
        <family val="0"/>
      </rPr>
      <t>25 betoniT</t>
    </r>
  </si>
  <si>
    <r>
      <t xml:space="preserve">monoliTuri rkinabetonis kibis marSebisa da baqnebis mowyoba </t>
    </r>
    <r>
      <rPr>
        <sz val="10"/>
        <rFont val="Times New Roman"/>
        <family val="1"/>
      </rPr>
      <t xml:space="preserve">B25 </t>
    </r>
    <r>
      <rPr>
        <sz val="10"/>
        <rFont val="AcadNusx"/>
        <family val="0"/>
      </rPr>
      <t>betoniT</t>
    </r>
  </si>
  <si>
    <r>
      <t xml:space="preserve">monoliTuri rkinabetonis parapetis mowyoba </t>
    </r>
    <r>
      <rPr>
        <sz val="10"/>
        <rFont val="Times New Roman"/>
        <family val="1"/>
      </rPr>
      <t>B25</t>
    </r>
    <r>
      <rPr>
        <sz val="10"/>
        <rFont val="AcadNusx"/>
        <family val="0"/>
      </rPr>
      <t xml:space="preserve"> betoniT</t>
    </r>
  </si>
  <si>
    <r>
      <t xml:space="preserve">betoni </t>
    </r>
    <r>
      <rPr>
        <sz val="10"/>
        <rFont val="Times New Roman"/>
        <family val="1"/>
      </rPr>
      <t>B25</t>
    </r>
  </si>
  <si>
    <t>6-15-11</t>
  </si>
  <si>
    <t>saZirkvlis hidroizolacia ori fena hidroizoliT</t>
  </si>
  <si>
    <t>xis ficari Ix. 40mm-ze meti</t>
  </si>
  <si>
    <t>10-36-5</t>
  </si>
  <si>
    <t>xis ficrebiT molartyva, sisqiT 40mm</t>
  </si>
  <si>
    <t>xis ficari 3x.40mm</t>
  </si>
  <si>
    <t>10-39-3</t>
  </si>
  <si>
    <r>
      <t>paCpaneli 24 portiani (</t>
    </r>
    <r>
      <rPr>
        <sz val="10"/>
        <rFont val="Arial"/>
        <family val="2"/>
      </rPr>
      <t>P-panel)</t>
    </r>
  </si>
  <si>
    <r>
      <rPr>
        <sz val="10"/>
        <rFont val="AcadNusx"/>
        <family val="0"/>
      </rPr>
      <t xml:space="preserve">uwyveti kvebis wyaro </t>
    </r>
    <r>
      <rPr>
        <sz val="10"/>
        <rFont val="Arial"/>
        <family val="2"/>
      </rPr>
      <t>UPS 3000 VA</t>
    </r>
  </si>
  <si>
    <r>
      <t xml:space="preserve">vai-fai </t>
    </r>
    <r>
      <rPr>
        <sz val="10"/>
        <rFont val="Arial"/>
        <family val="2"/>
      </rPr>
      <t xml:space="preserve">(Wi-Fi) </t>
    </r>
  </si>
  <si>
    <t xml:space="preserve"> Wi-Fi</t>
  </si>
  <si>
    <t>satelevizio antena</t>
  </si>
  <si>
    <r>
      <t>satelevizio rozeti</t>
    </r>
    <r>
      <rPr>
        <sz val="10"/>
        <rFont val="Arial"/>
        <family val="2"/>
      </rPr>
      <t xml:space="preserve"> (</t>
    </r>
    <r>
      <rPr>
        <sz val="10"/>
        <rFont val="AcadNusx"/>
        <family val="0"/>
      </rPr>
      <t>orbudiani</t>
    </r>
    <r>
      <rPr>
        <sz val="10"/>
        <rFont val="Arial"/>
        <family val="2"/>
      </rPr>
      <t>)  RJ-</t>
    </r>
    <r>
      <rPr>
        <sz val="10"/>
        <rFont val="AcadNusx"/>
        <family val="0"/>
      </rPr>
      <t xml:space="preserve">45                      </t>
    </r>
  </si>
  <si>
    <r>
      <t xml:space="preserve">gamtari </t>
    </r>
    <r>
      <rPr>
        <sz val="10"/>
        <rFont val="Arial"/>
        <family val="2"/>
      </rPr>
      <t>2X1,2</t>
    </r>
    <r>
      <rPr>
        <sz val="10"/>
        <rFont val="AcadNusx"/>
        <family val="0"/>
      </rPr>
      <t>mm</t>
    </r>
  </si>
  <si>
    <t>saxanZro signalizaciis paneli</t>
  </si>
  <si>
    <t>akumulatori 12v/17a.sT</t>
  </si>
  <si>
    <r>
      <t>saxanZro kabeli</t>
    </r>
    <r>
      <rPr>
        <sz val="10"/>
        <rFont val="Arial"/>
        <family val="2"/>
      </rPr>
      <t xml:space="preserve"> </t>
    </r>
    <r>
      <rPr>
        <sz val="10"/>
        <rFont val="AcadNusx"/>
        <family val="0"/>
      </rPr>
      <t>2X1,5mm</t>
    </r>
  </si>
  <si>
    <t>spliteri 4 mimarTulebiT</t>
  </si>
  <si>
    <r>
      <t xml:space="preserve">gofrirebuli mili </t>
    </r>
    <r>
      <rPr>
        <sz val="10"/>
        <rFont val="Symbol"/>
        <family val="1"/>
      </rPr>
      <t>Æ</t>
    </r>
    <r>
      <rPr>
        <sz val="10"/>
        <rFont val="AcadNusx"/>
        <family val="0"/>
      </rPr>
      <t>16</t>
    </r>
  </si>
  <si>
    <t>videomeTvalyureobis sistema</t>
  </si>
  <si>
    <t xml:space="preserve">videoregistratori 16 arxiani </t>
  </si>
  <si>
    <r>
      <t>kompiuteruli qselis kabeliU</t>
    </r>
    <r>
      <rPr>
        <sz val="10"/>
        <rFont val="Arial"/>
        <family val="2"/>
      </rPr>
      <t xml:space="preserve">UTP-6 </t>
    </r>
  </si>
  <si>
    <t>gadamyvani koaqsali - xveuli wyvili</t>
  </si>
  <si>
    <t>wyv.</t>
  </si>
  <si>
    <r>
      <t>stabilizebuli kvebis bloki 220</t>
    </r>
    <r>
      <rPr>
        <sz val="10"/>
        <rFont val="Times New Roman"/>
        <family val="1"/>
      </rPr>
      <t>VAC/12VDC</t>
    </r>
  </si>
  <si>
    <r>
      <t xml:space="preserve">kompiuteruli qselis kabeli </t>
    </r>
    <r>
      <rPr>
        <sz val="10"/>
        <rFont val="Arial"/>
        <family val="2"/>
      </rPr>
      <t xml:space="preserve">UTP-6 </t>
    </r>
  </si>
  <si>
    <r>
      <t>19"-iani saabonento karada (</t>
    </r>
    <r>
      <rPr>
        <sz val="10"/>
        <rFont val="Times New Roman"/>
        <family val="1"/>
      </rPr>
      <t>Rack)</t>
    </r>
  </si>
  <si>
    <t>19"-ianisaabonento karada (reki)</t>
  </si>
  <si>
    <t>haersatari</t>
  </si>
  <si>
    <t>20-1-1</t>
  </si>
  <si>
    <t>20-22-6</t>
  </si>
  <si>
    <r>
      <t xml:space="preserve">moTuTiebuli furclovani foladis haersatari, sisqe </t>
    </r>
    <r>
      <rPr>
        <sz val="10"/>
        <rFont val="Symbol"/>
        <family val="1"/>
      </rPr>
      <t>d</t>
    </r>
    <r>
      <rPr>
        <sz val="10"/>
        <rFont val="AcadNusx"/>
        <family val="0"/>
      </rPr>
      <t>=0,55 mm</t>
    </r>
  </si>
  <si>
    <t>plastmasis dabalxmauriani gamwovi  ventilatori 780 m3/sT 150pa</t>
  </si>
  <si>
    <t xml:space="preserve">fasadis cxauri 350X350 </t>
  </si>
  <si>
    <t xml:space="preserve">cxauri 350X350 </t>
  </si>
  <si>
    <t xml:space="preserve">cxauri 300X200 </t>
  </si>
  <si>
    <t xml:space="preserve">     eleqtrogaTboba </t>
  </si>
  <si>
    <t>eleqtro Tburi farda 9.0 kvt/sT</t>
  </si>
  <si>
    <t>pirsaxocis eleqtrosaSrobi simZ. 1.0 kvt/sT, 1×230v</t>
  </si>
  <si>
    <t>eleqtroradiatori simZ. 1.0 kvt/sT</t>
  </si>
  <si>
    <t>eleqtroradiatori simZ. 0.8 kvt/sT</t>
  </si>
  <si>
    <t>eleqtrogaTboba</t>
  </si>
  <si>
    <t>c. ninikaSvili</t>
  </si>
  <si>
    <t>Semyvan-gamanawilebeli fari</t>
  </si>
  <si>
    <t>8-612-5</t>
  </si>
  <si>
    <t>8-612-12</t>
  </si>
  <si>
    <t>eleqtrofari</t>
  </si>
  <si>
    <t>sarTulis #3, #4, #5, #6 eleqtrofarebi 36 jgufiani. Semyvanze 3-faza avtomaturi gamomrTveliT 63a nominalur denze, gamaval jgufebze: erTpolusiani 10a-ze-36c</t>
  </si>
  <si>
    <t xml:space="preserve">Weris sanaTi dioduri 1 naTuriT simZlavriT 18vt </t>
  </si>
  <si>
    <t>Sedgmuli tipis sanaTi simZlavriT 13 vt</t>
  </si>
  <si>
    <t xml:space="preserve">luminescenturi sanaTi ornaTuriani 2X36vt hermetuli /sardafSi/ </t>
  </si>
  <si>
    <t>luminescenturi sanaTi ornaTuriani 2X36vt</t>
  </si>
  <si>
    <t>8-604-1</t>
  </si>
  <si>
    <t>dioduri naTura. simZlavre 18vt</t>
  </si>
  <si>
    <t>dioduri naTura. simZlavre 13vt</t>
  </si>
  <si>
    <t>ekonaTura simZlavriT 9 vt</t>
  </si>
  <si>
    <t>bra erTnaTuriani simZlavriT 9vt</t>
  </si>
  <si>
    <t>bra erTnaTuriani ekonaTuriT simZlavriT 9vt</t>
  </si>
  <si>
    <t>"wertilovani" tipis sanaTi ekonaTuriT simZlavriT 9 vt</t>
  </si>
  <si>
    <t>luminescenturi naTura. simZlavre     36vt</t>
  </si>
  <si>
    <t>Stefseli orpolusiani mesame damamiwebeli kontaqtiT 220v</t>
  </si>
  <si>
    <t>saStefselo rozeti mesame damamiwebeli kontaqtiT</t>
  </si>
  <si>
    <t>reversuli CamrTveli</t>
  </si>
  <si>
    <t>8-604-4</t>
  </si>
  <si>
    <t xml:space="preserve">gasasvlelis maCvenebelis sanaTi </t>
  </si>
  <si>
    <t>8-417-5</t>
  </si>
  <si>
    <t>viniplastis milis montaJi d=20mm</t>
  </si>
  <si>
    <t>viniplastis mili d=20mm</t>
  </si>
  <si>
    <t>8-417-7</t>
  </si>
  <si>
    <t>viniplastis milis montaJi d=47mm</t>
  </si>
  <si>
    <t>viniplastis mili d=47mm</t>
  </si>
  <si>
    <t>8-472-8</t>
  </si>
  <si>
    <t>gamanawilebeli kolofi</t>
  </si>
  <si>
    <t>spilenZis ormagizolaciani kabeli, kveTiT 3X150+1X70 mm2</t>
  </si>
  <si>
    <t>34-103</t>
  </si>
  <si>
    <t>gofrirebuli plastmasis mili d=100mm</t>
  </si>
  <si>
    <t>eleqtrosamontaJo samuSaoebi gaTbobisTvis</t>
  </si>
  <si>
    <t>sardafis sarTulis #1 da #2 gaTbobis eleqtrofarebi 3 jgufiani. Semyvanze 3-faza avtomaturi gamomrTveliT 32a nominalur denze, gamaval jgufebze: erTpolusiani 25a-2c, 10a-ze-1c</t>
  </si>
  <si>
    <t>spilenZisZarRviani ormagizolaciani kabeli kveTiT 3X1,5mm2</t>
  </si>
  <si>
    <t>spilenZisZarRviani ormagizolaciani kabeli kveTiT 3X2,5mm2</t>
  </si>
  <si>
    <t>spilenZisZarRviani ormagizolaciani kabeli kveTiT 5X4mm2</t>
  </si>
  <si>
    <t>spilenZisZarRviani ormagizolaciani kabeli kveTiT 5X25mm2</t>
  </si>
  <si>
    <t>spilenZisZarRviani ormagizolaciani kabeli kveTiT 5X2.5mm2</t>
  </si>
  <si>
    <t>spilenZisZarRviani ormagizolaciani kabeli kveTiT 3X6 mm2</t>
  </si>
  <si>
    <t>spilenZisZarRviani ormagizolaciani kabeli kveTiT 3X4 mm2</t>
  </si>
  <si>
    <t>spilenZisZarRviani ormagizolaciani kabeli kveTiT 3X2,5 mm2</t>
  </si>
  <si>
    <t>spilenZisZarRviani ormagizolaciani kabeli kveTiT 5X16 mm2</t>
  </si>
  <si>
    <t>spilenZisZarRviani ormagizolaciani kabeli kveTiT 5X25 mm2</t>
  </si>
  <si>
    <t>spilenZisZarRviani ormagizolaciani kabeli kveTiT 5X4 mm2</t>
  </si>
  <si>
    <t xml:space="preserve">spilenZisZarRviani kabelebis gatareba milebSi   </t>
  </si>
  <si>
    <t>viniplastis milis montaJi d=50mm</t>
  </si>
  <si>
    <t>viniplastis mili d=50mm</t>
  </si>
  <si>
    <t>sardafis sarTulis #1 da #2 eleqtrofarebi 6 jgufiani. Semyvanze 3-faza avtomaturi gamomrTveliT 32a nominalur denze, gamaval jgufebze: erTpolusiani 25a-1c, 16a-1c, 10a-ze-3c, 3faza-10a-1c</t>
  </si>
  <si>
    <t>gasasvlelis maCvenebeli "eqsiti", naTuriT</t>
  </si>
  <si>
    <t>kabelis gatareba plastmasis milSi</t>
  </si>
  <si>
    <t>plastmasis gofrirebuli milis Cawyoba TxrilSi</t>
  </si>
  <si>
    <t>sarTulis #3 da #4 gaTbobis eleqtrofarebi 6 jgufiani. Semyvanze 3-faza avtomaturi gamomrTveliT 100a nominalur denze, gamaval jgufebze: erTpolusiani 10a-ze-1c, 16a-ze-1c, 80a-ze-1c, 63a-ze-1c, 50a-ze-2c</t>
  </si>
  <si>
    <t>sarTulis #5 gaTbobis eleqtrofari 6 jgufiani. Semyvanze 3-faza avtomaturi gamomrTveliT 100a nominalur denze, gamaval jgufebze: erTpolusiani 16a-ze-1c, 80a-ze-1c, 63a-ze-2c, 50a-ze-2c</t>
  </si>
  <si>
    <t>sarTulis #6 gaTbobis eleqtrofari 6 jgufiani. Semyvanze 3-faza avtomaturi gamomrTveliT 50a nominalur denze, gamaval jgufebze: erTpolusiani 10a-ze-2c, 16a-ze-1c, 32a-ze-2c, 40a-ze-1c</t>
  </si>
  <si>
    <t>metalokramitis saxuravis mowyoba, sisqiT 0.5mm</t>
  </si>
  <si>
    <t>metalokramiti sisqiT 0.5mm</t>
  </si>
  <si>
    <t>xis ficari IIx.40-60mm</t>
  </si>
  <si>
    <t>gareTa Seficvra 13mm</t>
  </si>
  <si>
    <t>15-159-2</t>
  </si>
  <si>
    <t>Sublis Seficvris SeRebva zeTovani saRebaviT</t>
  </si>
  <si>
    <t>12-8-4</t>
  </si>
  <si>
    <t xml:space="preserve">sxva manqana normiT </t>
  </si>
  <si>
    <t>wyalsawreti milebi</t>
  </si>
  <si>
    <t>wyalmimRebi Zabrebi</t>
  </si>
  <si>
    <t>muxli</t>
  </si>
  <si>
    <t>11-28</t>
  </si>
  <si>
    <t>webo</t>
  </si>
  <si>
    <t>Sromis danaxarjebi 0,188+0,0034X10=</t>
  </si>
  <si>
    <t>cementis xsnari m150 0,0204+0,0051X10=</t>
  </si>
  <si>
    <t>bazaltis filebi sisqiT 30mm</t>
  </si>
  <si>
    <t>kir-cementis xsnari m25</t>
  </si>
  <si>
    <t>8-5-6</t>
  </si>
  <si>
    <t>aguris (Tixis, keramikuli, 250×120×65 mm) kedlebis mowyoba, svetebTan armaturis badeebiT Camagrebis gaTvaliswinebiT</t>
  </si>
  <si>
    <r>
      <t xml:space="preserve">marmoleumis iataki </t>
    </r>
    <r>
      <rPr>
        <b/>
        <sz val="11"/>
        <rFont val="Arial"/>
        <family val="2"/>
      </rPr>
      <t>S</t>
    </r>
    <r>
      <rPr>
        <b/>
        <sz val="11"/>
        <rFont val="AcadNusx"/>
        <family val="0"/>
      </rPr>
      <t>=1773 m2</t>
    </r>
  </si>
  <si>
    <t>videokamera</t>
  </si>
  <si>
    <t>keramikuli filebi</t>
  </si>
  <si>
    <t>keramikuli filebis dageba sankvanZebSi</t>
  </si>
  <si>
    <t>keramikuli filebis dageba aivnebze (yinvagamZle)</t>
  </si>
  <si>
    <t>cementis moWimvis mowyoba sisqiT 60mm</t>
  </si>
  <si>
    <t>Tboizolacia pemziT, sisqiT 20mm, sankvanZebSi</t>
  </si>
  <si>
    <r>
      <t xml:space="preserve">keramikuli filebi </t>
    </r>
    <r>
      <rPr>
        <b/>
        <sz val="11"/>
        <rFont val="Times New Roman"/>
        <family val="1"/>
      </rPr>
      <t>S</t>
    </r>
    <r>
      <rPr>
        <b/>
        <sz val="11"/>
        <rFont val="AcadNusx"/>
        <family val="0"/>
      </rPr>
      <t>=248.10 m2</t>
    </r>
  </si>
  <si>
    <t>TviTgamasworebeli xsnari sisqiT 20mm</t>
  </si>
  <si>
    <t>marmoleumi sisqiT 4 mm</t>
  </si>
  <si>
    <t xml:space="preserve">  15-163-2</t>
  </si>
  <si>
    <t>plintusze ori piri laqis wasma</t>
  </si>
  <si>
    <t>wyalSemkrebi Rari plastmasis</t>
  </si>
  <si>
    <t>16-17-3</t>
  </si>
  <si>
    <t>plastmasis wyalsawreti milebis mowyoba, d=80 mm</t>
  </si>
  <si>
    <t>plastmasis wyalmimRebi Zabrebis mowyoba, d=80 mm</t>
  </si>
  <si>
    <t>plastmasis wyalmimRebi muxlebis mowyoba, d=80 mm</t>
  </si>
  <si>
    <t>Sublis Seficvra mSrali xis lamfiT</t>
  </si>
  <si>
    <t>liTonis qromirebuli bagiris d=5mm mowyoba dekoratiul koWebze</t>
  </si>
  <si>
    <t>liTonis bagiri</t>
  </si>
  <si>
    <r>
      <t>15-168-</t>
    </r>
    <r>
      <rPr>
        <sz val="10"/>
        <rFont val="Times New Roman"/>
        <family val="1"/>
      </rPr>
      <t>3</t>
    </r>
  </si>
  <si>
    <t>kedlebis mopirkeTeba moWiquli filebiT (kafeli)</t>
  </si>
  <si>
    <t>34-59-7,
10-56-3</t>
  </si>
  <si>
    <t>sxva manqana 0,035+0,07=</t>
  </si>
  <si>
    <t>sxva masala 0,389+0,55=</t>
  </si>
  <si>
    <t>sxva manqana 0,035+0,1=</t>
  </si>
  <si>
    <t>TabaSirmuyaos filebi, nestgamZle liTonis karkasiT</t>
  </si>
  <si>
    <t>sxva masala 0,389+0,56=</t>
  </si>
  <si>
    <t>TabaSirmuyaos filebi, Cveulebrivi, liTonis karkasiT</t>
  </si>
  <si>
    <t>27-42-1</t>
  </si>
  <si>
    <t>wvrilmarcvlovani asfaltbetoni</t>
  </si>
  <si>
    <t>Txevadi bitumi</t>
  </si>
  <si>
    <t>sarineli</t>
  </si>
  <si>
    <t>wvrilmarcvlovani asfaltbetonis safaris mowyoba, sisqiT 30 mm</t>
  </si>
  <si>
    <t>qviSa-RorRis safuZvelis mowyoba</t>
  </si>
  <si>
    <t>27-19-3</t>
  </si>
  <si>
    <t>bazaltis bordiuri</t>
  </si>
  <si>
    <t xml:space="preserve">bazaltis bunebrivi qvis bordiuris mowyoba (15X30 sm), betonis fuZeze m-200  </t>
  </si>
  <si>
    <t>6-26-3</t>
  </si>
  <si>
    <t>polieTilenis wyalsadenis milis, d=20mm, mowyoba</t>
  </si>
  <si>
    <t>polieTilenis wyalsadenis milis, d=25mm, mowyoba</t>
  </si>
  <si>
    <t>polieTilenis wyalsadenis milis d=32mm mowyoba</t>
  </si>
  <si>
    <t>polieTilenis mili d=32mm</t>
  </si>
  <si>
    <t>polieTilenis wyalsadenis milis d=63mm mowyoba</t>
  </si>
  <si>
    <t>polieTilenis mili d=63mm</t>
  </si>
  <si>
    <t>polieTilenis wyalsadenis milis d=75mm mowyoba</t>
  </si>
  <si>
    <t>polieTilenis mili d=75mm</t>
  </si>
  <si>
    <t>16-24-8</t>
  </si>
  <si>
    <t>polieTilenis wyalsadenis milis d=90mm mowyoba</t>
  </si>
  <si>
    <t>polieTilenis mili d=90mm</t>
  </si>
  <si>
    <t>polieTilenis wyalsadenis milis d=110mm mowyoba</t>
  </si>
  <si>
    <t>polieTilenis mili d=110mm</t>
  </si>
  <si>
    <t>muxli d=75mm</t>
  </si>
  <si>
    <t>muxli d=90mm</t>
  </si>
  <si>
    <t>muxli d=110mm</t>
  </si>
  <si>
    <t>foladis urduli d=80-100mm</t>
  </si>
  <si>
    <t>urduli d=80mm</t>
  </si>
  <si>
    <t>urduli d=100mm</t>
  </si>
  <si>
    <t>cxeli da civi wylis Semrevis mowyoba xelsabanisTvis</t>
  </si>
  <si>
    <t>cxeli da civi wylis Semrevis mowyoba SxapisTvis</t>
  </si>
  <si>
    <t>kanalizaciis sqelkedliani plastmasis mili d=50mm</t>
  </si>
  <si>
    <t>kanalizaciis sqelkedliani plastmasis mili d=100mm</t>
  </si>
  <si>
    <t>kanalizaciis sqelkedliani plastmasis mili d=150mm</t>
  </si>
  <si>
    <t>mili d=150 mm</t>
  </si>
  <si>
    <t>muxli d=150mm</t>
  </si>
  <si>
    <t xml:space="preserve">samkapi 100/150 plastmasis </t>
  </si>
  <si>
    <t>jvaredini 100/150</t>
  </si>
  <si>
    <t xml:space="preserve">sifoni d=50mm </t>
  </si>
  <si>
    <t>revizia d=100 mm</t>
  </si>
  <si>
    <t>gamwmendi d=100mm</t>
  </si>
  <si>
    <t>17-1-8</t>
  </si>
  <si>
    <t>1-78-3</t>
  </si>
  <si>
    <t>Sromis danaxarjebi 2.78X0,8=</t>
  </si>
  <si>
    <t xml:space="preserve">wyalsadenis plastmasis mili d=40mm  </t>
  </si>
  <si>
    <t>plastmasis mili d=40mm</t>
  </si>
  <si>
    <t>22-25-1</t>
  </si>
  <si>
    <t>22-27-1</t>
  </si>
  <si>
    <t>wyalsadenis arsebul qselSi SeWra d=40mm</t>
  </si>
  <si>
    <t>adgili</t>
  </si>
  <si>
    <t>foladis mili</t>
  </si>
  <si>
    <t>kanalizaciis plastmasis sqelkedliani mili d=100mm</t>
  </si>
  <si>
    <t>23-22-1</t>
  </si>
  <si>
    <t xml:space="preserve">SeWra arsebul kanalizaciis qselSi </t>
  </si>
  <si>
    <r>
      <t xml:space="preserve">drekadi SefuTuli haersatari </t>
    </r>
    <r>
      <rPr>
        <sz val="10"/>
        <rFont val="Calibri"/>
        <family val="2"/>
      </rPr>
      <t>Ø</t>
    </r>
    <r>
      <rPr>
        <sz val="10"/>
        <rFont val="AcadNusx"/>
        <family val="0"/>
      </rPr>
      <t>150mm</t>
    </r>
  </si>
  <si>
    <t>haersataris Tboizolacia qvabambiT, sisqiT 5 sm</t>
  </si>
  <si>
    <t>qvabamba</t>
  </si>
  <si>
    <t>20-6-2</t>
  </si>
  <si>
    <t>difuzori 450X450</t>
  </si>
  <si>
    <t>polipropilenis mili d=25mm</t>
  </si>
  <si>
    <t>Sxapis qveSi</t>
  </si>
  <si>
    <t>modineba-gawovis saventilacio rekupiratoriani danadgari 9kvt/sT eleqtroteniT da filtriT, 900 m3/sT 300 pa, marTvis avtomatikiT</t>
  </si>
  <si>
    <t>modineba-gawovis saventilacio rekupiratoriani danadgari 9kvt/sT eleqtroteniT, filtriT, marTvis avtomatikiT, 900 m3/sT 300 pa</t>
  </si>
  <si>
    <t>modineba-gawovis saventilacio rekupiratoriani danadgari 15kvt/sT eleqtroteniT, filtriT, marTvis avtomatikiT, 1800 m3/sT 300 pa</t>
  </si>
  <si>
    <t>xmaurdamxSobi 315mm 0.7m</t>
  </si>
  <si>
    <t>20-14-1</t>
  </si>
  <si>
    <t>xmaurdamxSobi 315mm 0.7m, wnevis danakargi maqs. 50 pa</t>
  </si>
  <si>
    <t>20-14-2</t>
  </si>
  <si>
    <t>xmaurdamxSobi 400mm 0.7m, wnevis danakargi maqs. 50 pa</t>
  </si>
  <si>
    <t xml:space="preserve">cxauri damperiT 100X100 </t>
  </si>
  <si>
    <t xml:space="preserve">kedlis cxauri damperiT 300X200 </t>
  </si>
  <si>
    <t>damperi 300X250</t>
  </si>
  <si>
    <t>20-9-2</t>
  </si>
  <si>
    <t>polipropilenis milis, d=25mm, mowyoba drenaJisTvis (fasonuri nawilebiT)</t>
  </si>
  <si>
    <t>metalokramitis kexi 0,5 mm</t>
  </si>
  <si>
    <t>metalokramitis kexis da SenaRaris mowyoba, sisqiT 0.5mm</t>
  </si>
  <si>
    <t>12-8-5, k=0.5</t>
  </si>
  <si>
    <t>IV kategoriis gruntis damuSaveba eqskavatoriT avtoTviTmclelze datvirTviT</t>
  </si>
  <si>
    <t>1-22-16</t>
  </si>
  <si>
    <t>damaTbunebeli sisqiT 5sm</t>
  </si>
  <si>
    <t>kar-fanjrebis gare ferdoebis Selesva cementis xsnariT</t>
  </si>
  <si>
    <t>webocementi yinvagamZle</t>
  </si>
  <si>
    <t xml:space="preserve">  10-60-4</t>
  </si>
  <si>
    <t>TabaSirmuyaos tixari (kompleqti)</t>
  </si>
  <si>
    <t>folgaizoliani minabamba, sisqiT 5sm</t>
  </si>
  <si>
    <t>TviTgamasworebeli xsnari sisqiT 4mm</t>
  </si>
  <si>
    <t>yinvagamZle webocementi</t>
  </si>
  <si>
    <t>sxvadasxva manqanebi normiT 0,0095+0,0023X10=</t>
  </si>
  <si>
    <t xml:space="preserve">uJangavi foladis moajiris mowyoba </t>
  </si>
  <si>
    <t xml:space="preserve">uJangavi foladis moajiris mowyoba kedelze CamagrebiT </t>
  </si>
  <si>
    <t>uJangavi foladis moajiri</t>
  </si>
  <si>
    <t>kibis safexurebze da qvesafexurebze marmoleumis ("forbos" an analoguri xarisxis) mowyoba, sisqiT 4mm</t>
  </si>
  <si>
    <r>
      <t xml:space="preserve">marmoleumis ("forbos" an analoguri xarisxis) iatakis mowyoba, sisqiT 4mm, magari jiSis maRalxarisxovani xis plintusis, </t>
    </r>
    <r>
      <rPr>
        <sz val="10"/>
        <rFont val="Times New Roman"/>
        <family val="1"/>
      </rPr>
      <t>h=</t>
    </r>
    <r>
      <rPr>
        <sz val="10"/>
        <rFont val="AcadNusx"/>
        <family val="0"/>
      </rPr>
      <t>7 sm, gaTvaliswinebiT</t>
    </r>
  </si>
  <si>
    <t>aivnebze liTonis moajiris mowyoba</t>
  </si>
  <si>
    <t>aivnis liTonis moajiri</t>
  </si>
  <si>
    <r>
      <t xml:space="preserve">meore sarTulis Sekiduli Weris daTbuneba </t>
    </r>
    <r>
      <rPr>
        <sz val="10"/>
        <rFont val="Arial"/>
        <family val="2"/>
      </rPr>
      <t>XPS</t>
    </r>
    <r>
      <rPr>
        <sz val="10"/>
        <rFont val="AcadNusx"/>
        <family val="0"/>
      </rPr>
      <t xml:space="preserve">-is damaTbunebliT, sisqiT 50mm </t>
    </r>
  </si>
  <si>
    <r>
      <t>8-22-</t>
    </r>
    <r>
      <rPr>
        <sz val="10"/>
        <rFont val="Times New Roman"/>
        <family val="1"/>
      </rPr>
      <t>2</t>
    </r>
  </si>
  <si>
    <t>20-7-4</t>
  </si>
  <si>
    <t>uJangavi foladis cxauri</t>
  </si>
  <si>
    <t>izoaluminis kari</t>
  </si>
  <si>
    <t>iatakis aluminis gadamyvanis mowyoba</t>
  </si>
  <si>
    <r>
      <t>r</t>
    </r>
    <r>
      <rPr>
        <sz val="10"/>
        <rFont val="Arial"/>
        <family val="2"/>
      </rPr>
      <t>7-39,
15-159-3</t>
    </r>
  </si>
  <si>
    <t>bazaltis bunebrivi qviT sacremleebis mowyoba sisqiT 30mm, 59.5 grZ.m</t>
  </si>
  <si>
    <t>bunebrivi bazaltis qva, sisqiT 30mm</t>
  </si>
  <si>
    <t>nestgamZle mdf karis dayeneba (furnituriT)</t>
  </si>
  <si>
    <t>amwe 3 t</t>
  </si>
  <si>
    <t>eleqtrojalambari 3 t</t>
  </si>
  <si>
    <t>SekiduliEWeris mowyoba TabaSirmuyaoTi, (uJangavi liTonis karkasze, kompleqti)</t>
  </si>
  <si>
    <t>SekiduliEWeris mowyoba nestgamZle TabaSirmuyaoTi, (uJangavi liTonis karkasze, kompleqti)</t>
  </si>
  <si>
    <t>dubelis samagri</t>
  </si>
  <si>
    <t>26-8-11</t>
  </si>
  <si>
    <t>26-10-5</t>
  </si>
  <si>
    <t>plastmasis salesi badis mowyoba</t>
  </si>
  <si>
    <t>salesi bade plastmasis</t>
  </si>
  <si>
    <t>dekoratiuli cementis xsnari</t>
  </si>
  <si>
    <t>26-11-3</t>
  </si>
  <si>
    <r>
      <t xml:space="preserve">gare kedlis mopirkeTeba tipi </t>
    </r>
    <r>
      <rPr>
        <b/>
        <sz val="10"/>
        <rFont val="Times New Roman"/>
        <family val="1"/>
      </rPr>
      <t>W-3</t>
    </r>
  </si>
  <si>
    <r>
      <t xml:space="preserve">gare kedlis mopirkeTeba tipi </t>
    </r>
    <r>
      <rPr>
        <b/>
        <sz val="10"/>
        <rFont val="Times New Roman"/>
        <family val="1"/>
      </rPr>
      <t>W-1</t>
    </r>
  </si>
  <si>
    <t>folgis damcavi fenis mowyoba</t>
  </si>
  <si>
    <t>folga</t>
  </si>
  <si>
    <r>
      <t xml:space="preserve">gare kedlis mopirkeTeba tipi </t>
    </r>
    <r>
      <rPr>
        <b/>
        <sz val="10"/>
        <rFont val="Times New Roman"/>
        <family val="1"/>
      </rPr>
      <t>W-2</t>
    </r>
  </si>
  <si>
    <t>26-10-3   26-10-5</t>
  </si>
  <si>
    <t>Sromis danaxarjebi 0,278+0,112=</t>
  </si>
  <si>
    <t>15-11-1</t>
  </si>
  <si>
    <t>liTonis bade rabica</t>
  </si>
  <si>
    <t>cokolis mopirkeTeba bunebrivi bazaltis filebiT, sisqiT 30 mm, yinvagamZle webocementze, samagrebiT (qudis CaTvliT)</t>
  </si>
  <si>
    <r>
      <t>saizolacio fenis mowyoba 8mm sisqis "</t>
    </r>
    <r>
      <rPr>
        <sz val="10"/>
        <rFont val="Arial"/>
        <family val="2"/>
      </rPr>
      <t>TERAFOM</t>
    </r>
    <r>
      <rPr>
        <sz val="10"/>
        <rFont val="AcadNusx"/>
        <family val="0"/>
      </rPr>
      <t>"-iT</t>
    </r>
  </si>
  <si>
    <t>yavisferi izoaluminis samkameriani fanjris montaJi (nawrTobi minapaketiT)</t>
  </si>
  <si>
    <t>yavisferi izoaluminis samkameriani karis montaJi (nawrTobi minapaketiT)</t>
  </si>
  <si>
    <t>aivnis filebis Selesva cementis xsnariT qvemodan</t>
  </si>
  <si>
    <t>fasadis kedlebis, aivnis filis da ferdoebis daSxefa dekoratiuli cementiT da damuSaveba saRebaviT orjer</t>
  </si>
  <si>
    <t>safuZveli: naxazebi</t>
  </si>
  <si>
    <t>normat. erT.</t>
  </si>
  <si>
    <t xml:space="preserve">Sromis danaxarji                      </t>
  </si>
  <si>
    <t>obieqturi xarjTaRricxva #1</t>
  </si>
  <si>
    <t>1/1</t>
  </si>
  <si>
    <t>1/2</t>
  </si>
  <si>
    <t>1/3</t>
  </si>
  <si>
    <t>1/4</t>
  </si>
  <si>
    <t>1/5</t>
  </si>
  <si>
    <t>1/6</t>
  </si>
  <si>
    <t>1/7</t>
  </si>
  <si>
    <t>1/8</t>
  </si>
  <si>
    <t>xarjTaRricxva #1/1</t>
  </si>
  <si>
    <t>xarjTaRricxva #1/2</t>
  </si>
  <si>
    <t>xarjTaRricxva #1/3</t>
  </si>
  <si>
    <t>xarjTaRricxva #1/4</t>
  </si>
  <si>
    <t>xarjTaRricxva #1/5</t>
  </si>
  <si>
    <t>xarjTaRricxva #1/6</t>
  </si>
  <si>
    <t>xarjTaRricxva #1/7</t>
  </si>
  <si>
    <t>xarjTaRricxva #1/8</t>
  </si>
  <si>
    <t>xarjTaRricxva #2</t>
  </si>
  <si>
    <t>ob.xarjT. #1</t>
  </si>
  <si>
    <t>xarjTaRricxva #3</t>
  </si>
  <si>
    <t>xarjT. #2</t>
  </si>
  <si>
    <t>xarjT. #3</t>
  </si>
  <si>
    <r>
      <t xml:space="preserve">Riobebze monoliTuri rkinabetonis zRudaris mowyoba </t>
    </r>
    <r>
      <rPr>
        <sz val="10"/>
        <rFont val="Times New Roman"/>
        <family val="1"/>
      </rPr>
      <t xml:space="preserve">B25 </t>
    </r>
    <r>
      <rPr>
        <sz val="10"/>
        <rFont val="AcadNusx"/>
        <family val="0"/>
      </rPr>
      <t>betoniT</t>
    </r>
  </si>
  <si>
    <t>10 sm sisqis tixrebis mowyoba knaufis TabaSirmuyaos filebiT orfeniani ormxrivi SemosviT uJangavi liTonis karkasze (kompleqti), 5 sm sisqis folgaizoliani minabambis izolaciiT</t>
  </si>
  <si>
    <t>20 sm sisqis tixrebis mowyoba knaufis TabaSirmuyaos filebiT orfeniani ormxrivi SemosviT uJangavi liTonis ormag karkasze (kompleqti), 5 sm sisqis folgaizoliani minabambis izolaciiT</t>
  </si>
  <si>
    <t>kedlebis da tixrebis damuSaveba fiTxiT da SeRebva wyalmedegi wyalemulsiuri saRebaviT orjer, Sida ferdoebis CaTvliT</t>
  </si>
  <si>
    <t>cementis moWimvis mowyoba, sisqiT 70mm</t>
  </si>
  <si>
    <t>kar-fanjrebis Sida ferdoebis Selesva cementis xsnariT</t>
  </si>
  <si>
    <t>plastmasis wyalSemkrebi Rarebis mowyoba, d=80 mm</t>
  </si>
  <si>
    <t>aluminis gadamyvani</t>
  </si>
  <si>
    <t>bzarebis Semavsebeli</t>
  </si>
  <si>
    <t>SesaduRebeli zonari</t>
  </si>
  <si>
    <t>magari jiSis maRalxarisxovani xis plintusi, simaRliT 7 sm</t>
  </si>
  <si>
    <r>
      <t>fasadze uJangavi liTonis saventilacio cxaurebis mowyoba, (1.763</t>
    </r>
    <r>
      <rPr>
        <sz val="10"/>
        <rFont val="Calibri"/>
        <family val="2"/>
      </rPr>
      <t>×</t>
    </r>
    <r>
      <rPr>
        <sz val="10"/>
        <rFont val="AcadNusx"/>
        <family val="0"/>
      </rPr>
      <t>2=3.53 kv.m)</t>
    </r>
  </si>
  <si>
    <t>marmoleumi, sisqiT 4 mm</t>
  </si>
  <si>
    <r>
      <t>safexurebis kideze aluminis kuTxovanis 20</t>
    </r>
    <r>
      <rPr>
        <sz val="10"/>
        <rFont val="Calibri"/>
        <family val="2"/>
      </rPr>
      <t>×</t>
    </r>
    <r>
      <rPr>
        <sz val="10"/>
        <rFont val="AcadNusx"/>
        <family val="0"/>
      </rPr>
      <t>20 mm mowyoba</t>
    </r>
  </si>
  <si>
    <t>kibis safexurebis da qvesafexurebis mopirkeTeba bunebrivi bazaltis filebiT, sisqiT 3 sm, yinvagamZle webocementze</t>
  </si>
  <si>
    <t>sakabelo arxi (arxdamWeri 400 cali)</t>
  </si>
  <si>
    <t>8-472-2</t>
  </si>
  <si>
    <t>saerTo sacxovreblis Senoba</t>
  </si>
  <si>
    <t xml:space="preserve">xis rafa 20sm siganiT </t>
  </si>
  <si>
    <t>5 sm sisqis xis rafis mowyoba, damuSaveba da ori piri laqis wasma - 23.4 grZ.m</t>
  </si>
  <si>
    <r>
      <t xml:space="preserve">kedlebisNTboizolacia </t>
    </r>
    <r>
      <rPr>
        <sz val="10"/>
        <rFont val="Arial"/>
        <family val="2"/>
      </rPr>
      <t>XPS</t>
    </r>
    <r>
      <rPr>
        <sz val="10"/>
        <rFont val="AcadNusx"/>
        <family val="0"/>
      </rPr>
      <t>-is damaTbunebliT, sisqiT 50mm, yinvagamZle webocementze da dubelis samagrebze</t>
    </r>
  </si>
  <si>
    <t>Tboizolaciis Selesva yinvagamZle webocementiT, ori fena</t>
  </si>
  <si>
    <r>
      <t>fasadis kedlebis mopirkeTeba ventilirebadi panelebiT (aluminis karkasiT) "</t>
    </r>
    <r>
      <rPr>
        <sz val="10"/>
        <rFont val="Times New Roman"/>
        <family val="1"/>
      </rPr>
      <t>FUNDERMAX</t>
    </r>
    <r>
      <rPr>
        <sz val="10"/>
        <rFont val="AcadNusx"/>
        <family val="0"/>
      </rPr>
      <t>" an analoguri xarisxis</t>
    </r>
  </si>
  <si>
    <t>fundrmaqsis ventilirebadi panelebi (aluminis karkasiT)</t>
  </si>
  <si>
    <r>
      <t xml:space="preserve">betonis </t>
    </r>
    <r>
      <rPr>
        <sz val="10"/>
        <rFont val="Times New Roman"/>
        <family val="1"/>
      </rPr>
      <t>B25</t>
    </r>
    <r>
      <rPr>
        <sz val="10"/>
        <rFont val="AcadNusx"/>
        <family val="0"/>
      </rPr>
      <t xml:space="preserve"> sayvavileebis mowyoba 2 cali </t>
    </r>
  </si>
  <si>
    <t>cementis moWimvis mowyoba, sisqiT 75mm</t>
  </si>
  <si>
    <t>Sromis danaxarjebi 0,188+0,0034X11=</t>
  </si>
  <si>
    <t>sxvadasxva manqanebi normiT 0,0095+0,0023X11=</t>
  </si>
  <si>
    <t>cementis xsnari m150 0,0204+0,0051X11=</t>
  </si>
  <si>
    <t>amwe-platforma, tvirTamweobiT 340 kg, 2 gaCerebaze</t>
  </si>
  <si>
    <t xml:space="preserve">amwe-platformis Rirebuleba                          </t>
  </si>
  <si>
    <t>eleqtroTburi farda 9.0 kvt/sT</t>
  </si>
  <si>
    <t>videomonitori</t>
  </si>
  <si>
    <t>vertikaluri dagegmareba</t>
  </si>
  <si>
    <t>1-29-3, 10</t>
  </si>
  <si>
    <t>III kategoriis gruntis moWra buldozeriT, 50 m-mde gadaadgilebiT yrilSi</t>
  </si>
  <si>
    <t xml:space="preserve">1-118-3,4 </t>
  </si>
  <si>
    <t xml:space="preserve">muStebiani satkepni 5t (0,00688-0,00115)X9=   </t>
  </si>
  <si>
    <t>buldozeri 108 cx.Z. 0,020-0,00317=</t>
  </si>
  <si>
    <t>traqtori 108 cx.Z. (0,00344-0,00058)X9=</t>
  </si>
  <si>
    <t>III kategoriis gruntis moWra buldozeriT, 20 m-mde gadaadgileba, mogroveba</t>
  </si>
  <si>
    <t xml:space="preserve">III kategoriis gruntis datvirTva eqskavatoriT avtoTviTmclelze  </t>
  </si>
  <si>
    <t xml:space="preserve">buldozeris muSaoba nayarSi </t>
  </si>
  <si>
    <t>teritoriis keTilmowyoba</t>
  </si>
  <si>
    <t>betonis gzis da moednis mowyoba</t>
  </si>
  <si>
    <t xml:space="preserve">TviTmavali satkepni 18t pnevmosvlaze </t>
  </si>
  <si>
    <t>wyali</t>
  </si>
  <si>
    <t>27-11-1-4</t>
  </si>
  <si>
    <t>RorRis (10-40 mm) საfuZvlis mowyoba, sisqiT 30 sm</t>
  </si>
  <si>
    <t>avtogreideri saSualo</t>
  </si>
  <si>
    <t>manq/sT</t>
  </si>
  <si>
    <t xml:space="preserve">TviTmavali satkepni 5t-mde </t>
  </si>
  <si>
    <t xml:space="preserve">TviTmavali satkepni 10t-mde </t>
  </si>
  <si>
    <t>mosarwyav-mosarecxi manqana</t>
  </si>
  <si>
    <t xml:space="preserve">qvis namtvrevebis manawilebeli </t>
  </si>
  <si>
    <t>RorRi m400 fr.40-70mm</t>
  </si>
  <si>
    <t>RorRi m800 fr.10-20mm</t>
  </si>
  <si>
    <t>27-24-17   27-24-18</t>
  </si>
  <si>
    <t>betonis safaris mowyoba, sisqiT 18sm, m400 betoniT</t>
  </si>
  <si>
    <t>Sromis danaxarjebi 0,405-0,00464X2=</t>
  </si>
  <si>
    <t>sxva manqana 0,0135-0,0001X2=</t>
  </si>
  <si>
    <t>betoni m400 0,204-0,0102X10=</t>
  </si>
  <si>
    <t>biტumis mastika 0,23-0,01X10=</t>
  </si>
  <si>
    <t>jvalo</t>
  </si>
  <si>
    <t>yalibis fari 0,0117-0,00059X10=</t>
  </si>
  <si>
    <t xml:space="preserve">wyali </t>
  </si>
  <si>
    <t>sxva masala 0,0064-0,00019X10=</t>
  </si>
  <si>
    <t>TviTmavali satkepni 5t</t>
  </si>
  <si>
    <t>TviTmavali satkepni 10t</t>
  </si>
  <si>
    <t>bunebrivi bazaltis bordiuris mowyoba, zomiT 15X30sm, m200 betonis fuZeze</t>
  </si>
  <si>
    <t>bazaltis bordiuri 15X30</t>
  </si>
  <si>
    <t>trotuarebis mowyoba</t>
  </si>
  <si>
    <t>27-7-4</t>
  </si>
  <si>
    <t>SromiTi resursebi</t>
  </si>
  <si>
    <t>avtogreideri 79kvt.</t>
  </si>
  <si>
    <t>m/sT</t>
  </si>
  <si>
    <t>buldozeri 79kvt</t>
  </si>
  <si>
    <t>sarwyavi manqana</t>
  </si>
  <si>
    <t>kub.m.</t>
  </si>
  <si>
    <t>betonis safaris mowyoba, sisqiT 10sm, m400 betoniT</t>
  </si>
  <si>
    <t>Sromis danaxarjebi 0,405-0,00464X10=</t>
  </si>
  <si>
    <t>sxva manqana 0,0135-0,0001X10=</t>
  </si>
  <si>
    <t xml:space="preserve">RorRis safuZvelis mowyoba, sisqiT 10sm </t>
  </si>
  <si>
    <t>Tavi 7</t>
  </si>
  <si>
    <t>vertikaluri dagegmareba da keTilmowyoba</t>
  </si>
  <si>
    <t>jami Tavi 2-7</t>
  </si>
  <si>
    <t>xarjT. #5</t>
  </si>
  <si>
    <t>xarjT. #6</t>
  </si>
  <si>
    <t>jami Tavi 7</t>
  </si>
  <si>
    <t>jami Tavi 2-7 masalebis transportis CaTvliT</t>
  </si>
  <si>
    <r>
      <t xml:space="preserve">sirena strob-sanaTiT 100 </t>
    </r>
    <r>
      <rPr>
        <sz val="10"/>
        <rFont val="Arial"/>
        <family val="2"/>
      </rPr>
      <t>dB-Sounder-2460</t>
    </r>
  </si>
  <si>
    <t>gruntis mosworeba da datkepna muStebiani satkepniT 5t</t>
  </si>
  <si>
    <t>Rirebuleba</t>
  </si>
  <si>
    <t>zedmeti gruntis gatana nayarSi</t>
  </si>
  <si>
    <t>kompiuterizacia da telefonizacia</t>
  </si>
  <si>
    <t>kompiuterizacia da telefonizacia, satelevizio, videomeTvalyureobis sistema da saxanZro signalizacia</t>
  </si>
  <si>
    <r>
      <t xml:space="preserve">satelevizio kabeli </t>
    </r>
    <r>
      <rPr>
        <sz val="10"/>
        <rFont val="Arial"/>
        <family val="2"/>
      </rPr>
      <t>RJ11</t>
    </r>
  </si>
  <si>
    <r>
      <t xml:space="preserve">cifruli videoregistratori 16arxiani </t>
    </r>
  </si>
  <si>
    <t>S/m feradi videokamera dRe-Ramis reJimiT, varifokaluri linziT 2,8-12mm</t>
  </si>
  <si>
    <r>
      <t>kabeli</t>
    </r>
    <r>
      <rPr>
        <sz val="10"/>
        <rFont val="Arial"/>
        <family val="2"/>
      </rPr>
      <t xml:space="preserve"> 2X1,5</t>
    </r>
    <r>
      <rPr>
        <sz val="10"/>
        <rFont val="AcadNusx"/>
        <family val="0"/>
      </rPr>
      <t>mm</t>
    </r>
  </si>
  <si>
    <r>
      <t>satelevizio kabeli</t>
    </r>
    <r>
      <rPr>
        <sz val="10"/>
        <rFont val="Arial"/>
        <family val="2"/>
      </rPr>
      <t xml:space="preserve"> RJ11</t>
    </r>
  </si>
  <si>
    <t>magidis signalizatori</t>
  </si>
  <si>
    <t>gamoZaxebis Rilaki (Toki)</t>
  </si>
  <si>
    <r>
      <t>gamtari</t>
    </r>
    <r>
      <rPr>
        <sz val="10"/>
        <rFont val="Arial"/>
        <family val="2"/>
      </rPr>
      <t xml:space="preserve"> 2X1,2</t>
    </r>
    <r>
      <rPr>
        <sz val="10"/>
        <rFont val="AcadNusx"/>
        <family val="0"/>
      </rPr>
      <t>mm</t>
    </r>
  </si>
  <si>
    <t>saxanZro signalizacia</t>
  </si>
  <si>
    <t>masalebi</t>
  </si>
  <si>
    <t>xarjTaRricxva #5</t>
  </si>
  <si>
    <t>xarjTaRricxva #6</t>
  </si>
  <si>
    <t>cira ninikaSvili</t>
  </si>
  <si>
    <t>mariam efremiZe</t>
  </si>
  <si>
    <t>amwe-platforma, SezRuduli SesaZleblobis mqoneTaTvis, tvirTamweobiT 340kg, 2 gaCerebaze</t>
  </si>
  <si>
    <t xml:space="preserve"> samrecxaos ventilacia</t>
  </si>
  <si>
    <t>aluminis kuTxovana</t>
  </si>
  <si>
    <t xml:space="preserve">Sedgenilia 2016w I kv. doneze                                 </t>
  </si>
  <si>
    <t>8-122-9</t>
  </si>
  <si>
    <t xml:space="preserve">ЕНиР      1-22-1а     </t>
  </si>
  <si>
    <t>gruntis datvirTva xeliT avtoTviTmclelze</t>
  </si>
  <si>
    <r>
      <t>danadgarebis (290kg 1.2</t>
    </r>
    <r>
      <rPr>
        <sz val="10"/>
        <rFont val="Calibri"/>
        <family val="2"/>
      </rPr>
      <t>×</t>
    </r>
    <r>
      <rPr>
        <sz val="10"/>
        <rFont val="AcadNusx"/>
        <family val="0"/>
      </rPr>
      <t>1.6m) liTonis sadgami sxvenSi</t>
    </r>
  </si>
  <si>
    <t>danadgarebis liTonis sadgami sxvenSi</t>
  </si>
  <si>
    <r>
      <t xml:space="preserve">monoliTuri rkinabetonis diafragmebis mowyoba </t>
    </r>
    <r>
      <rPr>
        <sz val="10"/>
        <rFont val="Times New Roman"/>
        <family val="1"/>
      </rPr>
      <t xml:space="preserve">B25 </t>
    </r>
    <r>
      <rPr>
        <sz val="10"/>
        <rFont val="AcadNusx"/>
        <family val="0"/>
      </rPr>
      <t>betoniT (detali #2-is gaTvaliswinebiT)</t>
    </r>
  </si>
  <si>
    <r>
      <t xml:space="preserve">sardafis monoliTuri rkinabetonis kedlis mowyoba </t>
    </r>
    <r>
      <rPr>
        <sz val="10"/>
        <rFont val="Times New Roman"/>
        <family val="1"/>
      </rPr>
      <t>B25W8</t>
    </r>
    <r>
      <rPr>
        <sz val="10"/>
        <rFont val="AcadNusx"/>
        <family val="0"/>
      </rPr>
      <t xml:space="preserve"> betoniT</t>
    </r>
  </si>
  <si>
    <r>
      <t xml:space="preserve">sardafis sarTulis monoliTuri rkinabetonis svetebis mowyoba </t>
    </r>
    <r>
      <rPr>
        <sz val="10"/>
        <rFont val="Times New Roman"/>
        <family val="1"/>
      </rPr>
      <t>B25W8</t>
    </r>
    <r>
      <rPr>
        <sz val="10"/>
        <rFont val="AcadNusx"/>
        <family val="0"/>
      </rPr>
      <t xml:space="preserve"> betoniT</t>
    </r>
  </si>
  <si>
    <t>saxuravis xis antiseptirebuli konstruqciebis mowyoba dekoraciuli gaJRenTili da damuSavebuli koWebis CaTvliT (CaankerebiT da tolis amofeniT)</t>
  </si>
  <si>
    <t>TviTgamasworebeli xsnaris dasxma  sisqiT 20mm</t>
  </si>
  <si>
    <t>TviTgamasworebeli xsnaris dasxma,  sisqiT 20mm</t>
  </si>
  <si>
    <t>liTonis badis (rabica) mowyoba</t>
  </si>
  <si>
    <t>amwe-platforma, tvirTamweobiT 340kg, 2 gaCerebaze, SezRuduli unaris mqoneTaTvis (evropuli warmoebis)</t>
  </si>
  <si>
    <t>anakrebi rkinabetonis wyalsadenis Wa d=1m (1 cali) Tujis xufiT</t>
  </si>
  <si>
    <t>anakrebi rkinabetonis kanalizaciis Wa d=1,0m, (1cali), Tujis xufiT</t>
  </si>
  <si>
    <t xml:space="preserve">samontaJoMsamuSaoebi </t>
  </si>
  <si>
    <r>
      <t xml:space="preserve">Semyvan-gamanawilebeli fari liTonis korpusiT, 10 jgufiani, dacvis klasiT </t>
    </r>
    <r>
      <rPr>
        <sz val="10"/>
        <rFont val="Times New Roman"/>
        <family val="1"/>
      </rPr>
      <t>IP44,</t>
    </r>
    <r>
      <rPr>
        <sz val="10"/>
        <rFont val="AcadNusx"/>
        <family val="0"/>
      </rPr>
      <t xml:space="preserve"> avtomaturi amomrTvelebiT nominalur denze: Semyvanze sampolusiani 400a, gamaval jgufebze: 3-faziani 125a-2c, 32a-3c, 16a-1c, 100a-3c</t>
    </r>
  </si>
  <si>
    <t>masalebis transporti 7 % masalebis Rirebulebidan</t>
  </si>
  <si>
    <t>arqiteqtori:</t>
  </si>
  <si>
    <t xml:space="preserve">Sedgenilia 2017w IV kv. doneze                                 </t>
  </si>
  <si>
    <r>
      <t>11-20-</t>
    </r>
    <r>
      <rPr>
        <sz val="10"/>
        <rFont val="Times New Roman"/>
        <family val="1"/>
      </rPr>
      <t>3</t>
    </r>
  </si>
  <si>
    <t>qviSa-RorRi</t>
  </si>
  <si>
    <t>8-615-3</t>
  </si>
  <si>
    <t>8-615-2</t>
  </si>
  <si>
    <t>gadaiangariSa:</t>
  </si>
  <si>
    <t>liana kakulia</t>
  </si>
  <si>
    <t>Sedgenilia mimdinare fasebSi (2017 wlis IV kvartali)</t>
  </si>
  <si>
    <t>galvanizirebuli kuTxovana 50X50X5mm /damiweba da elvadacva/ 57.5 grZ. M</t>
  </si>
  <si>
    <t>galvanizirebuli kuTxovana 50X50X5mm</t>
  </si>
  <si>
    <t>galvanizirebuli zolovani foladi 40X4mm /damiweba da elvadacva/</t>
  </si>
  <si>
    <t>galvanizirebuli foladis zolana 40X4mm</t>
  </si>
  <si>
    <t>galvanizirebuli foladis mavTuli 8mm /elvadacva/</t>
  </si>
  <si>
    <t>galvanizirebuli foladis mavTuli 8mm</t>
  </si>
  <si>
    <t>l. Kkakulia</t>
  </si>
  <si>
    <t xml:space="preserve">           gadaiangariSa:</t>
  </si>
  <si>
    <t xml:space="preserve">                     gadaiangariSa:</t>
  </si>
  <si>
    <t>l.Kkaulia</t>
  </si>
  <si>
    <t>walenjixis ssip profesiuli koleji "lakada"-s saerTo sacxovrebeli 50 moswavleze</t>
  </si>
  <si>
    <t xml:space="preserve"> walenjixis ssip profesiuli koleji "lakada"-s saerTo sacxovrebeli 50 moswavleze</t>
  </si>
  <si>
    <t>danaxarjebi zamTris pirobebSi muSaobisas 0,2X0,6=0,12%</t>
  </si>
  <si>
    <t xml:space="preserve"> ssip ილია წინამძღვრიშვილის სახელობის საზოგადოებრივი კოლეჯი"-s saerTo sacxovrebeli 50 moswavleze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</si>
</sst>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Lari&quot;;\-#,##0\ &quot;Lari&quot;"/>
    <numFmt numFmtId="181" formatCode="#,##0\ &quot;Lari&quot;;[Red]\-#,##0\ &quot;Lari&quot;"/>
    <numFmt numFmtId="182" formatCode="#,##0.00\ &quot;Lari&quot;;\-#,##0.00\ &quot;Lari&quot;"/>
    <numFmt numFmtId="183" formatCode="#,##0.00\ &quot;Lari&quot;;[Red]\-#,##0.00\ &quot;Lari&quot;"/>
    <numFmt numFmtId="184" formatCode="_-* #,##0\ &quot;Lari&quot;_-;\-* #,##0\ &quot;Lari&quot;_-;_-* &quot;-&quot;\ &quot;Lari&quot;_-;_-@_-"/>
    <numFmt numFmtId="185" formatCode="_-* #,##0\ _L_a_r_i_-;\-* #,##0\ _L_a_r_i_-;_-* &quot;-&quot;\ _L_a_r_i_-;_-@_-"/>
    <numFmt numFmtId="186" formatCode="_-* #,##0.00\ &quot;Lari&quot;_-;\-* #,##0.00\ &quot;Lari&quot;_-;_-* &quot;-&quot;??\ &quot;Lari&quot;_-;_-@_-"/>
    <numFmt numFmtId="187" formatCode="_-* #,##0.00\ _L_a_r_i_-;\-* #,##0.00\ _L_a_r_i_-;_-* &quot;-&quot;??\ _L_a_r_i_-;_-@_-"/>
    <numFmt numFmtId="188" formatCode="#,##0\ &quot;ლ.&quot;;\-#,##0\ &quot;ლ.&quot;"/>
    <numFmt numFmtId="189" formatCode="#,##0\ &quot;ლ.&quot;;[Red]\-#,##0\ &quot;ლ.&quot;"/>
    <numFmt numFmtId="190" formatCode="#,##0.00\ &quot;ლ.&quot;;\-#,##0.00\ &quot;ლ.&quot;"/>
    <numFmt numFmtId="191" formatCode="#,##0.00\ &quot;ლ.&quot;;[Red]\-#,##0.00\ &quot;ლ.&quot;"/>
    <numFmt numFmtId="192" formatCode="_-* #,##0\ &quot;ლ.&quot;_-;\-* #,##0\ &quot;ლ.&quot;_-;_-* &quot;-&quot;\ &quot;ლ.&quot;_-;_-@_-"/>
    <numFmt numFmtId="193" formatCode="_-* #,##0\ _ლ_._-;\-* #,##0\ _ლ_._-;_-* &quot;-&quot;\ _ლ_._-;_-@_-"/>
    <numFmt numFmtId="194" formatCode="_-* #,##0.00\ &quot;ლ.&quot;_-;\-* #,##0.00\ &quot;ლ.&quot;_-;_-* &quot;-&quot;??\ &quot;ლ.&quot;_-;_-@_-"/>
    <numFmt numFmtId="195" formatCode="_-* #,##0.00\ _ლ_._-;\-* #,##0.00\ _ლ_._-;_-* &quot;-&quot;??\ _ლ_._-;_-@_-"/>
    <numFmt numFmtId="196" formatCode="0.000"/>
    <numFmt numFmtId="197" formatCode="0.0"/>
    <numFmt numFmtId="198" formatCode="0.0000000"/>
    <numFmt numFmtId="199" formatCode="_-* #,##0.0_р_._-;\-* #,##0.0_р_._-;_-* &quot;-&quot;??_р_._-;_-@_-"/>
    <numFmt numFmtId="200" formatCode="_-* #,##0_р_._-;\-* #,##0_р_._-;_-* &quot;-&quot;??_р_._-;_-@_-"/>
    <numFmt numFmtId="201" formatCode="_-* #,##0.000_р_._-;\-* #,##0.000_р_._-;_-* &quot;-&quot;??_р_._-;_-@_-"/>
    <numFmt numFmtId="202" formatCode="_-* #,##0.00000000_р_._-;\-* #,##0.00000000_р_._-;_-* &quot;-&quot;??_р_._-;_-@_-"/>
    <numFmt numFmtId="203" formatCode="_-* #,##0_-;\-* #,##0_-;_-* &quot;-&quot;??_-;_-@_-"/>
    <numFmt numFmtId="204" formatCode="0.00000"/>
    <numFmt numFmtId="205" formatCode="0.0000"/>
    <numFmt numFmtId="206" formatCode="_-* #,##0.0000_р_._-;\-* #,##0.0000_р_._-;_-* &quot;-&quot;??_р_._-;_-@_-"/>
    <numFmt numFmtId="207" formatCode="0.000000"/>
    <numFmt numFmtId="208" formatCode="_(* #,##0.0_);_(* \(#,##0.0\);_(* &quot;-&quot;?_);_(@_)"/>
    <numFmt numFmtId="209" formatCode="_-* #,##0.00000_р_._-;\-* #,##0.00000_р_._-;_-* &quot;-&quot;??_р_._-;_-@_-"/>
    <numFmt numFmtId="210" formatCode="_(* #,##0.000_);_(* \(#,##0.000\);_(* &quot;-&quot;??_);_(@_)"/>
    <numFmt numFmtId="211" formatCode="_(* #,##0.000_);_(* \(#,##0.000\);_(* &quot;-&quot;???_);_(@_)"/>
    <numFmt numFmtId="212" formatCode="[$-437]yyyy\ &quot;წლის&quot;\ dd\ mm\,\ dddd"/>
    <numFmt numFmtId="213" formatCode="_-* #,##0.0_-;\-* #,##0.0_-;_-* &quot;-&quot;??_-;_-@_-"/>
    <numFmt numFmtId="214" formatCode="#,##0.00_ ;\-#,##0.00\ "/>
    <numFmt numFmtId="215" formatCode="#,##0_ ;\-#,##0\ "/>
    <numFmt numFmtId="216" formatCode="0.00_ ;\-0.00\ "/>
    <numFmt numFmtId="217" formatCode="0.000_ ;\-0.000\ "/>
    <numFmt numFmtId="218" formatCode="0.0000_ ;\-0.0000\ "/>
    <numFmt numFmtId="219" formatCode="0.00000_ ;\-0.00000\ "/>
    <numFmt numFmtId="220" formatCode="0.000000_ ;\-0.000000\ "/>
    <numFmt numFmtId="221" formatCode="0.0000000_ ;\-0.0000000\ "/>
    <numFmt numFmtId="222" formatCode="0.00000000_ ;\-0.00000000\ "/>
    <numFmt numFmtId="223" formatCode="0.000000000_ ;\-0.000000000\ "/>
    <numFmt numFmtId="224" formatCode="0.0000000000_ ;\-0.0000000000\ "/>
    <numFmt numFmtId="225" formatCode="0.00000000000_ ;\-0.00000000000\ "/>
    <numFmt numFmtId="226" formatCode="#,##0.000"/>
  </numFmts>
  <fonts count="64">
    <font>
      <sz val="10"/>
      <name val="Arial Cyr"/>
      <family val="0"/>
    </font>
    <font>
      <sz val="10"/>
      <name val="AcadNusx"/>
      <family val="0"/>
    </font>
    <font>
      <b/>
      <sz val="12"/>
      <name val="AcadNusx"/>
      <family val="0"/>
    </font>
    <font>
      <sz val="12"/>
      <name val="AcadNusx"/>
      <family val="0"/>
    </font>
    <font>
      <sz val="10"/>
      <name val="Arial"/>
      <family val="2"/>
    </font>
    <font>
      <sz val="10"/>
      <name val="Times New Roman"/>
      <family val="1"/>
    </font>
    <font>
      <sz val="11"/>
      <name val="AcadNusx"/>
      <family val="0"/>
    </font>
    <font>
      <b/>
      <sz val="11"/>
      <name val="AcadNusx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Helv"/>
      <family val="0"/>
    </font>
    <font>
      <sz val="11"/>
      <name val="Times New Roman"/>
      <family val="1"/>
    </font>
    <font>
      <sz val="8"/>
      <name val="AcadNusx"/>
      <family val="0"/>
    </font>
    <font>
      <b/>
      <sz val="10"/>
      <name val="Times New Roman"/>
      <family val="1"/>
    </font>
    <font>
      <b/>
      <sz val="10"/>
      <name val="AcadNusx"/>
      <family val="0"/>
    </font>
    <font>
      <i/>
      <sz val="10"/>
      <name val="AcadNusx"/>
      <family val="0"/>
    </font>
    <font>
      <sz val="12"/>
      <name val="Helv"/>
      <family val="0"/>
    </font>
    <font>
      <b/>
      <sz val="10"/>
      <name val="Arial"/>
      <family val="2"/>
    </font>
    <font>
      <b/>
      <sz val="10"/>
      <name val="Arial Cyr"/>
      <family val="0"/>
    </font>
    <font>
      <b/>
      <sz val="10"/>
      <name val="Helv"/>
      <family val="0"/>
    </font>
    <font>
      <sz val="10"/>
      <name val="AcadMtavr"/>
      <family val="0"/>
    </font>
    <font>
      <sz val="10"/>
      <name val="Grigolia"/>
      <family val="0"/>
    </font>
    <font>
      <b/>
      <sz val="11"/>
      <name val="Arial"/>
      <family val="2"/>
    </font>
    <font>
      <b/>
      <sz val="11"/>
      <name val="Times New Roman"/>
      <family val="1"/>
    </font>
    <font>
      <sz val="10"/>
      <name val="Calibri"/>
      <family val="2"/>
    </font>
    <font>
      <sz val="10"/>
      <name val="Symbol"/>
      <family val="1"/>
    </font>
    <font>
      <sz val="9.5"/>
      <name val="AcadNusx"/>
      <family val="0"/>
    </font>
    <font>
      <sz val="9.5"/>
      <name val="Times New Roman"/>
      <family val="1"/>
    </font>
    <font>
      <b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8" fontId="4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7" fillId="29" borderId="1" applyNumberFormat="0" applyAlignment="0" applyProtection="0"/>
    <xf numFmtId="0" fontId="58" fillId="0" borderId="6" applyNumberFormat="0" applyFill="0" applyAlignment="0" applyProtection="0"/>
    <xf numFmtId="0" fontId="59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1" borderId="7" applyNumberFormat="0" applyFont="0" applyAlignment="0" applyProtection="0"/>
    <xf numFmtId="0" fontId="60" fillId="26" borderId="8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</cellStyleXfs>
  <cellXfs count="582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196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1" fontId="1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center"/>
    </xf>
    <xf numFmtId="2" fontId="1" fillId="0" borderId="11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 quotePrefix="1">
      <alignment horizontal="center" vertical="top" wrapText="1"/>
    </xf>
    <xf numFmtId="0" fontId="4" fillId="0" borderId="0" xfId="0" applyNumberFormat="1" applyFont="1" applyFill="1" applyBorder="1" applyAlignment="1">
      <alignment horizontal="center" vertical="top" wrapText="1"/>
    </xf>
    <xf numFmtId="0" fontId="11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71" fontId="1" fillId="0" borderId="0" xfId="42" applyNumberFormat="1" applyFont="1" applyFill="1" applyAlignment="1" applyProtection="1">
      <alignment/>
      <protection/>
    </xf>
    <xf numFmtId="171" fontId="1" fillId="0" borderId="0" xfId="42" applyNumberFormat="1" applyFont="1" applyFill="1" applyAlignment="1" applyProtection="1">
      <alignment horizontal="right"/>
      <protection/>
    </xf>
    <xf numFmtId="171" fontId="1" fillId="0" borderId="0" xfId="42" applyNumberFormat="1" applyFont="1" applyFill="1" applyBorder="1" applyAlignment="1" applyProtection="1">
      <alignment/>
      <protection/>
    </xf>
    <xf numFmtId="49" fontId="1" fillId="0" borderId="11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center" wrapText="1"/>
    </xf>
    <xf numFmtId="179" fontId="1" fillId="0" borderId="10" xfId="42" applyFont="1" applyFill="1" applyBorder="1" applyAlignment="1" applyProtection="1">
      <alignment horizontal="center" vertical="center" wrapText="1"/>
      <protection/>
    </xf>
    <xf numFmtId="0" fontId="1" fillId="0" borderId="10" xfId="59" applyFont="1" applyFill="1" applyBorder="1" applyAlignment="1" applyProtection="1">
      <alignment horizontal="center" vertical="top" wrapText="1"/>
      <protection/>
    </xf>
    <xf numFmtId="0" fontId="1" fillId="0" borderId="10" xfId="59" applyFont="1" applyFill="1" applyBorder="1" applyAlignment="1" applyProtection="1">
      <alignment horizontal="left" vertical="top" wrapText="1"/>
      <protection/>
    </xf>
    <xf numFmtId="0" fontId="1" fillId="0" borderId="10" xfId="59" applyFont="1" applyFill="1" applyBorder="1" applyAlignment="1" applyProtection="1">
      <alignment vertical="top" wrapText="1"/>
      <protection/>
    </xf>
    <xf numFmtId="0" fontId="1" fillId="0" borderId="10" xfId="59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4" xfId="0" applyNumberFormat="1" applyFont="1" applyFill="1" applyBorder="1" applyAlignment="1">
      <alignment horizontal="center" vertical="top" wrapText="1"/>
    </xf>
    <xf numFmtId="2" fontId="1" fillId="0" borderId="14" xfId="0" applyNumberFormat="1" applyFont="1" applyFill="1" applyBorder="1" applyAlignment="1">
      <alignment horizontal="center" vertical="top" wrapText="1"/>
    </xf>
    <xf numFmtId="179" fontId="1" fillId="0" borderId="14" xfId="42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 quotePrefix="1">
      <alignment horizontal="center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14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vertical="top" wrapText="1"/>
    </xf>
    <xf numFmtId="0" fontId="15" fillId="0" borderId="14" xfId="0" applyFont="1" applyFill="1" applyBorder="1" applyAlignment="1">
      <alignment horizontal="right" vertical="top" wrapText="1"/>
    </xf>
    <xf numFmtId="0" fontId="15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5" fillId="0" borderId="14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right" vertical="top" wrapText="1"/>
    </xf>
    <xf numFmtId="0" fontId="19" fillId="0" borderId="0" xfId="0" applyFont="1" applyFill="1" applyBorder="1" applyAlignment="1">
      <alignment/>
    </xf>
    <xf numFmtId="179" fontId="19" fillId="0" borderId="0" xfId="42" applyFont="1" applyFill="1" applyBorder="1" applyAlignment="1">
      <alignment/>
    </xf>
    <xf numFmtId="1" fontId="15" fillId="0" borderId="0" xfId="0" applyNumberFormat="1" applyFont="1" applyFill="1" applyBorder="1" applyAlignment="1">
      <alignment horizontal="center"/>
    </xf>
    <xf numFmtId="179" fontId="1" fillId="0" borderId="0" xfId="42" applyFont="1" applyFill="1" applyAlignment="1" applyProtection="1">
      <alignment horizontal="center"/>
      <protection/>
    </xf>
    <xf numFmtId="179" fontId="1" fillId="0" borderId="0" xfId="42" applyFont="1" applyFill="1" applyAlignment="1" applyProtection="1">
      <alignment horizontal="center" vertical="center"/>
      <protection/>
    </xf>
    <xf numFmtId="0" fontId="1" fillId="0" borderId="10" xfId="60" applyFont="1" applyFill="1" applyBorder="1" applyAlignment="1" applyProtection="1">
      <alignment horizontal="center" vertical="top" wrapText="1"/>
      <protection/>
    </xf>
    <xf numFmtId="0" fontId="1" fillId="0" borderId="10" xfId="60" applyFont="1" applyFill="1" applyBorder="1" applyAlignment="1" applyProtection="1">
      <alignment vertical="top" wrapText="1"/>
      <protection/>
    </xf>
    <xf numFmtId="0" fontId="1" fillId="0" borderId="10" xfId="6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Fill="1" applyBorder="1" applyAlignment="1">
      <alignment horizontal="center"/>
    </xf>
    <xf numFmtId="0" fontId="1" fillId="0" borderId="13" xfId="60" applyFont="1" applyFill="1" applyBorder="1" applyAlignment="1" applyProtection="1">
      <alignment horizontal="center" vertical="top" wrapText="1"/>
      <protection/>
    </xf>
    <xf numFmtId="0" fontId="1" fillId="0" borderId="13" xfId="60" applyFont="1" applyFill="1" applyBorder="1" applyAlignment="1" applyProtection="1">
      <alignment vertical="top" wrapText="1"/>
      <protection/>
    </xf>
    <xf numFmtId="0" fontId="1" fillId="0" borderId="13" xfId="0" applyFont="1" applyFill="1" applyBorder="1" applyAlignment="1" applyProtection="1">
      <alignment horizontal="center" vertical="top" wrapText="1"/>
      <protection/>
    </xf>
    <xf numFmtId="0" fontId="1" fillId="0" borderId="13" xfId="6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>
      <alignment/>
    </xf>
    <xf numFmtId="0" fontId="5" fillId="0" borderId="14" xfId="0" applyFont="1" applyFill="1" applyBorder="1" applyAlignment="1">
      <alignment horizontal="center" vertical="top" wrapText="1"/>
    </xf>
    <xf numFmtId="179" fontId="1" fillId="0" borderId="14" xfId="42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 applyProtection="1">
      <alignment vertical="top" wrapText="1"/>
      <protection/>
    </xf>
    <xf numFmtId="0" fontId="1" fillId="0" borderId="11" xfId="60" applyFont="1" applyFill="1" applyBorder="1" applyAlignment="1" applyProtection="1">
      <alignment horizontal="center" vertical="top" wrapText="1"/>
      <protection/>
    </xf>
    <xf numFmtId="0" fontId="1" fillId="0" borderId="11" xfId="0" applyFont="1" applyFill="1" applyBorder="1" applyAlignment="1" applyProtection="1">
      <alignment horizontal="center" vertical="top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0" xfId="60" applyFont="1" applyFill="1" applyBorder="1" applyAlignment="1" applyProtection="1">
      <alignment horizontal="left" vertical="top" wrapText="1"/>
      <protection/>
    </xf>
    <xf numFmtId="0" fontId="1" fillId="0" borderId="14" xfId="0" applyFont="1" applyFill="1" applyBorder="1" applyAlignment="1">
      <alignment horizontal="right" vertical="top" wrapText="1"/>
    </xf>
    <xf numFmtId="9" fontId="1" fillId="0" borderId="14" xfId="0" applyNumberFormat="1" applyFont="1" applyFill="1" applyBorder="1" applyAlignment="1">
      <alignment horizontal="center" vertical="top" wrapText="1"/>
    </xf>
    <xf numFmtId="0" fontId="1" fillId="0" borderId="11" xfId="59" applyFont="1" applyFill="1" applyBorder="1" applyAlignment="1" applyProtection="1">
      <alignment horizontal="center" vertical="top" wrapText="1"/>
      <protection/>
    </xf>
    <xf numFmtId="0" fontId="1" fillId="0" borderId="11" xfId="59" applyFont="1" applyFill="1" applyBorder="1" applyAlignment="1" applyProtection="1">
      <alignment vertical="top" wrapText="1"/>
      <protection/>
    </xf>
    <xf numFmtId="0" fontId="1" fillId="0" borderId="11" xfId="59" applyFont="1" applyFill="1" applyBorder="1" applyAlignment="1" applyProtection="1">
      <alignment horizontal="center" vertical="center" wrapText="1"/>
      <protection/>
    </xf>
    <xf numFmtId="49" fontId="1" fillId="0" borderId="11" xfId="60" applyNumberFormat="1" applyFont="1" applyFill="1" applyBorder="1" applyAlignment="1" applyProtection="1">
      <alignment vertical="top" wrapText="1"/>
      <protection/>
    </xf>
    <xf numFmtId="0" fontId="1" fillId="0" borderId="11" xfId="60" applyFont="1" applyFill="1" applyBorder="1" applyAlignment="1" applyProtection="1">
      <alignment vertical="top" wrapText="1"/>
      <protection/>
    </xf>
    <xf numFmtId="0" fontId="1" fillId="0" borderId="11" xfId="60" applyFont="1" applyFill="1" applyBorder="1" applyAlignment="1" applyProtection="1">
      <alignment horizontal="center" vertical="center" wrapText="1"/>
      <protection/>
    </xf>
    <xf numFmtId="49" fontId="1" fillId="0" borderId="10" xfId="60" applyNumberFormat="1" applyFont="1" applyFill="1" applyBorder="1" applyAlignment="1" applyProtection="1">
      <alignment vertical="top" wrapText="1"/>
      <protection/>
    </xf>
    <xf numFmtId="179" fontId="1" fillId="0" borderId="10" xfId="42" applyFont="1" applyFill="1" applyBorder="1" applyAlignment="1" applyProtection="1">
      <alignment vertical="center" wrapText="1"/>
      <protection/>
    </xf>
    <xf numFmtId="49" fontId="1" fillId="0" borderId="13" xfId="60" applyNumberFormat="1" applyFont="1" applyFill="1" applyBorder="1" applyAlignment="1" applyProtection="1">
      <alignment vertical="top" wrapText="1"/>
      <protection/>
    </xf>
    <xf numFmtId="0" fontId="1" fillId="0" borderId="14" xfId="0" applyFont="1" applyFill="1" applyBorder="1" applyAlignment="1" applyProtection="1">
      <alignment horizontal="center" vertical="top" wrapText="1"/>
      <protection/>
    </xf>
    <xf numFmtId="0" fontId="1" fillId="0" borderId="11" xfId="0" applyFont="1" applyFill="1" applyBorder="1" applyAlignment="1" applyProtection="1">
      <alignment horizontal="left" vertical="top" wrapText="1"/>
      <protection/>
    </xf>
    <xf numFmtId="179" fontId="1" fillId="0" borderId="0" xfId="42" applyFont="1" applyFill="1" applyAlignment="1" applyProtection="1">
      <alignment horizontal="right"/>
      <protection/>
    </xf>
    <xf numFmtId="0" fontId="1" fillId="0" borderId="15" xfId="61" applyFont="1" applyFill="1" applyBorder="1" applyAlignment="1" applyProtection="1">
      <alignment horizontal="left" vertical="center" wrapText="1"/>
      <protection/>
    </xf>
    <xf numFmtId="0" fontId="1" fillId="0" borderId="0" xfId="61" applyFont="1" applyFill="1" applyAlignment="1" applyProtection="1">
      <alignment horizontal="center" vertical="center" wrapText="1"/>
      <protection/>
    </xf>
    <xf numFmtId="0" fontId="1" fillId="0" borderId="0" xfId="58" applyFont="1" applyFill="1" applyAlignment="1" applyProtection="1">
      <alignment horizontal="center" vertical="center" wrapText="1"/>
      <protection/>
    </xf>
    <xf numFmtId="171" fontId="1" fillId="0" borderId="10" xfId="44" applyNumberFormat="1" applyFont="1" applyFill="1" applyBorder="1" applyAlignment="1" applyProtection="1">
      <alignment horizontal="center"/>
      <protection/>
    </xf>
    <xf numFmtId="0" fontId="1" fillId="0" borderId="16" xfId="61" applyFont="1" applyFill="1" applyBorder="1" applyAlignment="1" applyProtection="1">
      <alignment horizontal="left" wrapText="1"/>
      <protection/>
    </xf>
    <xf numFmtId="171" fontId="1" fillId="0" borderId="13" xfId="44" applyNumberFormat="1" applyFont="1" applyFill="1" applyBorder="1" applyAlignment="1" applyProtection="1">
      <alignment horizontal="center"/>
      <protection/>
    </xf>
    <xf numFmtId="0" fontId="1" fillId="0" borderId="14" xfId="61" applyFont="1" applyFill="1" applyBorder="1" applyAlignment="1" applyProtection="1">
      <alignment horizontal="center" vertical="center"/>
      <protection/>
    </xf>
    <xf numFmtId="0" fontId="1" fillId="0" borderId="14" xfId="61" applyFont="1" applyFill="1" applyBorder="1" applyAlignment="1" applyProtection="1">
      <alignment horizontal="center" vertical="center" wrapText="1"/>
      <protection/>
    </xf>
    <xf numFmtId="9" fontId="1" fillId="0" borderId="17" xfId="65" applyFont="1" applyFill="1" applyBorder="1" applyAlignment="1" applyProtection="1">
      <alignment horizontal="center" vertical="center"/>
      <protection/>
    </xf>
    <xf numFmtId="171" fontId="1" fillId="0" borderId="14" xfId="44" applyNumberFormat="1" applyFont="1" applyFill="1" applyBorder="1" applyAlignment="1" applyProtection="1">
      <alignment horizontal="center" vertical="center"/>
      <protection/>
    </xf>
    <xf numFmtId="179" fontId="1" fillId="0" borderId="18" xfId="42" applyFont="1" applyFill="1" applyBorder="1" applyAlignment="1" applyProtection="1">
      <alignment horizontal="center" vertical="center"/>
      <protection/>
    </xf>
    <xf numFmtId="171" fontId="1" fillId="0" borderId="19" xfId="44" applyNumberFormat="1" applyFont="1" applyFill="1" applyBorder="1" applyAlignment="1" applyProtection="1">
      <alignment horizontal="center" vertical="center"/>
      <protection/>
    </xf>
    <xf numFmtId="171" fontId="1" fillId="0" borderId="17" xfId="44" applyNumberFormat="1" applyFont="1" applyFill="1" applyBorder="1" applyAlignment="1" applyProtection="1">
      <alignment horizontal="center" vertical="center"/>
      <protection/>
    </xf>
    <xf numFmtId="2" fontId="16" fillId="0" borderId="10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2" fontId="1" fillId="0" borderId="14" xfId="42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 applyProtection="1">
      <alignment horizontal="left" vertical="top" wrapText="1"/>
      <protection/>
    </xf>
    <xf numFmtId="0" fontId="1" fillId="0" borderId="14" xfId="0" applyFont="1" applyFill="1" applyBorder="1" applyAlignment="1" applyProtection="1">
      <alignment vertical="top" wrapText="1"/>
      <protection/>
    </xf>
    <xf numFmtId="0" fontId="1" fillId="0" borderId="20" xfId="0" applyFont="1" applyFill="1" applyBorder="1" applyAlignment="1" applyProtection="1">
      <alignment horizontal="center" vertical="top" wrapText="1"/>
      <protection/>
    </xf>
    <xf numFmtId="0" fontId="1" fillId="0" borderId="11" xfId="60" applyFont="1" applyFill="1" applyBorder="1" applyAlignment="1" applyProtection="1">
      <alignment horizontal="left" vertical="top" wrapText="1"/>
      <protection/>
    </xf>
    <xf numFmtId="2" fontId="1" fillId="0" borderId="10" xfId="42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 quotePrefix="1">
      <alignment horizontal="center" vertical="top" wrapText="1"/>
    </xf>
    <xf numFmtId="0" fontId="5" fillId="0" borderId="0" xfId="0" applyFont="1" applyFill="1" applyAlignment="1">
      <alignment/>
    </xf>
    <xf numFmtId="0" fontId="5" fillId="0" borderId="13" xfId="0" applyFont="1" applyFill="1" applyBorder="1" applyAlignment="1" quotePrefix="1">
      <alignment horizontal="center" vertical="top" wrapText="1"/>
    </xf>
    <xf numFmtId="0" fontId="1" fillId="0" borderId="13" xfId="0" applyFont="1" applyFill="1" applyBorder="1" applyAlignment="1">
      <alignment vertical="top" wrapText="1"/>
    </xf>
    <xf numFmtId="2" fontId="1" fillId="0" borderId="13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 quotePrefix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2" fontId="1" fillId="0" borderId="13" xfId="42" applyNumberFormat="1" applyFont="1" applyFill="1" applyBorder="1" applyAlignment="1">
      <alignment horizontal="center" vertical="center" wrapText="1"/>
    </xf>
    <xf numFmtId="2" fontId="1" fillId="0" borderId="11" xfId="42" applyNumberFormat="1" applyFont="1" applyFill="1" applyBorder="1" applyAlignment="1" applyProtection="1">
      <alignment horizontal="center" vertical="center" wrapText="1"/>
      <protection/>
    </xf>
    <xf numFmtId="2" fontId="1" fillId="0" borderId="10" xfId="42" applyNumberFormat="1" applyFont="1" applyFill="1" applyBorder="1" applyAlignment="1" applyProtection="1">
      <alignment horizontal="center" vertical="center" wrapText="1"/>
      <protection/>
    </xf>
    <xf numFmtId="2" fontId="1" fillId="0" borderId="13" xfId="42" applyNumberFormat="1" applyFont="1" applyFill="1" applyBorder="1" applyAlignment="1" applyProtection="1">
      <alignment horizontal="center" vertical="center" wrapText="1"/>
      <protection/>
    </xf>
    <xf numFmtId="2" fontId="1" fillId="0" borderId="11" xfId="42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 applyProtection="1" quotePrefix="1">
      <alignment vertical="top" wrapText="1"/>
      <protection/>
    </xf>
    <xf numFmtId="0" fontId="5" fillId="0" borderId="10" xfId="0" applyFont="1" applyFill="1" applyBorder="1" applyAlignment="1" applyProtection="1" quotePrefix="1">
      <alignment vertical="top" wrapText="1"/>
      <protection/>
    </xf>
    <xf numFmtId="0" fontId="5" fillId="0" borderId="13" xfId="0" applyFont="1" applyFill="1" applyBorder="1" applyAlignment="1" applyProtection="1" quotePrefix="1">
      <alignment vertical="top" wrapText="1"/>
      <protection/>
    </xf>
    <xf numFmtId="0" fontId="1" fillId="0" borderId="11" xfId="0" applyFont="1" applyFill="1" applyBorder="1" applyAlignment="1">
      <alignment horizontal="left" vertical="center" wrapText="1"/>
    </xf>
    <xf numFmtId="0" fontId="18" fillId="0" borderId="14" xfId="0" applyNumberFormat="1" applyFont="1" applyFill="1" applyBorder="1" applyAlignment="1">
      <alignment horizontal="center" vertical="top" wrapText="1"/>
    </xf>
    <xf numFmtId="0" fontId="5" fillId="0" borderId="11" xfId="60" applyFont="1" applyFill="1" applyBorder="1" applyAlignment="1" applyProtection="1" quotePrefix="1">
      <alignment vertical="top" wrapText="1"/>
      <protection/>
    </xf>
    <xf numFmtId="0" fontId="5" fillId="0" borderId="10" xfId="60" applyFont="1" applyFill="1" applyBorder="1" applyAlignment="1" applyProtection="1" quotePrefix="1">
      <alignment vertical="top" wrapText="1"/>
      <protection/>
    </xf>
    <xf numFmtId="0" fontId="5" fillId="0" borderId="13" xfId="60" applyFont="1" applyFill="1" applyBorder="1" applyAlignment="1" applyProtection="1" quotePrefix="1">
      <alignment vertical="top" wrapText="1"/>
      <protection/>
    </xf>
    <xf numFmtId="0" fontId="15" fillId="0" borderId="14" xfId="0" applyFont="1" applyFill="1" applyBorder="1" applyAlignment="1" quotePrefix="1">
      <alignment horizontal="center" vertical="top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4" fillId="0" borderId="14" xfId="0" applyNumberFormat="1" applyFont="1" applyFill="1" applyBorder="1" applyAlignment="1">
      <alignment horizontal="center" vertical="top" wrapText="1"/>
    </xf>
    <xf numFmtId="179" fontId="1" fillId="0" borderId="10" xfId="42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 quotePrefix="1">
      <alignment horizontal="center" vertical="top" wrapText="1"/>
    </xf>
    <xf numFmtId="0" fontId="1" fillId="0" borderId="10" xfId="60" applyFont="1" applyFill="1" applyBorder="1" applyAlignment="1" applyProtection="1">
      <alignment horizontal="left" vertical="center" wrapText="1"/>
      <protection/>
    </xf>
    <xf numFmtId="0" fontId="14" fillId="0" borderId="14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 quotePrefix="1">
      <alignment horizontal="center" vertical="top" wrapText="1"/>
    </xf>
    <xf numFmtId="0" fontId="1" fillId="0" borderId="14" xfId="0" applyFont="1" applyFill="1" applyBorder="1" applyAlignment="1" quotePrefix="1">
      <alignment horizontal="center" vertical="top" wrapText="1"/>
    </xf>
    <xf numFmtId="0" fontId="15" fillId="0" borderId="11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horizontal="center" wrapText="1"/>
    </xf>
    <xf numFmtId="2" fontId="1" fillId="0" borderId="22" xfId="0" applyNumberFormat="1" applyFont="1" applyFill="1" applyBorder="1" applyAlignment="1">
      <alignment horizontal="center" vertical="center" wrapText="1"/>
    </xf>
    <xf numFmtId="2" fontId="1" fillId="0" borderId="20" xfId="0" applyNumberFormat="1" applyFont="1" applyFill="1" applyBorder="1" applyAlignment="1">
      <alignment horizontal="center" vertical="center" wrapText="1"/>
    </xf>
    <xf numFmtId="2" fontId="16" fillId="0" borderId="11" xfId="0" applyNumberFormat="1" applyFont="1" applyFill="1" applyBorder="1" applyAlignment="1">
      <alignment horizontal="center" vertical="center" wrapText="1"/>
    </xf>
    <xf numFmtId="2" fontId="15" fillId="0" borderId="14" xfId="0" applyNumberFormat="1" applyFont="1" applyFill="1" applyBorder="1" applyAlignment="1">
      <alignment horizontal="center" vertical="center" wrapText="1"/>
    </xf>
    <xf numFmtId="2" fontId="16" fillId="0" borderId="10" xfId="42" applyNumberFormat="1" applyFont="1" applyFill="1" applyBorder="1" applyAlignment="1">
      <alignment horizontal="center" vertical="center" wrapText="1"/>
    </xf>
    <xf numFmtId="2" fontId="18" fillId="0" borderId="14" xfId="0" applyNumberFormat="1" applyFont="1" applyFill="1" applyBorder="1" applyAlignment="1">
      <alignment horizontal="center" vertical="center" wrapText="1"/>
    </xf>
    <xf numFmtId="2" fontId="15" fillId="0" borderId="11" xfId="0" applyNumberFormat="1" applyFont="1" applyFill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horizontal="center" vertical="center" wrapText="1"/>
    </xf>
    <xf numFmtId="2" fontId="15" fillId="0" borderId="11" xfId="42" applyNumberFormat="1" applyFont="1" applyFill="1" applyBorder="1" applyAlignment="1">
      <alignment horizontal="center" vertical="center" wrapText="1"/>
    </xf>
    <xf numFmtId="2" fontId="15" fillId="0" borderId="10" xfId="42" applyNumberFormat="1" applyFont="1" applyFill="1" applyBorder="1" applyAlignment="1">
      <alignment horizontal="center" vertical="center" wrapText="1"/>
    </xf>
    <xf numFmtId="2" fontId="15" fillId="0" borderId="11" xfId="42" applyNumberFormat="1" applyFont="1" applyFill="1" applyBorder="1" applyAlignment="1" applyProtection="1">
      <alignment horizontal="center" vertical="center" wrapText="1"/>
      <protection/>
    </xf>
    <xf numFmtId="2" fontId="15" fillId="0" borderId="14" xfId="42" applyNumberFormat="1" applyFont="1" applyFill="1" applyBorder="1" applyAlignment="1">
      <alignment horizontal="center" vertical="center" wrapText="1"/>
    </xf>
    <xf numFmtId="2" fontId="1" fillId="0" borderId="14" xfId="42" applyNumberFormat="1" applyFont="1" applyFill="1" applyBorder="1" applyAlignment="1" applyProtection="1">
      <alignment horizontal="center" vertical="center" wrapText="1"/>
      <protection/>
    </xf>
    <xf numFmtId="0" fontId="5" fillId="0" borderId="10" xfId="60" applyFont="1" applyFill="1" applyBorder="1" applyAlignment="1" applyProtection="1">
      <alignment vertical="top" wrapText="1"/>
      <protection/>
    </xf>
    <xf numFmtId="0" fontId="5" fillId="0" borderId="13" xfId="60" applyFont="1" applyFill="1" applyBorder="1" applyAlignment="1" applyProtection="1">
      <alignment vertical="top" wrapText="1"/>
      <protection/>
    </xf>
    <xf numFmtId="2" fontId="15" fillId="0" borderId="14" xfId="42" applyNumberFormat="1" applyFont="1" applyFill="1" applyBorder="1" applyAlignment="1" applyProtection="1">
      <alignment horizontal="center" vertical="center" wrapText="1"/>
      <protection/>
    </xf>
    <xf numFmtId="2" fontId="16" fillId="0" borderId="10" xfId="42" applyNumberFormat="1" applyFont="1" applyFill="1" applyBorder="1" applyAlignment="1" applyProtection="1">
      <alignment horizontal="center" vertical="center" wrapText="1"/>
      <protection/>
    </xf>
    <xf numFmtId="2" fontId="1" fillId="0" borderId="23" xfId="0" applyNumberFormat="1" applyFont="1" applyFill="1" applyBorder="1" applyAlignment="1">
      <alignment horizontal="center" vertical="center" wrapText="1"/>
    </xf>
    <xf numFmtId="2" fontId="1" fillId="0" borderId="22" xfId="42" applyNumberFormat="1" applyFont="1" applyFill="1" applyBorder="1" applyAlignment="1">
      <alignment horizontal="center" vertical="center" wrapText="1"/>
    </xf>
    <xf numFmtId="2" fontId="4" fillId="0" borderId="22" xfId="42" applyNumberFormat="1" applyFont="1" applyFill="1" applyBorder="1" applyAlignment="1">
      <alignment horizontal="center" vertical="center" wrapText="1"/>
    </xf>
    <xf numFmtId="2" fontId="1" fillId="0" borderId="10" xfId="60" applyNumberFormat="1" applyFont="1" applyFill="1" applyBorder="1" applyAlignment="1" applyProtection="1">
      <alignment horizontal="center" vertical="center" wrapText="1"/>
      <protection/>
    </xf>
    <xf numFmtId="2" fontId="1" fillId="0" borderId="13" xfId="60" applyNumberFormat="1" applyFont="1" applyFill="1" applyBorder="1" applyAlignment="1" applyProtection="1">
      <alignment horizontal="center" vertical="center" wrapText="1"/>
      <protection/>
    </xf>
    <xf numFmtId="2" fontId="14" fillId="0" borderId="14" xfId="0" applyNumberFormat="1" applyFont="1" applyFill="1" applyBorder="1" applyAlignment="1">
      <alignment horizontal="center" vertical="center" wrapText="1"/>
    </xf>
    <xf numFmtId="4" fontId="15" fillId="0" borderId="14" xfId="0" applyNumberFormat="1" applyFont="1" applyFill="1" applyBorder="1" applyAlignment="1">
      <alignment horizontal="center" vertical="center" wrapText="1"/>
    </xf>
    <xf numFmtId="2" fontId="18" fillId="0" borderId="14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 applyProtection="1">
      <alignment horizontal="center" vertical="top" wrapText="1"/>
      <protection/>
    </xf>
    <xf numFmtId="179" fontId="1" fillId="0" borderId="11" xfId="42" applyNumberFormat="1" applyFont="1" applyFill="1" applyBorder="1" applyAlignment="1">
      <alignment horizontal="center" vertical="top" wrapText="1"/>
    </xf>
    <xf numFmtId="2" fontId="0" fillId="0" borderId="14" xfId="0" applyNumberFormat="1" applyFont="1" applyFill="1" applyBorder="1" applyAlignment="1">
      <alignment horizontal="center" vertical="center" wrapText="1"/>
    </xf>
    <xf numFmtId="4" fontId="15" fillId="0" borderId="14" xfId="42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4" xfId="42" applyNumberFormat="1" applyFont="1" applyFill="1" applyBorder="1" applyAlignment="1">
      <alignment horizontal="center" vertical="center" wrapText="1"/>
    </xf>
    <xf numFmtId="196" fontId="15" fillId="0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top" wrapText="1"/>
    </xf>
    <xf numFmtId="2" fontId="15" fillId="0" borderId="18" xfId="0" applyNumberFormat="1" applyFont="1" applyFill="1" applyBorder="1" applyAlignment="1">
      <alignment horizontal="center" vertical="center" wrapText="1"/>
    </xf>
    <xf numFmtId="2" fontId="19" fillId="0" borderId="14" xfId="42" applyNumberFormat="1" applyFont="1" applyFill="1" applyBorder="1" applyAlignment="1">
      <alignment horizontal="center" vertical="center" wrapText="1"/>
    </xf>
    <xf numFmtId="4" fontId="19" fillId="0" borderId="14" xfId="0" applyNumberFormat="1" applyFont="1" applyFill="1" applyBorder="1" applyAlignment="1">
      <alignment horizontal="center" vertical="center" wrapText="1"/>
    </xf>
    <xf numFmtId="2" fontId="1" fillId="0" borderId="20" xfId="42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center" wrapText="1"/>
    </xf>
    <xf numFmtId="2" fontId="15" fillId="0" borderId="0" xfId="42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top" wrapText="1"/>
    </xf>
    <xf numFmtId="179" fontId="15" fillId="0" borderId="11" xfId="42" applyNumberFormat="1" applyFont="1" applyFill="1" applyBorder="1" applyAlignment="1" applyProtection="1">
      <alignment vertical="top" wrapText="1"/>
      <protection/>
    </xf>
    <xf numFmtId="0" fontId="1" fillId="0" borderId="22" xfId="0" applyFont="1" applyFill="1" applyBorder="1" applyAlignment="1">
      <alignment horizontal="center" vertical="top" wrapText="1"/>
    </xf>
    <xf numFmtId="179" fontId="1" fillId="0" borderId="11" xfId="42" applyFont="1" applyFill="1" applyBorder="1" applyAlignment="1" applyProtection="1">
      <alignment vertical="center" wrapText="1"/>
      <protection/>
    </xf>
    <xf numFmtId="0" fontId="1" fillId="0" borderId="12" xfId="0" applyFont="1" applyFill="1" applyBorder="1" applyAlignment="1" applyProtection="1">
      <alignment horizontal="left" vertical="top" wrapText="1"/>
      <protection/>
    </xf>
    <xf numFmtId="0" fontId="1" fillId="0" borderId="22" xfId="0" applyFont="1" applyFill="1" applyBorder="1" applyAlignment="1" applyProtection="1">
      <alignment horizontal="center" vertical="top" wrapText="1"/>
      <protection/>
    </xf>
    <xf numFmtId="0" fontId="1" fillId="0" borderId="12" xfId="60" applyFont="1" applyFill="1" applyBorder="1" applyAlignment="1" applyProtection="1">
      <alignment horizontal="left" vertical="top" wrapText="1"/>
      <protection/>
    </xf>
    <xf numFmtId="0" fontId="1" fillId="0" borderId="13" xfId="0" applyFont="1" applyFill="1" applyBorder="1" applyAlignment="1" applyProtection="1">
      <alignment horizontal="left" vertical="top" wrapText="1"/>
      <protection/>
    </xf>
    <xf numFmtId="179" fontId="1" fillId="0" borderId="13" xfId="42" applyFont="1" applyFill="1" applyBorder="1" applyAlignment="1" applyProtection="1">
      <alignment vertical="center" wrapText="1"/>
      <protection/>
    </xf>
    <xf numFmtId="179" fontId="1" fillId="0" borderId="10" xfId="42" applyFont="1" applyFill="1" applyBorder="1" applyAlignment="1" applyProtection="1">
      <alignment vertical="top" wrapText="1"/>
      <protection/>
    </xf>
    <xf numFmtId="196" fontId="1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Font="1" applyFill="1" applyBorder="1" applyAlignment="1" applyProtection="1" quotePrefix="1">
      <alignment vertical="top" wrapText="1"/>
      <protection/>
    </xf>
    <xf numFmtId="0" fontId="4" fillId="0" borderId="14" xfId="0" applyFont="1" applyFill="1" applyBorder="1" applyAlignment="1" applyProtection="1">
      <alignment vertical="top" wrapText="1"/>
      <protection/>
    </xf>
    <xf numFmtId="0" fontId="15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 wrapText="1"/>
    </xf>
    <xf numFmtId="0" fontId="14" fillId="0" borderId="0" xfId="0" applyFont="1" applyFill="1" applyAlignment="1">
      <alignment/>
    </xf>
    <xf numFmtId="4" fontId="1" fillId="0" borderId="11" xfId="42" applyNumberFormat="1" applyFont="1" applyFill="1" applyBorder="1" applyAlignment="1" applyProtection="1">
      <alignment horizontal="center" vertical="center" wrapText="1"/>
      <protection/>
    </xf>
    <xf numFmtId="4" fontId="1" fillId="0" borderId="10" xfId="42" applyNumberFormat="1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>
      <alignment horizontal="center" vertical="top" wrapText="1"/>
    </xf>
    <xf numFmtId="2" fontId="16" fillId="0" borderId="11" xfId="42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5" fillId="0" borderId="13" xfId="0" applyFont="1" applyFill="1" applyBorder="1" applyAlignment="1" quotePrefix="1">
      <alignment horizontal="center" vertical="top" wrapText="1"/>
    </xf>
    <xf numFmtId="0" fontId="1" fillId="0" borderId="21" xfId="0" applyFont="1" applyFill="1" applyBorder="1" applyAlignment="1" applyProtection="1">
      <alignment horizontal="left" vertical="top" wrapText="1"/>
      <protection/>
    </xf>
    <xf numFmtId="2" fontId="1" fillId="0" borderId="20" xfId="69" applyNumberFormat="1" applyFont="1" applyFill="1" applyBorder="1" applyAlignment="1" applyProtection="1">
      <alignment horizontal="center" vertical="center" wrapText="1"/>
      <protection/>
    </xf>
    <xf numFmtId="2" fontId="1" fillId="0" borderId="11" xfId="69" applyNumberFormat="1" applyFont="1" applyFill="1" applyBorder="1" applyAlignment="1" applyProtection="1">
      <alignment horizontal="center" vertical="center" wrapText="1"/>
      <protection/>
    </xf>
    <xf numFmtId="2" fontId="1" fillId="0" borderId="10" xfId="69" applyNumberFormat="1" applyFont="1" applyFill="1" applyBorder="1" applyAlignment="1" applyProtection="1">
      <alignment horizontal="center" vertical="center" wrapText="1"/>
      <protection/>
    </xf>
    <xf numFmtId="2" fontId="15" fillId="0" borderId="11" xfId="69" applyNumberFormat="1" applyFont="1" applyFill="1" applyBorder="1" applyAlignment="1" applyProtection="1">
      <alignment horizontal="center" vertical="center" wrapText="1"/>
      <protection/>
    </xf>
    <xf numFmtId="0" fontId="1" fillId="0" borderId="14" xfId="60" applyFont="1" applyFill="1" applyBorder="1" applyAlignment="1" applyProtection="1">
      <alignment horizontal="center"/>
      <protection/>
    </xf>
    <xf numFmtId="9" fontId="1" fillId="0" borderId="14" xfId="65" applyFont="1" applyFill="1" applyBorder="1" applyAlignment="1" applyProtection="1">
      <alignment horizontal="center"/>
      <protection/>
    </xf>
    <xf numFmtId="179" fontId="1" fillId="0" borderId="13" xfId="69" applyFont="1" applyFill="1" applyBorder="1" applyAlignment="1" applyProtection="1">
      <alignment vertical="center"/>
      <protection/>
    </xf>
    <xf numFmtId="179" fontId="15" fillId="0" borderId="14" xfId="69" applyFont="1" applyFill="1" applyBorder="1" applyAlignment="1" applyProtection="1">
      <alignment vertical="center"/>
      <protection/>
    </xf>
    <xf numFmtId="0" fontId="1" fillId="0" borderId="14" xfId="60" applyFont="1" applyFill="1" applyBorder="1" applyAlignment="1" applyProtection="1">
      <alignment horizontal="left" wrapText="1"/>
      <protection/>
    </xf>
    <xf numFmtId="179" fontId="1" fillId="0" borderId="14" xfId="69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 applyProtection="1" quotePrefix="1">
      <alignment horizontal="center" vertical="top" wrapText="1"/>
      <protection/>
    </xf>
    <xf numFmtId="179" fontId="1" fillId="0" borderId="10" xfId="42" applyFont="1" applyFill="1" applyBorder="1" applyAlignment="1">
      <alignment vertical="top" wrapText="1"/>
    </xf>
    <xf numFmtId="179" fontId="1" fillId="0" borderId="11" xfId="42" applyFont="1" applyFill="1" applyBorder="1" applyAlignment="1" applyProtection="1">
      <alignment vertical="top" wrapText="1"/>
      <protection/>
    </xf>
    <xf numFmtId="179" fontId="1" fillId="0" borderId="13" xfId="42" applyFont="1" applyFill="1" applyBorder="1" applyAlignment="1" applyProtection="1">
      <alignment vertical="top" wrapText="1"/>
      <protection/>
    </xf>
    <xf numFmtId="196" fontId="1" fillId="0" borderId="10" xfId="0" applyNumberFormat="1" applyFont="1" applyFill="1" applyBorder="1" applyAlignment="1" applyProtection="1">
      <alignment horizontal="center" vertical="center" wrapText="1"/>
      <protection/>
    </xf>
    <xf numFmtId="179" fontId="15" fillId="0" borderId="11" xfId="42" applyFont="1" applyFill="1" applyBorder="1" applyAlignment="1" applyProtection="1">
      <alignment vertical="top" wrapText="1"/>
      <protection/>
    </xf>
    <xf numFmtId="0" fontId="5" fillId="0" borderId="14" xfId="0" applyFont="1" applyFill="1" applyBorder="1" applyAlignment="1" applyProtection="1">
      <alignment horizontal="center" vertical="top" wrapText="1"/>
      <protection/>
    </xf>
    <xf numFmtId="0" fontId="5" fillId="0" borderId="11" xfId="0" applyFont="1" applyFill="1" applyBorder="1" applyAlignment="1" applyProtection="1">
      <alignment vertical="top" wrapText="1"/>
      <protection/>
    </xf>
    <xf numFmtId="0" fontId="5" fillId="0" borderId="10" xfId="0" applyFont="1" applyFill="1" applyBorder="1" applyAlignment="1" applyProtection="1">
      <alignment vertical="top" wrapText="1"/>
      <protection/>
    </xf>
    <xf numFmtId="0" fontId="5" fillId="0" borderId="13" xfId="0" applyFont="1" applyFill="1" applyBorder="1" applyAlignment="1" applyProtection="1">
      <alignment vertical="top" wrapText="1"/>
      <protection/>
    </xf>
    <xf numFmtId="0" fontId="1" fillId="0" borderId="11" xfId="0" applyFont="1" applyFill="1" applyBorder="1" applyAlignment="1">
      <alignment horizontal="center" vertical="center"/>
    </xf>
    <xf numFmtId="179" fontId="1" fillId="0" borderId="11" xfId="42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9" fontId="1" fillId="0" borderId="13" xfId="42" applyFont="1" applyFill="1" applyBorder="1" applyAlignment="1">
      <alignment vertical="top" wrapText="1"/>
    </xf>
    <xf numFmtId="0" fontId="1" fillId="0" borderId="13" xfId="60" applyFont="1" applyFill="1" applyBorder="1" applyAlignment="1" applyProtection="1">
      <alignment horizontal="left" vertical="top" wrapText="1"/>
      <protection/>
    </xf>
    <xf numFmtId="0" fontId="4" fillId="0" borderId="13" xfId="0" applyFont="1" applyFill="1" applyBorder="1" applyAlignment="1">
      <alignment horizontal="center" vertical="top" wrapText="1"/>
    </xf>
    <xf numFmtId="0" fontId="1" fillId="0" borderId="13" xfId="0" applyNumberFormat="1" applyFont="1" applyFill="1" applyBorder="1" applyAlignment="1">
      <alignment horizontal="center" vertical="top" wrapText="1"/>
    </xf>
    <xf numFmtId="179" fontId="15" fillId="0" borderId="11" xfId="42" applyFont="1" applyFill="1" applyBorder="1" applyAlignment="1" applyProtection="1">
      <alignment vertical="center" wrapText="1"/>
      <protection/>
    </xf>
    <xf numFmtId="0" fontId="5" fillId="0" borderId="11" xfId="60" applyFont="1" applyFill="1" applyBorder="1" applyAlignment="1" applyProtection="1">
      <alignment vertical="top" wrapText="1"/>
      <protection/>
    </xf>
    <xf numFmtId="179" fontId="15" fillId="0" borderId="10" xfId="42" applyFont="1" applyFill="1" applyBorder="1" applyAlignment="1" applyProtection="1">
      <alignment vertical="center" wrapText="1"/>
      <protection/>
    </xf>
    <xf numFmtId="0" fontId="4" fillId="0" borderId="10" xfId="60" applyFont="1" applyFill="1" applyBorder="1" applyAlignment="1" applyProtection="1">
      <alignment horizontal="center" vertical="top" wrapText="1"/>
      <protection/>
    </xf>
    <xf numFmtId="0" fontId="4" fillId="0" borderId="13" xfId="60" applyFont="1" applyFill="1" applyBorder="1" applyAlignment="1" applyProtection="1">
      <alignment horizontal="center" vertical="top" wrapText="1"/>
      <protection/>
    </xf>
    <xf numFmtId="0" fontId="4" fillId="0" borderId="13" xfId="0" applyFont="1" applyFill="1" applyBorder="1" applyAlignment="1" applyProtection="1">
      <alignment horizontal="center" vertical="top" wrapText="1"/>
      <protection/>
    </xf>
    <xf numFmtId="0" fontId="15" fillId="0" borderId="10" xfId="0" applyFont="1" applyFill="1" applyBorder="1" applyAlignment="1" quotePrefix="1">
      <alignment horizontal="center" vertical="top" wrapText="1"/>
    </xf>
    <xf numFmtId="49" fontId="1" fillId="0" borderId="11" xfId="0" applyNumberFormat="1" applyFont="1" applyFill="1" applyBorder="1" applyAlignment="1" quotePrefix="1">
      <alignment horizontal="center" vertical="top" wrapText="1"/>
    </xf>
    <xf numFmtId="0" fontId="2" fillId="0" borderId="14" xfId="6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>
      <alignment horizontal="left" vertical="top" wrapText="1"/>
    </xf>
    <xf numFmtId="2" fontId="27" fillId="0" borderId="10" xfId="0" applyNumberFormat="1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 vertical="top" wrapText="1"/>
    </xf>
    <xf numFmtId="2" fontId="27" fillId="0" borderId="13" xfId="0" applyNumberFormat="1" applyFont="1" applyFill="1" applyBorder="1" applyAlignment="1">
      <alignment horizontal="center" vertical="top" wrapText="1"/>
    </xf>
    <xf numFmtId="0" fontId="27" fillId="0" borderId="11" xfId="0" applyFont="1" applyFill="1" applyBorder="1" applyAlignment="1">
      <alignment horizontal="left" vertical="top" wrapText="1"/>
    </xf>
    <xf numFmtId="0" fontId="27" fillId="0" borderId="11" xfId="0" applyFont="1" applyFill="1" applyBorder="1" applyAlignment="1">
      <alignment horizontal="center" vertical="top" wrapText="1"/>
    </xf>
    <xf numFmtId="2" fontId="27" fillId="0" borderId="11" xfId="0" applyNumberFormat="1" applyFont="1" applyFill="1" applyBorder="1" applyAlignment="1">
      <alignment horizontal="center" vertical="top" wrapText="1"/>
    </xf>
    <xf numFmtId="0" fontId="27" fillId="0" borderId="11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4" fillId="0" borderId="0" xfId="60" applyFont="1" applyFill="1" applyProtection="1">
      <alignment/>
      <protection/>
    </xf>
    <xf numFmtId="0" fontId="15" fillId="0" borderId="13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2" fontId="16" fillId="0" borderId="14" xfId="0" applyNumberFormat="1" applyFont="1" applyFill="1" applyBorder="1" applyAlignment="1">
      <alignment horizontal="center" vertical="center" wrapText="1"/>
    </xf>
    <xf numFmtId="0" fontId="1" fillId="0" borderId="14" xfId="60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quotePrefix="1">
      <alignment horizontal="center" vertical="top" wrapText="1"/>
    </xf>
    <xf numFmtId="49" fontId="5" fillId="0" borderId="14" xfId="0" applyNumberFormat="1" applyFont="1" applyFill="1" applyBorder="1" applyAlignment="1">
      <alignment horizontal="center" vertical="top" wrapText="1"/>
    </xf>
    <xf numFmtId="1" fontId="5" fillId="0" borderId="14" xfId="0" applyNumberFormat="1" applyFont="1" applyFill="1" applyBorder="1" applyAlignment="1" quotePrefix="1">
      <alignment horizontal="center" vertical="top" wrapText="1"/>
    </xf>
    <xf numFmtId="0" fontId="15" fillId="0" borderId="14" xfId="0" applyFont="1" applyFill="1" applyBorder="1" applyAlignment="1">
      <alignment vertical="top" wrapText="1"/>
    </xf>
    <xf numFmtId="0" fontId="20" fillId="0" borderId="14" xfId="0" applyFont="1" applyFill="1" applyBorder="1" applyAlignment="1">
      <alignment/>
    </xf>
    <xf numFmtId="0" fontId="18" fillId="0" borderId="14" xfId="0" applyFont="1" applyFill="1" applyBorder="1" applyAlignment="1">
      <alignment horizontal="center" vertical="top" wrapText="1"/>
    </xf>
    <xf numFmtId="2" fontId="5" fillId="0" borderId="14" xfId="0" applyNumberFormat="1" applyFont="1" applyFill="1" applyBorder="1" applyAlignment="1" quotePrefix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right" vertical="top"/>
    </xf>
    <xf numFmtId="0" fontId="4" fillId="0" borderId="14" xfId="0" applyFont="1" applyFill="1" applyBorder="1" applyAlignment="1">
      <alignment vertical="top"/>
    </xf>
    <xf numFmtId="0" fontId="4" fillId="0" borderId="14" xfId="0" applyFont="1" applyFill="1" applyBorder="1" applyAlignment="1">
      <alignment horizontal="center" vertical="top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top" wrapText="1"/>
    </xf>
    <xf numFmtId="196" fontId="1" fillId="0" borderId="14" xfId="0" applyNumberFormat="1" applyFont="1" applyFill="1" applyBorder="1" applyAlignment="1">
      <alignment horizontal="center" vertical="center" wrapText="1"/>
    </xf>
    <xf numFmtId="2" fontId="1" fillId="0" borderId="14" xfId="60" applyNumberFormat="1" applyFont="1" applyFill="1" applyBorder="1" applyAlignment="1" applyProtection="1">
      <alignment horizontal="center" vertical="center" wrapText="1"/>
      <protection/>
    </xf>
    <xf numFmtId="0" fontId="1" fillId="0" borderId="11" xfId="60" applyFont="1" applyFill="1" applyBorder="1" applyAlignment="1" applyProtection="1" quotePrefix="1">
      <alignment vertical="top" wrapText="1"/>
      <protection/>
    </xf>
    <xf numFmtId="0" fontId="1" fillId="0" borderId="10" xfId="60" applyFont="1" applyFill="1" applyBorder="1" applyAlignment="1" applyProtection="1" quotePrefix="1">
      <alignment vertical="top" wrapText="1"/>
      <protection/>
    </xf>
    <xf numFmtId="0" fontId="1" fillId="0" borderId="13" xfId="60" applyFont="1" applyFill="1" applyBorder="1" applyAlignment="1" applyProtection="1" quotePrefix="1">
      <alignment vertical="top" wrapText="1"/>
      <protection/>
    </xf>
    <xf numFmtId="2" fontId="15" fillId="0" borderId="10" xfId="0" applyNumberFormat="1" applyFont="1" applyFill="1" applyBorder="1" applyAlignment="1">
      <alignment horizontal="center" vertical="top" wrapText="1"/>
    </xf>
    <xf numFmtId="0" fontId="4" fillId="0" borderId="10" xfId="60" applyFont="1" applyFill="1" applyBorder="1" applyAlignment="1" applyProtection="1">
      <alignment horizontal="center" vertical="center" wrapText="1"/>
      <protection/>
    </xf>
    <xf numFmtId="0" fontId="5" fillId="0" borderId="10" xfId="60" applyFont="1" applyFill="1" applyBorder="1" applyAlignment="1" applyProtection="1" quotePrefix="1">
      <alignment vertical="center" wrapText="1"/>
      <protection/>
    </xf>
    <xf numFmtId="0" fontId="1" fillId="0" borderId="10" xfId="60" applyFont="1" applyFill="1" applyBorder="1" applyAlignment="1" applyProtection="1">
      <alignment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1" fillId="0" borderId="14" xfId="0" applyFont="1" applyFill="1" applyBorder="1" applyAlignment="1">
      <alignment horizontal="right" vertical="top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49" fontId="1" fillId="0" borderId="14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2" fontId="1" fillId="0" borderId="10" xfId="42" applyNumberFormat="1" applyFont="1" applyFill="1" applyBorder="1" applyAlignment="1" applyProtection="1">
      <alignment horizontal="center" vertical="center" wrapText="1"/>
      <protection locked="0"/>
    </xf>
    <xf numFmtId="2" fontId="1" fillId="0" borderId="0" xfId="42" applyNumberFormat="1" applyFont="1" applyFill="1" applyBorder="1" applyAlignment="1">
      <alignment horizontal="center" vertical="center" wrapText="1"/>
    </xf>
    <xf numFmtId="2" fontId="1" fillId="0" borderId="13" xfId="42" applyNumberFormat="1" applyFont="1" applyFill="1" applyBorder="1" applyAlignment="1" applyProtection="1">
      <alignment horizontal="center" vertical="center" wrapText="1"/>
      <protection locked="0"/>
    </xf>
    <xf numFmtId="2" fontId="1" fillId="0" borderId="16" xfId="42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 applyProtection="1">
      <alignment horizontal="center" vertical="center" wrapText="1"/>
      <protection/>
    </xf>
    <xf numFmtId="201" fontId="1" fillId="0" borderId="10" xfId="42" applyNumberFormat="1" applyFont="1" applyFill="1" applyBorder="1" applyAlignment="1" applyProtection="1">
      <alignment vertical="center" wrapText="1"/>
      <protection/>
    </xf>
    <xf numFmtId="171" fontId="1" fillId="0" borderId="0" xfId="42" applyNumberFormat="1" applyFont="1" applyFill="1" applyAlignment="1" applyProtection="1">
      <alignment horizontal="right" vertical="center"/>
      <protection/>
    </xf>
    <xf numFmtId="0" fontId="5" fillId="0" borderId="11" xfId="60" applyFont="1" applyFill="1" applyBorder="1" applyAlignment="1" applyProtection="1" quotePrefix="1">
      <alignment horizontal="center" vertical="center" wrapText="1"/>
      <protection/>
    </xf>
    <xf numFmtId="2" fontId="15" fillId="0" borderId="11" xfId="0" applyNumberFormat="1" applyFont="1" applyFill="1" applyBorder="1" applyAlignment="1">
      <alignment horizontal="center" vertical="top" wrapText="1"/>
    </xf>
    <xf numFmtId="196" fontId="15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0" fontId="1" fillId="0" borderId="0" xfId="58" applyFont="1" applyFill="1" applyAlignment="1" applyProtection="1">
      <alignment horizontal="center"/>
      <protection/>
    </xf>
    <xf numFmtId="0" fontId="1" fillId="0" borderId="0" xfId="61" applyFont="1" applyFill="1" applyAlignment="1" applyProtection="1">
      <alignment horizontal="left"/>
      <protection/>
    </xf>
    <xf numFmtId="0" fontId="1" fillId="0" borderId="0" xfId="58" applyFont="1" applyFill="1" applyBorder="1" applyAlignment="1" applyProtection="1">
      <alignment horizontal="center"/>
      <protection/>
    </xf>
    <xf numFmtId="49" fontId="1" fillId="0" borderId="14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 wrapText="1"/>
    </xf>
    <xf numFmtId="0" fontId="0" fillId="0" borderId="0" xfId="0" applyFont="1" applyFill="1" applyAlignment="1">
      <alignment vertical="center"/>
    </xf>
    <xf numFmtId="0" fontId="14" fillId="0" borderId="14" xfId="0" applyFont="1" applyFill="1" applyBorder="1" applyAlignment="1" quotePrefix="1">
      <alignment horizontal="center" vertical="top" wrapText="1"/>
    </xf>
    <xf numFmtId="0" fontId="5" fillId="0" borderId="14" xfId="0" applyFont="1" applyFill="1" applyBorder="1" applyAlignment="1" quotePrefix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5" fillId="0" borderId="21" xfId="0" applyFont="1" applyFill="1" applyBorder="1" applyAlignment="1" quotePrefix="1">
      <alignment horizontal="center" vertical="top" wrapText="1"/>
    </xf>
    <xf numFmtId="0" fontId="5" fillId="0" borderId="0" xfId="0" applyFont="1" applyFill="1" applyAlignment="1" applyProtection="1">
      <alignment/>
      <protection/>
    </xf>
    <xf numFmtId="0" fontId="5" fillId="0" borderId="0" xfId="60" applyFont="1" applyFill="1" applyProtection="1">
      <alignment/>
      <protection/>
    </xf>
    <xf numFmtId="0" fontId="2" fillId="0" borderId="14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0" xfId="0" applyFont="1" applyFill="1" applyAlignment="1" applyProtection="1">
      <alignment/>
      <protection/>
    </xf>
    <xf numFmtId="16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/>
    </xf>
    <xf numFmtId="0" fontId="12" fillId="0" borderId="14" xfId="0" applyFont="1" applyFill="1" applyBorder="1" applyAlignment="1" quotePrefix="1">
      <alignment horizontal="center" vertical="top" wrapText="1"/>
    </xf>
    <xf numFmtId="0" fontId="1" fillId="0" borderId="11" xfId="0" applyFont="1" applyFill="1" applyBorder="1" applyAlignment="1" quotePrefix="1">
      <alignment horizontal="center" vertical="top" wrapText="1"/>
    </xf>
    <xf numFmtId="0" fontId="14" fillId="0" borderId="10" xfId="0" applyFont="1" applyFill="1" applyBorder="1" applyAlignment="1" quotePrefix="1">
      <alignment horizontal="center" vertical="top" wrapText="1"/>
    </xf>
    <xf numFmtId="0" fontId="28" fillId="0" borderId="10" xfId="0" applyFont="1" applyFill="1" applyBorder="1" applyAlignment="1" quotePrefix="1">
      <alignment horizontal="center" vertical="top" wrapText="1"/>
    </xf>
    <xf numFmtId="0" fontId="27" fillId="0" borderId="10" xfId="0" applyFont="1" applyFill="1" applyBorder="1" applyAlignment="1">
      <alignment vertical="top" wrapText="1"/>
    </xf>
    <xf numFmtId="0" fontId="14" fillId="0" borderId="13" xfId="0" applyFont="1" applyFill="1" applyBorder="1" applyAlignment="1" quotePrefix="1">
      <alignment horizontal="center" vertical="top" wrapText="1"/>
    </xf>
    <xf numFmtId="0" fontId="28" fillId="0" borderId="11" xfId="0" applyFont="1" applyFill="1" applyBorder="1" applyAlignment="1" quotePrefix="1">
      <alignment horizontal="center" vertical="top" wrapText="1"/>
    </xf>
    <xf numFmtId="0" fontId="29" fillId="0" borderId="10" xfId="0" applyFont="1" applyFill="1" applyBorder="1" applyAlignment="1" quotePrefix="1">
      <alignment horizontal="center" vertical="top" wrapText="1"/>
    </xf>
    <xf numFmtId="0" fontId="27" fillId="0" borderId="13" xfId="0" applyFont="1" applyFill="1" applyBorder="1" applyAlignment="1">
      <alignment horizontal="center" vertical="top" wrapText="1"/>
    </xf>
    <xf numFmtId="0" fontId="28" fillId="0" borderId="13" xfId="0" applyFont="1" applyFill="1" applyBorder="1" applyAlignment="1" quotePrefix="1">
      <alignment horizontal="center" vertical="top" wrapText="1"/>
    </xf>
    <xf numFmtId="0" fontId="27" fillId="0" borderId="13" xfId="0" applyFont="1" applyFill="1" applyBorder="1" applyAlignment="1">
      <alignment vertical="top" wrapText="1"/>
    </xf>
    <xf numFmtId="196" fontId="1" fillId="0" borderId="10" xfId="0" applyNumberFormat="1" applyFont="1" applyFill="1" applyBorder="1" applyAlignment="1">
      <alignment horizontal="center" vertical="center" wrapText="1"/>
    </xf>
    <xf numFmtId="205" fontId="1" fillId="0" borderId="10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19" fillId="0" borderId="14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vertical="top" wrapText="1"/>
    </xf>
    <xf numFmtId="0" fontId="6" fillId="0" borderId="14" xfId="0" applyFont="1" applyFill="1" applyBorder="1" applyAlignment="1" quotePrefix="1">
      <alignment horizontal="center" vertical="top" wrapText="1"/>
    </xf>
    <xf numFmtId="0" fontId="6" fillId="0" borderId="14" xfId="0" applyNumberFormat="1" applyFont="1" applyFill="1" applyBorder="1" applyAlignment="1" quotePrefix="1">
      <alignment horizontal="center" vertical="top" wrapText="1"/>
    </xf>
    <xf numFmtId="49" fontId="6" fillId="0" borderId="14" xfId="0" applyNumberFormat="1" applyFont="1" applyFill="1" applyBorder="1" applyAlignment="1" quotePrefix="1">
      <alignment horizontal="center" vertical="top" wrapText="1"/>
    </xf>
    <xf numFmtId="1" fontId="6" fillId="0" borderId="14" xfId="0" applyNumberFormat="1" applyFont="1" applyFill="1" applyBorder="1" applyAlignment="1" quotePrefix="1">
      <alignment horizontal="center" vertical="top" wrapText="1"/>
    </xf>
    <xf numFmtId="0" fontId="1" fillId="0" borderId="0" xfId="60" applyFont="1" applyFill="1" applyProtection="1">
      <alignment/>
      <protection/>
    </xf>
    <xf numFmtId="16" fontId="15" fillId="0" borderId="10" xfId="0" applyNumberFormat="1" applyFont="1" applyFill="1" applyBorder="1" applyAlignment="1" quotePrefix="1">
      <alignment horizontal="center" vertical="top" wrapText="1"/>
    </xf>
    <xf numFmtId="0" fontId="1" fillId="0" borderId="0" xfId="59" applyFont="1" applyFill="1" applyProtection="1">
      <alignment/>
      <protection/>
    </xf>
    <xf numFmtId="4" fontId="15" fillId="0" borderId="0" xfId="42" applyNumberFormat="1" applyFont="1" applyFill="1" applyBorder="1" applyAlignment="1">
      <alignment horizontal="center" vertical="center" wrapText="1"/>
    </xf>
    <xf numFmtId="179" fontId="0" fillId="0" borderId="0" xfId="42" applyFont="1" applyFill="1" applyAlignment="1">
      <alignment horizontal="center"/>
    </xf>
    <xf numFmtId="179" fontId="6" fillId="0" borderId="14" xfId="42" applyFont="1" applyFill="1" applyBorder="1" applyAlignment="1" quotePrefix="1">
      <alignment horizontal="center" vertical="center" wrapText="1"/>
    </xf>
    <xf numFmtId="179" fontId="6" fillId="0" borderId="14" xfId="42" applyFont="1" applyFill="1" applyBorder="1" applyAlignment="1" quotePrefix="1">
      <alignment horizontal="center" vertical="top" wrapText="1"/>
    </xf>
    <xf numFmtId="49" fontId="6" fillId="0" borderId="14" xfId="42" applyNumberFormat="1" applyFont="1" applyFill="1" applyBorder="1" applyAlignment="1" quotePrefix="1">
      <alignment horizontal="center" vertical="top" wrapText="1"/>
    </xf>
    <xf numFmtId="14" fontId="1" fillId="0" borderId="11" xfId="0" applyNumberFormat="1" applyFont="1" applyFill="1" applyBorder="1" applyAlignment="1" quotePrefix="1">
      <alignment horizontal="center" vertical="top" wrapText="1"/>
    </xf>
    <xf numFmtId="0" fontId="21" fillId="0" borderId="13" xfId="0" applyFont="1" applyFill="1" applyBorder="1" applyAlignment="1" quotePrefix="1">
      <alignment horizontal="center" vertical="top" wrapText="1"/>
    </xf>
    <xf numFmtId="179" fontId="15" fillId="0" borderId="10" xfId="42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1" fillId="0" borderId="11" xfId="0" applyFont="1" applyFill="1" applyBorder="1" applyAlignment="1" applyProtection="1">
      <alignment horizontal="center" wrapText="1"/>
      <protection/>
    </xf>
    <xf numFmtId="0" fontId="25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5" fillId="0" borderId="11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 quotePrefix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 quotePrefix="1">
      <alignment horizontal="center" vertical="top" wrapText="1"/>
    </xf>
    <xf numFmtId="0" fontId="5" fillId="0" borderId="11" xfId="0" applyNumberFormat="1" applyFont="1" applyFill="1" applyBorder="1" applyAlignment="1" quotePrefix="1">
      <alignment horizontal="center" vertical="top" wrapText="1"/>
    </xf>
    <xf numFmtId="49" fontId="5" fillId="0" borderId="20" xfId="0" applyNumberFormat="1" applyFont="1" applyFill="1" applyBorder="1" applyAlignment="1">
      <alignment horizontal="center" vertical="top" wrapText="1"/>
    </xf>
    <xf numFmtId="1" fontId="5" fillId="0" borderId="11" xfId="0" applyNumberFormat="1" applyFont="1" applyFill="1" applyBorder="1" applyAlignment="1" quotePrefix="1">
      <alignment horizontal="center" vertical="top" wrapText="1"/>
    </xf>
    <xf numFmtId="0" fontId="1" fillId="0" borderId="0" xfId="0" applyFont="1" applyFill="1" applyAlignment="1" applyProtection="1">
      <alignment/>
      <protection/>
    </xf>
    <xf numFmtId="2" fontId="1" fillId="0" borderId="10" xfId="0" applyNumberFormat="1" applyFont="1" applyFill="1" applyBorder="1" applyAlignment="1" applyProtection="1">
      <alignment horizontal="center" vertical="center" wrapText="1"/>
      <protection/>
    </xf>
    <xf numFmtId="2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top" wrapText="1"/>
    </xf>
    <xf numFmtId="0" fontId="15" fillId="0" borderId="0" xfId="58" applyFont="1" applyFill="1" applyBorder="1" applyAlignment="1" applyProtection="1">
      <alignment horizontal="center"/>
      <protection/>
    </xf>
    <xf numFmtId="0" fontId="1" fillId="0" borderId="0" xfId="0" applyFont="1" applyFill="1" applyAlignment="1">
      <alignment horizontal="center" vertical="top" wrapText="1"/>
    </xf>
    <xf numFmtId="2" fontId="1" fillId="0" borderId="14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9" fontId="1" fillId="0" borderId="14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179" fontId="0" fillId="0" borderId="0" xfId="42" applyFont="1" applyFill="1" applyAlignment="1">
      <alignment/>
    </xf>
    <xf numFmtId="2" fontId="15" fillId="0" borderId="11" xfId="54" applyNumberFormat="1" applyFont="1" applyFill="1" applyBorder="1" applyAlignment="1" applyProtection="1">
      <alignment horizontal="center" vertical="center" wrapText="1"/>
      <protection/>
    </xf>
    <xf numFmtId="2" fontId="15" fillId="0" borderId="10" xfId="54" applyNumberFormat="1" applyFont="1" applyFill="1" applyBorder="1" applyAlignment="1" applyProtection="1">
      <alignment horizontal="center" vertical="center" wrapText="1"/>
      <protection/>
    </xf>
    <xf numFmtId="2" fontId="15" fillId="0" borderId="14" xfId="54" applyNumberFormat="1" applyFont="1" applyFill="1" applyBorder="1" applyAlignment="1" applyProtection="1">
      <alignment horizontal="center" vertical="center" wrapText="1"/>
      <protection/>
    </xf>
    <xf numFmtId="0" fontId="22" fillId="0" borderId="11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Continuous" vertical="top" wrapText="1"/>
    </xf>
    <xf numFmtId="0" fontId="22" fillId="0" borderId="10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 quotePrefix="1">
      <alignment horizontal="center" vertical="top" wrapText="1"/>
    </xf>
    <xf numFmtId="0" fontId="5" fillId="0" borderId="14" xfId="0" applyNumberFormat="1" applyFont="1" applyFill="1" applyBorder="1" applyAlignment="1" quotePrefix="1">
      <alignment horizontal="center" vertical="top" wrapText="1"/>
    </xf>
    <xf numFmtId="49" fontId="5" fillId="0" borderId="14" xfId="0" applyNumberFormat="1" applyFont="1" applyFill="1" applyBorder="1" applyAlignment="1">
      <alignment horizontal="center" vertical="top" wrapText="1"/>
    </xf>
    <xf numFmtId="1" fontId="5" fillId="0" borderId="14" xfId="0" applyNumberFormat="1" applyFont="1" applyFill="1" applyBorder="1" applyAlignment="1" quotePrefix="1">
      <alignment horizontal="center" vertical="top" wrapText="1"/>
    </xf>
    <xf numFmtId="204" fontId="1" fillId="0" borderId="10" xfId="0" applyNumberFormat="1" applyFont="1" applyFill="1" applyBorder="1" applyAlignment="1">
      <alignment horizontal="center" vertical="center" wrapText="1"/>
    </xf>
    <xf numFmtId="2" fontId="0" fillId="0" borderId="14" xfId="42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 quotePrefix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 quotePrefix="1">
      <alignment horizontal="center" vertical="center" wrapText="1"/>
    </xf>
    <xf numFmtId="0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vertical="center" wrapText="1"/>
    </xf>
    <xf numFmtId="14" fontId="1" fillId="0" borderId="0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 wrapText="1"/>
    </xf>
    <xf numFmtId="0" fontId="5" fillId="0" borderId="0" xfId="0" applyFont="1" applyFill="1" applyBorder="1" applyAlignment="1" quotePrefix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right" vertical="center"/>
    </xf>
    <xf numFmtId="0" fontId="1" fillId="0" borderId="14" xfId="0" applyNumberFormat="1" applyFont="1" applyFill="1" applyBorder="1" applyAlignment="1" quotePrefix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left" vertical="center" wrapText="1"/>
    </xf>
    <xf numFmtId="2" fontId="1" fillId="0" borderId="0" xfId="0" applyNumberFormat="1" applyFont="1" applyFill="1" applyAlignment="1">
      <alignment/>
    </xf>
    <xf numFmtId="0" fontId="15" fillId="0" borderId="14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0" fontId="7" fillId="0" borderId="0" xfId="0" applyNumberFormat="1" applyFont="1" applyFill="1" applyBorder="1" applyAlignment="1">
      <alignment horizontal="left" vertical="top" wrapText="1"/>
    </xf>
    <xf numFmtId="2" fontId="6" fillId="0" borderId="0" xfId="0" applyNumberFormat="1" applyFont="1" applyFill="1" applyBorder="1" applyAlignment="1">
      <alignment horizontal="center" vertical="top" wrapText="1"/>
    </xf>
    <xf numFmtId="196" fontId="6" fillId="0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 quotePrefix="1">
      <alignment horizontal="center" vertical="center" wrapText="1"/>
    </xf>
    <xf numFmtId="0" fontId="5" fillId="0" borderId="14" xfId="0" applyFont="1" applyFill="1" applyBorder="1" applyAlignment="1" quotePrefix="1">
      <alignment horizont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left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wrapText="1"/>
    </xf>
    <xf numFmtId="226" fontId="15" fillId="0" borderId="14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right" vertical="center" wrapText="1"/>
    </xf>
    <xf numFmtId="4" fontId="15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1" fillId="32" borderId="11" xfId="0" applyFont="1" applyFill="1" applyBorder="1" applyAlignment="1" applyProtection="1">
      <alignment horizontal="left" vertical="top" wrapText="1"/>
      <protection/>
    </xf>
    <xf numFmtId="2" fontId="15" fillId="0" borderId="11" xfId="42" applyNumberFormat="1" applyFont="1" applyFill="1" applyBorder="1" applyAlignment="1" applyProtection="1">
      <alignment horizontal="center" vertical="top" wrapText="1"/>
      <protection/>
    </xf>
    <xf numFmtId="2" fontId="15" fillId="0" borderId="10" xfId="42" applyNumberFormat="1" applyFont="1" applyFill="1" applyBorder="1" applyAlignment="1">
      <alignment horizontal="center" vertical="top" wrapText="1"/>
    </xf>
    <xf numFmtId="2" fontId="15" fillId="0" borderId="11" xfId="42" applyNumberFormat="1" applyFont="1" applyFill="1" applyBorder="1" applyAlignment="1">
      <alignment horizontal="center" vertical="top" wrapText="1"/>
    </xf>
    <xf numFmtId="2" fontId="1" fillId="0" borderId="10" xfId="69" applyNumberFormat="1" applyFont="1" applyFill="1" applyBorder="1" applyAlignment="1" applyProtection="1">
      <alignment horizontal="center" vertical="top" wrapText="1"/>
      <protection/>
    </xf>
    <xf numFmtId="2" fontId="15" fillId="0" borderId="14" xfId="0" applyNumberFormat="1" applyFont="1" applyFill="1" applyBorder="1" applyAlignment="1">
      <alignment horizontal="center" vertical="top" wrapText="1"/>
    </xf>
    <xf numFmtId="2" fontId="15" fillId="32" borderId="14" xfId="0" applyNumberFormat="1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vertical="top" wrapText="1"/>
    </xf>
    <xf numFmtId="2" fontId="1" fillId="0" borderId="10" xfId="42" applyNumberFormat="1" applyFont="1" applyFill="1" applyBorder="1" applyAlignment="1" applyProtection="1">
      <alignment horizontal="center" vertical="top" wrapText="1"/>
      <protection/>
    </xf>
    <xf numFmtId="2" fontId="15" fillId="0" borderId="11" xfId="54" applyNumberFormat="1" applyFont="1" applyFill="1" applyBorder="1" applyAlignment="1" applyProtection="1">
      <alignment horizontal="center" vertical="top" wrapText="1"/>
      <protection/>
    </xf>
    <xf numFmtId="2" fontId="15" fillId="0" borderId="14" xfId="54" applyNumberFormat="1" applyFont="1" applyFill="1" applyBorder="1" applyAlignment="1" applyProtection="1">
      <alignment horizontal="center" vertical="top" wrapText="1"/>
      <protection/>
    </xf>
    <xf numFmtId="4" fontId="1" fillId="0" borderId="14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 quotePrefix="1">
      <alignment horizontal="center" vertical="center" wrapText="1"/>
    </xf>
    <xf numFmtId="0" fontId="11" fillId="0" borderId="14" xfId="0" applyFont="1" applyFill="1" applyBorder="1" applyAlignment="1">
      <alignment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wrapText="1"/>
    </xf>
    <xf numFmtId="0" fontId="13" fillId="0" borderId="14" xfId="0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/>
    </xf>
    <xf numFmtId="0" fontId="7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5" fillId="0" borderId="20" xfId="0" applyFont="1" applyFill="1" applyBorder="1" applyAlignment="1" applyProtection="1" quotePrefix="1">
      <alignment horizontal="center" vertical="top" wrapText="1"/>
      <protection/>
    </xf>
    <xf numFmtId="0" fontId="5" fillId="0" borderId="10" xfId="0" applyFont="1" applyFill="1" applyBorder="1" applyAlignment="1" applyProtection="1" quotePrefix="1">
      <alignment horizontal="center" vertical="top" wrapText="1"/>
      <protection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 quotePrefix="1">
      <alignment horizontal="center" vertical="top" wrapText="1"/>
      <protection/>
    </xf>
    <xf numFmtId="0" fontId="5" fillId="0" borderId="13" xfId="0" applyFont="1" applyFill="1" applyBorder="1" applyAlignment="1" applyProtection="1" quotePrefix="1">
      <alignment horizontal="center" vertical="top" wrapText="1"/>
      <protection/>
    </xf>
    <xf numFmtId="0" fontId="5" fillId="0" borderId="20" xfId="60" applyFont="1" applyFill="1" applyBorder="1" applyAlignment="1" applyProtection="1" quotePrefix="1">
      <alignment horizontal="center" vertical="top" wrapText="1"/>
      <protection/>
    </xf>
    <xf numFmtId="0" fontId="5" fillId="0" borderId="10" xfId="60" applyFont="1" applyFill="1" applyBorder="1" applyAlignment="1" applyProtection="1" quotePrefix="1">
      <alignment horizontal="center" vertical="top" wrapText="1"/>
      <protection/>
    </xf>
    <xf numFmtId="0" fontId="5" fillId="0" borderId="13" xfId="60" applyFont="1" applyFill="1" applyBorder="1" applyAlignment="1" applyProtection="1" quotePrefix="1">
      <alignment horizontal="center" vertical="top" wrapText="1"/>
      <protection/>
    </xf>
    <xf numFmtId="4" fontId="1" fillId="0" borderId="0" xfId="42" applyNumberFormat="1" applyFont="1" applyFill="1" applyAlignment="1" applyProtection="1">
      <alignment horizontal="right" vertical="center"/>
      <protection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top" wrapText="1"/>
    </xf>
    <xf numFmtId="4" fontId="0" fillId="0" borderId="0" xfId="0" applyNumberFormat="1" applyFont="1" applyFill="1" applyAlignment="1">
      <alignment horizontal="right" vertical="center"/>
    </xf>
    <xf numFmtId="0" fontId="1" fillId="0" borderId="0" xfId="61" applyFont="1" applyFill="1" applyAlignment="1" applyProtection="1">
      <alignment horizontal="left"/>
      <protection/>
    </xf>
    <xf numFmtId="0" fontId="0" fillId="0" borderId="0" xfId="0" applyFont="1" applyFill="1" applyAlignment="1">
      <alignment/>
    </xf>
    <xf numFmtId="171" fontId="1" fillId="0" borderId="0" xfId="42" applyNumberFormat="1" applyFont="1" applyFill="1" applyBorder="1" applyAlignment="1" applyProtection="1">
      <alignment horizontal="right"/>
      <protection/>
    </xf>
    <xf numFmtId="0" fontId="3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 vertical="top" wrapText="1"/>
    </xf>
    <xf numFmtId="171" fontId="1" fillId="0" borderId="0" xfId="42" applyNumberFormat="1" applyFont="1" applyFill="1" applyAlignment="1" applyProtection="1">
      <alignment horizontal="right"/>
      <protection/>
    </xf>
    <xf numFmtId="0" fontId="4" fillId="0" borderId="14" xfId="0" applyFont="1" applyFill="1" applyBorder="1" applyAlignment="1">
      <alignment horizontal="center" vertical="center" wrapText="1"/>
    </xf>
    <xf numFmtId="49" fontId="1" fillId="0" borderId="20" xfId="60" applyNumberFormat="1" applyFont="1" applyFill="1" applyBorder="1" applyAlignment="1" applyProtection="1">
      <alignment horizontal="center" vertical="top" wrapText="1"/>
      <protection/>
    </xf>
    <xf numFmtId="49" fontId="1" fillId="0" borderId="10" xfId="6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Alignment="1">
      <alignment horizontal="right"/>
    </xf>
    <xf numFmtId="2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171" fontId="1" fillId="0" borderId="0" xfId="42" applyNumberFormat="1" applyFont="1" applyFill="1" applyAlignment="1" applyProtection="1">
      <alignment horizontal="left"/>
      <protection/>
    </xf>
    <xf numFmtId="0" fontId="0" fillId="0" borderId="0" xfId="0" applyFont="1" applyFill="1" applyAlignment="1">
      <alignment horizontal="left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71" fontId="1" fillId="0" borderId="16" xfId="42" applyNumberFormat="1" applyFont="1" applyFill="1" applyBorder="1" applyAlignment="1" applyProtection="1">
      <alignment horizontal="right"/>
      <protection/>
    </xf>
    <xf numFmtId="49" fontId="1" fillId="0" borderId="20" xfId="59" applyNumberFormat="1" applyFont="1" applyFill="1" applyBorder="1" applyAlignment="1" applyProtection="1">
      <alignment horizontal="center" vertical="top" wrapText="1"/>
      <protection/>
    </xf>
    <xf numFmtId="49" fontId="1" fillId="0" borderId="10" xfId="59" applyNumberFormat="1" applyFont="1" applyFill="1" applyBorder="1" applyAlignment="1" applyProtection="1">
      <alignment horizontal="center" vertical="top" wrapText="1"/>
      <protection/>
    </xf>
    <xf numFmtId="179" fontId="1" fillId="0" borderId="0" xfId="42" applyFont="1" applyFill="1" applyAlignment="1" applyProtection="1">
      <alignment horizontal="center"/>
      <protection/>
    </xf>
    <xf numFmtId="179" fontId="0" fillId="0" borderId="0" xfId="42" applyFont="1" applyFill="1" applyAlignment="1">
      <alignment horizontal="center"/>
    </xf>
    <xf numFmtId="0" fontId="0" fillId="0" borderId="0" xfId="0" applyFont="1" applyFill="1" applyAlignment="1">
      <alignment vertical="top" wrapText="1"/>
    </xf>
    <xf numFmtId="179" fontId="1" fillId="0" borderId="14" xfId="42" applyFont="1" applyFill="1" applyBorder="1" applyAlignment="1">
      <alignment horizontal="center" vertical="center" wrapText="1"/>
    </xf>
    <xf numFmtId="179" fontId="1" fillId="0" borderId="0" xfId="42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 vertical="top" wrapText="1"/>
      <protection/>
    </xf>
    <xf numFmtId="0" fontId="1" fillId="0" borderId="10" xfId="0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Alignment="1">
      <alignment horizontal="center"/>
    </xf>
    <xf numFmtId="214" fontId="1" fillId="0" borderId="0" xfId="42" applyNumberFormat="1" applyFont="1" applyFill="1" applyAlignment="1" applyProtection="1">
      <alignment horizontal="right" vertical="center" wrapText="1"/>
      <protection/>
    </xf>
    <xf numFmtId="214" fontId="0" fillId="0" borderId="0" xfId="0" applyNumberFormat="1" applyFont="1" applyFill="1" applyAlignment="1">
      <alignment horizontal="right" vertical="center" wrapText="1"/>
    </xf>
    <xf numFmtId="0" fontId="17" fillId="0" borderId="0" xfId="0" applyFont="1" applyFill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 applyProtection="1">
      <alignment horizontal="center" vertical="top" wrapText="1"/>
      <protection/>
    </xf>
    <xf numFmtId="0" fontId="5" fillId="0" borderId="11" xfId="0" applyFont="1" applyFill="1" applyBorder="1" applyAlignment="1" applyProtection="1">
      <alignment horizontal="center" vertical="top" wrapText="1"/>
      <protection/>
    </xf>
    <xf numFmtId="0" fontId="5" fillId="0" borderId="10" xfId="0" applyFont="1" applyFill="1" applyBorder="1" applyAlignment="1" applyProtection="1">
      <alignment horizontal="center" vertical="top" wrapText="1"/>
      <protection/>
    </xf>
    <xf numFmtId="0" fontId="5" fillId="0" borderId="13" xfId="0" applyFont="1" applyFill="1" applyBorder="1" applyAlignment="1" applyProtection="1">
      <alignment horizontal="center" vertical="top" wrapText="1"/>
      <protection/>
    </xf>
    <xf numFmtId="0" fontId="19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center"/>
    </xf>
    <xf numFmtId="0" fontId="6" fillId="0" borderId="0" xfId="0" applyNumberFormat="1" applyFont="1" applyFill="1" applyBorder="1" applyAlignment="1">
      <alignment horizontal="center" vertical="top" wrapText="1"/>
    </xf>
    <xf numFmtId="179" fontId="1" fillId="0" borderId="0" xfId="42" applyFont="1" applyFill="1" applyAlignment="1" applyProtection="1">
      <alignment horizontal="right"/>
      <protection/>
    </xf>
    <xf numFmtId="179" fontId="0" fillId="0" borderId="0" xfId="42" applyFont="1" applyFill="1" applyAlignment="1">
      <alignment horizontal="right"/>
    </xf>
    <xf numFmtId="0" fontId="2" fillId="0" borderId="0" xfId="0" applyFont="1" applyFill="1" applyAlignment="1">
      <alignment horizontal="center"/>
    </xf>
    <xf numFmtId="214" fontId="1" fillId="0" borderId="0" xfId="42" applyNumberFormat="1" applyFont="1" applyFill="1" applyAlignment="1" applyProtection="1">
      <alignment horizontal="right" vertical="center"/>
      <protection/>
    </xf>
    <xf numFmtId="171" fontId="1" fillId="0" borderId="11" xfId="44" applyNumberFormat="1" applyFont="1" applyFill="1" applyBorder="1" applyAlignment="1" applyProtection="1">
      <alignment horizontal="center" vertical="center"/>
      <protection/>
    </xf>
    <xf numFmtId="171" fontId="1" fillId="0" borderId="13" xfId="44" applyNumberFormat="1" applyFont="1" applyFill="1" applyBorder="1" applyAlignment="1" applyProtection="1">
      <alignment horizontal="center" vertical="center"/>
      <protection/>
    </xf>
    <xf numFmtId="0" fontId="1" fillId="0" borderId="11" xfId="61" applyNumberFormat="1" applyFont="1" applyFill="1" applyBorder="1" applyAlignment="1" applyProtection="1">
      <alignment horizontal="center" vertical="center"/>
      <protection/>
    </xf>
    <xf numFmtId="0" fontId="1" fillId="0" borderId="10" xfId="61" applyNumberFormat="1" applyFont="1" applyFill="1" applyBorder="1" applyAlignment="1" applyProtection="1">
      <alignment horizontal="center" vertical="center"/>
      <protection/>
    </xf>
    <xf numFmtId="0" fontId="1" fillId="0" borderId="13" xfId="61" applyNumberFormat="1" applyFont="1" applyFill="1" applyBorder="1" applyAlignment="1" applyProtection="1">
      <alignment horizontal="center" vertical="center"/>
      <protection/>
    </xf>
    <xf numFmtId="0" fontId="1" fillId="0" borderId="11" xfId="61" applyFont="1" applyFill="1" applyBorder="1" applyAlignment="1" applyProtection="1">
      <alignment horizontal="center" vertical="center" wrapText="1"/>
      <protection/>
    </xf>
    <xf numFmtId="0" fontId="1" fillId="0" borderId="10" xfId="61" applyFont="1" applyFill="1" applyBorder="1" applyAlignment="1" applyProtection="1">
      <alignment horizontal="center" vertical="center" wrapText="1"/>
      <protection/>
    </xf>
    <xf numFmtId="0" fontId="1" fillId="0" borderId="13" xfId="61" applyFont="1" applyFill="1" applyBorder="1" applyAlignment="1" applyProtection="1">
      <alignment horizontal="center" vertical="center" wrapText="1"/>
      <protection/>
    </xf>
    <xf numFmtId="9" fontId="1" fillId="0" borderId="11" xfId="65" applyFont="1" applyFill="1" applyBorder="1" applyAlignment="1" applyProtection="1">
      <alignment horizontal="center" vertical="center"/>
      <protection/>
    </xf>
    <xf numFmtId="9" fontId="1" fillId="0" borderId="10" xfId="65" applyFont="1" applyFill="1" applyBorder="1" applyAlignment="1" applyProtection="1">
      <alignment horizontal="center" vertical="center"/>
      <protection/>
    </xf>
    <xf numFmtId="9" fontId="1" fillId="0" borderId="13" xfId="65" applyFont="1" applyFill="1" applyBorder="1" applyAlignment="1" applyProtection="1">
      <alignment horizontal="center" vertical="center"/>
      <protection/>
    </xf>
    <xf numFmtId="171" fontId="1" fillId="0" borderId="21" xfId="44" applyNumberFormat="1" applyFont="1" applyFill="1" applyBorder="1" applyAlignment="1" applyProtection="1">
      <alignment horizontal="center"/>
      <protection/>
    </xf>
    <xf numFmtId="171" fontId="1" fillId="0" borderId="20" xfId="44" applyNumberFormat="1" applyFont="1" applyFill="1" applyBorder="1" applyAlignment="1" applyProtection="1">
      <alignment horizontal="center"/>
      <protection/>
    </xf>
    <xf numFmtId="171" fontId="1" fillId="0" borderId="21" xfId="44" applyNumberFormat="1" applyFont="1" applyFill="1" applyBorder="1" applyAlignment="1" applyProtection="1">
      <alignment horizontal="center" vertical="center"/>
      <protection/>
    </xf>
    <xf numFmtId="171" fontId="1" fillId="0" borderId="20" xfId="44" applyNumberFormat="1" applyFont="1" applyFill="1" applyBorder="1" applyAlignment="1" applyProtection="1">
      <alignment horizontal="center" vertical="center"/>
      <protection/>
    </xf>
    <xf numFmtId="171" fontId="1" fillId="0" borderId="24" xfId="44" applyNumberFormat="1" applyFont="1" applyFill="1" applyBorder="1" applyAlignment="1" applyProtection="1">
      <alignment horizontal="center" vertical="center"/>
      <protection/>
    </xf>
    <xf numFmtId="171" fontId="1" fillId="0" borderId="23" xfId="44" applyNumberFormat="1" applyFont="1" applyFill="1" applyBorder="1" applyAlignment="1" applyProtection="1">
      <alignment horizontal="center" vertical="center"/>
      <protection/>
    </xf>
    <xf numFmtId="171" fontId="1" fillId="0" borderId="10" xfId="44" applyNumberFormat="1" applyFont="1" applyFill="1" applyBorder="1" applyAlignment="1" applyProtection="1">
      <alignment horizontal="center" vertical="center"/>
      <protection/>
    </xf>
    <xf numFmtId="171" fontId="1" fillId="0" borderId="24" xfId="44" applyNumberFormat="1" applyFont="1" applyFill="1" applyBorder="1" applyAlignment="1" applyProtection="1">
      <alignment horizontal="center"/>
      <protection/>
    </xf>
    <xf numFmtId="171" fontId="1" fillId="0" borderId="23" xfId="44" applyNumberFormat="1" applyFont="1" applyFill="1" applyBorder="1" applyAlignment="1" applyProtection="1">
      <alignment horizontal="center"/>
      <protection/>
    </xf>
    <xf numFmtId="179" fontId="1" fillId="0" borderId="11" xfId="42" applyFont="1" applyFill="1" applyBorder="1" applyAlignment="1" applyProtection="1">
      <alignment horizontal="center" vertical="center"/>
      <protection/>
    </xf>
    <xf numFmtId="179" fontId="1" fillId="0" borderId="13" xfId="42" applyFont="1" applyFill="1" applyBorder="1" applyAlignment="1" applyProtection="1">
      <alignment horizontal="center" vertical="center"/>
      <protection/>
    </xf>
    <xf numFmtId="4" fontId="1" fillId="0" borderId="0" xfId="42" applyNumberFormat="1" applyFont="1" applyFill="1" applyAlignment="1" applyProtection="1">
      <alignment horizontal="right" vertical="center" wrapText="1"/>
      <protection/>
    </xf>
    <xf numFmtId="4" fontId="0" fillId="0" borderId="0" xfId="0" applyNumberFormat="1" applyFont="1" applyFill="1" applyAlignment="1">
      <alignment horizontal="right" vertical="center" wrapText="1"/>
    </xf>
    <xf numFmtId="0" fontId="6" fillId="0" borderId="0" xfId="0" applyNumberFormat="1" applyFont="1" applyFill="1" applyBorder="1" applyAlignment="1">
      <alignment horizontal="center" vertical="top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3" xfId="59"/>
    <cellStyle name="Normal 3 2" xfId="60"/>
    <cellStyle name="Normal_gare wyalsadfenigagarini 2_SMSH2008-IIkv ." xfId="61"/>
    <cellStyle name="Note" xfId="62"/>
    <cellStyle name="Output" xfId="63"/>
    <cellStyle name="Percent" xfId="64"/>
    <cellStyle name="Percent 3" xfId="65"/>
    <cellStyle name="Title" xfId="66"/>
    <cellStyle name="Total" xfId="67"/>
    <cellStyle name="Warning Text" xfId="68"/>
    <cellStyle name="Финансовый 2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Zeros="0" zoomScalePageLayoutView="0" workbookViewId="0" topLeftCell="A1">
      <pane ySplit="5" topLeftCell="A27" activePane="bottomLeft" state="frozen"/>
      <selection pane="topLeft" activeCell="A1" sqref="A1"/>
      <selection pane="bottomLeft" activeCell="J44" sqref="J44"/>
    </sheetView>
  </sheetViews>
  <sheetFormatPr defaultColWidth="9.00390625" defaultRowHeight="12.75"/>
  <cols>
    <col min="1" max="1" width="5.375" style="395" customWidth="1"/>
    <col min="2" max="2" width="14.00390625" style="395" customWidth="1"/>
    <col min="3" max="3" width="51.00390625" style="395" customWidth="1"/>
    <col min="4" max="4" width="12.375" style="395" customWidth="1"/>
    <col min="5" max="5" width="12.875" style="395" customWidth="1"/>
    <col min="6" max="6" width="9.375" style="395" customWidth="1"/>
    <col min="7" max="7" width="9.875" style="395" customWidth="1"/>
    <col min="8" max="8" width="11.375" style="395" customWidth="1"/>
    <col min="9" max="16384" width="9.125" style="395" customWidth="1"/>
  </cols>
  <sheetData>
    <row r="1" spans="1:8" ht="22.5" customHeight="1">
      <c r="A1" s="479" t="s">
        <v>77</v>
      </c>
      <c r="B1" s="480"/>
      <c r="C1" s="480"/>
      <c r="D1" s="480"/>
      <c r="E1" s="480"/>
      <c r="F1" s="480"/>
      <c r="G1" s="480"/>
      <c r="H1" s="480"/>
    </row>
    <row r="2" spans="1:8" ht="18.75" customHeight="1">
      <c r="A2" s="479" t="s">
        <v>894</v>
      </c>
      <c r="B2" s="479"/>
      <c r="C2" s="479"/>
      <c r="D2" s="479"/>
      <c r="E2" s="479"/>
      <c r="F2" s="479"/>
      <c r="G2" s="479"/>
      <c r="H2" s="479"/>
    </row>
    <row r="3" spans="1:8" ht="15" customHeight="1">
      <c r="A3" s="482" t="s">
        <v>883</v>
      </c>
      <c r="B3" s="482"/>
      <c r="C3" s="482"/>
      <c r="D3" s="482"/>
      <c r="E3" s="482"/>
      <c r="F3" s="482"/>
      <c r="G3" s="482"/>
      <c r="H3" s="482"/>
    </row>
    <row r="4" spans="1:8" ht="32.25" customHeight="1">
      <c r="A4" s="474" t="s">
        <v>78</v>
      </c>
      <c r="B4" s="472" t="s">
        <v>79</v>
      </c>
      <c r="C4" s="474" t="s">
        <v>80</v>
      </c>
      <c r="D4" s="475" t="s">
        <v>363</v>
      </c>
      <c r="E4" s="476"/>
      <c r="F4" s="476"/>
      <c r="G4" s="477"/>
      <c r="H4" s="483" t="s">
        <v>364</v>
      </c>
    </row>
    <row r="5" spans="1:8" ht="30" customHeight="1">
      <c r="A5" s="473"/>
      <c r="B5" s="473"/>
      <c r="C5" s="473"/>
      <c r="D5" s="446" t="s">
        <v>67</v>
      </c>
      <c r="E5" s="446" t="s">
        <v>107</v>
      </c>
      <c r="F5" s="447" t="s">
        <v>81</v>
      </c>
      <c r="G5" s="446" t="s">
        <v>32</v>
      </c>
      <c r="H5" s="473"/>
    </row>
    <row r="6" spans="1:8" ht="12.75">
      <c r="A6" s="448" t="s">
        <v>53</v>
      </c>
      <c r="B6" s="448" t="s">
        <v>68</v>
      </c>
      <c r="C6" s="448" t="s">
        <v>69</v>
      </c>
      <c r="D6" s="448" t="s">
        <v>70</v>
      </c>
      <c r="E6" s="448" t="s">
        <v>71</v>
      </c>
      <c r="F6" s="448" t="s">
        <v>72</v>
      </c>
      <c r="G6" s="448" t="s">
        <v>60</v>
      </c>
      <c r="H6" s="448" t="s">
        <v>73</v>
      </c>
    </row>
    <row r="7" spans="1:8" ht="16.5">
      <c r="A7" s="428"/>
      <c r="B7" s="17"/>
      <c r="C7" s="200" t="s">
        <v>82</v>
      </c>
      <c r="D7" s="449"/>
      <c r="E7" s="449"/>
      <c r="F7" s="449"/>
      <c r="G7" s="449"/>
      <c r="H7" s="449"/>
    </row>
    <row r="8" spans="1:8" ht="15.75">
      <c r="A8" s="428"/>
      <c r="B8" s="17"/>
      <c r="C8" s="450" t="s">
        <v>83</v>
      </c>
      <c r="D8" s="449"/>
      <c r="E8" s="449"/>
      <c r="F8" s="449"/>
      <c r="G8" s="449"/>
      <c r="H8" s="449"/>
    </row>
    <row r="9" spans="1:8" ht="21" customHeight="1">
      <c r="A9" s="14">
        <v>1</v>
      </c>
      <c r="B9" s="14" t="s">
        <v>739</v>
      </c>
      <c r="C9" s="17" t="s">
        <v>760</v>
      </c>
      <c r="D9" s="449">
        <f>'ობ. შენობა'!D16</f>
        <v>1773.4161666951557</v>
      </c>
      <c r="E9" s="449">
        <f>'ობ. შენობა'!E16</f>
        <v>100.04749477920001</v>
      </c>
      <c r="F9" s="449">
        <f>'ობ. შენობა'!F16</f>
        <v>99.0575466101695</v>
      </c>
      <c r="G9" s="449"/>
      <c r="H9" s="449">
        <f>D9+E9+F9</f>
        <v>1972.5212080845251</v>
      </c>
    </row>
    <row r="10" spans="1:8" ht="15.75" customHeight="1">
      <c r="A10" s="74">
        <v>2</v>
      </c>
      <c r="B10" s="74"/>
      <c r="C10" s="451" t="s">
        <v>381</v>
      </c>
      <c r="D10" s="181">
        <f>SUM(D9:D9)</f>
        <v>1773.4161666951557</v>
      </c>
      <c r="E10" s="181">
        <f>SUM(E9:E9)</f>
        <v>100.04749477920001</v>
      </c>
      <c r="F10" s="181">
        <f>SUM(F9:F9)</f>
        <v>99.0575466101695</v>
      </c>
      <c r="G10" s="181">
        <f>SUM(G9:G9)</f>
        <v>0</v>
      </c>
      <c r="H10" s="181">
        <f>SUM(H9:H9)</f>
        <v>1972.5212080845251</v>
      </c>
    </row>
    <row r="11" spans="1:8" ht="16.5">
      <c r="A11" s="428"/>
      <c r="B11" s="17"/>
      <c r="C11" s="200" t="s">
        <v>280</v>
      </c>
      <c r="D11" s="449"/>
      <c r="E11" s="449"/>
      <c r="F11" s="449"/>
      <c r="G11" s="449"/>
      <c r="H11" s="449"/>
    </row>
    <row r="12" spans="1:8" ht="15.75">
      <c r="A12" s="428"/>
      <c r="B12" s="17"/>
      <c r="C12" s="450" t="s">
        <v>281</v>
      </c>
      <c r="D12" s="449"/>
      <c r="E12" s="449"/>
      <c r="F12" s="449"/>
      <c r="G12" s="449"/>
      <c r="H12" s="449"/>
    </row>
    <row r="13" spans="1:8" ht="17.25" customHeight="1">
      <c r="A13" s="14">
        <v>3</v>
      </c>
      <c r="B13" s="14" t="s">
        <v>741</v>
      </c>
      <c r="C13" s="17" t="s">
        <v>249</v>
      </c>
      <c r="D13" s="449">
        <f>'დაბ. ძაბვა'!M46/1000</f>
        <v>1.4149412639999999</v>
      </c>
      <c r="E13" s="449">
        <f>'დაბ. ძაბვა'!M47/1000</f>
        <v>17.71228512</v>
      </c>
      <c r="F13" s="449"/>
      <c r="G13" s="449"/>
      <c r="H13" s="449">
        <f>D13+E13+F13</f>
        <v>19.127226384</v>
      </c>
    </row>
    <row r="14" spans="1:8" ht="15" customHeight="1">
      <c r="A14" s="74">
        <v>4</v>
      </c>
      <c r="B14" s="74"/>
      <c r="C14" s="451" t="s">
        <v>382</v>
      </c>
      <c r="D14" s="181">
        <f>SUM(D13:D13)</f>
        <v>1.4149412639999999</v>
      </c>
      <c r="E14" s="181">
        <f>SUM(E13:E13)</f>
        <v>17.71228512</v>
      </c>
      <c r="F14" s="181">
        <f>SUM(F13:F13)</f>
        <v>0</v>
      </c>
      <c r="G14" s="181">
        <f>SUM(G13:G13)</f>
        <v>0</v>
      </c>
      <c r="H14" s="181">
        <f>SUM(H13:H13)</f>
        <v>19.127226384</v>
      </c>
    </row>
    <row r="15" spans="1:8" ht="16.5">
      <c r="A15" s="428"/>
      <c r="B15" s="17"/>
      <c r="C15" s="200" t="s">
        <v>137</v>
      </c>
      <c r="D15" s="449"/>
      <c r="E15" s="449"/>
      <c r="F15" s="449"/>
      <c r="G15" s="449"/>
      <c r="H15" s="449"/>
    </row>
    <row r="16" spans="1:8" ht="15.75">
      <c r="A16" s="428"/>
      <c r="B16" s="17"/>
      <c r="C16" s="450" t="s">
        <v>138</v>
      </c>
      <c r="D16" s="449"/>
      <c r="E16" s="449"/>
      <c r="F16" s="449"/>
      <c r="G16" s="449"/>
      <c r="H16" s="449"/>
    </row>
    <row r="17" spans="1:8" ht="17.25" customHeight="1">
      <c r="A17" s="14">
        <v>5</v>
      </c>
      <c r="B17" s="14" t="s">
        <v>742</v>
      </c>
      <c r="C17" s="17" t="s">
        <v>221</v>
      </c>
      <c r="D17" s="449">
        <f>'გარე წყ'!M49/1000</f>
        <v>1.1448488058479998</v>
      </c>
      <c r="E17" s="449"/>
      <c r="F17" s="449"/>
      <c r="G17" s="449"/>
      <c r="H17" s="449">
        <f>D17+E17+F17</f>
        <v>1.1448488058479998</v>
      </c>
    </row>
    <row r="18" spans="1:8" ht="21" customHeight="1">
      <c r="A18" s="14">
        <v>6</v>
      </c>
      <c r="B18" s="14" t="s">
        <v>157</v>
      </c>
      <c r="C18" s="17" t="s">
        <v>228</v>
      </c>
      <c r="D18" s="449">
        <f>'გარე კან'!M42/1000</f>
        <v>1.1156628677040001</v>
      </c>
      <c r="E18" s="449"/>
      <c r="F18" s="449"/>
      <c r="G18" s="449"/>
      <c r="H18" s="449">
        <f>D18+E18+F18+G18</f>
        <v>1.1156628677040001</v>
      </c>
    </row>
    <row r="19" spans="1:8" ht="18.75" customHeight="1">
      <c r="A19" s="74">
        <v>7</v>
      </c>
      <c r="B19" s="74"/>
      <c r="C19" s="451" t="s">
        <v>383</v>
      </c>
      <c r="D19" s="181">
        <f>SUM(D17:D18)</f>
        <v>2.260511673552</v>
      </c>
      <c r="E19" s="181">
        <f>SUM(E17:E18)</f>
        <v>0</v>
      </c>
      <c r="F19" s="181">
        <f>SUM(F17:F18)</f>
        <v>0</v>
      </c>
      <c r="G19" s="181">
        <f>SUM(G17:G18)</f>
        <v>0</v>
      </c>
      <c r="H19" s="181">
        <f>SUM(H17:H18)</f>
        <v>2.260511673552</v>
      </c>
    </row>
    <row r="20" spans="1:8" ht="18.75" customHeight="1">
      <c r="A20" s="14"/>
      <c r="B20" s="14"/>
      <c r="C20" s="200" t="s">
        <v>826</v>
      </c>
      <c r="D20" s="449"/>
      <c r="E20" s="449"/>
      <c r="F20" s="449"/>
      <c r="G20" s="449"/>
      <c r="H20" s="449"/>
    </row>
    <row r="21" spans="1:8" ht="18" customHeight="1">
      <c r="A21" s="428"/>
      <c r="B21" s="17"/>
      <c r="C21" s="450" t="s">
        <v>827</v>
      </c>
      <c r="D21" s="449"/>
      <c r="E21" s="449"/>
      <c r="F21" s="449"/>
      <c r="G21" s="449"/>
      <c r="H21" s="449"/>
    </row>
    <row r="22" spans="1:8" ht="19.5" customHeight="1">
      <c r="A22" s="428">
        <v>8</v>
      </c>
      <c r="B22" s="14" t="s">
        <v>829</v>
      </c>
      <c r="C22" s="17" t="s">
        <v>776</v>
      </c>
      <c r="D22" s="449">
        <f>ვერტ!M31/1000</f>
        <v>3.3597760989672003</v>
      </c>
      <c r="E22" s="449"/>
      <c r="F22" s="449"/>
      <c r="G22" s="449"/>
      <c r="H22" s="449">
        <f>D22+E22+F22+G22</f>
        <v>3.3597760989672003</v>
      </c>
    </row>
    <row r="23" spans="1:8" ht="19.5" customHeight="1">
      <c r="A23" s="428">
        <v>9</v>
      </c>
      <c r="B23" s="14" t="s">
        <v>830</v>
      </c>
      <c r="C23" s="17" t="s">
        <v>786</v>
      </c>
      <c r="D23" s="449">
        <f>კეთილმოწყ!M70/1000</f>
        <v>34.707024999504</v>
      </c>
      <c r="E23" s="449"/>
      <c r="F23" s="449"/>
      <c r="G23" s="449"/>
      <c r="H23" s="449">
        <f>D23+E23+F23+G23</f>
        <v>34.707024999504</v>
      </c>
    </row>
    <row r="24" spans="1:8" ht="18.75" customHeight="1">
      <c r="A24" s="74">
        <v>10</v>
      </c>
      <c r="B24" s="74"/>
      <c r="C24" s="451" t="s">
        <v>831</v>
      </c>
      <c r="D24" s="181">
        <f>SUM(D22:D23)</f>
        <v>38.0668010984712</v>
      </c>
      <c r="E24" s="181">
        <f>SUM(E22:E23)</f>
        <v>0</v>
      </c>
      <c r="F24" s="181">
        <f>SUM(F22:F23)</f>
        <v>0</v>
      </c>
      <c r="G24" s="181">
        <f>SUM(G22:G23)</f>
        <v>0</v>
      </c>
      <c r="H24" s="181">
        <f>SUM(H22:H23)</f>
        <v>38.0668010984712</v>
      </c>
    </row>
    <row r="25" spans="1:8" ht="19.5" customHeight="1">
      <c r="A25" s="74">
        <v>11</v>
      </c>
      <c r="B25" s="74"/>
      <c r="C25" s="451" t="s">
        <v>828</v>
      </c>
      <c r="D25" s="181">
        <f>D10+D14+D19+D24</f>
        <v>1815.1584207311787</v>
      </c>
      <c r="E25" s="181">
        <f>E10+E14+E19+E24</f>
        <v>117.75977989920001</v>
      </c>
      <c r="F25" s="181">
        <f>F10+F14+F19+F24</f>
        <v>99.0575466101695</v>
      </c>
      <c r="G25" s="181">
        <f>G10+G14+G19+G24</f>
        <v>0</v>
      </c>
      <c r="H25" s="181">
        <f>H10+H14+H19+H24</f>
        <v>2031.9757472405483</v>
      </c>
    </row>
    <row r="26" spans="1:8" ht="27">
      <c r="A26" s="74">
        <v>12</v>
      </c>
      <c r="B26" s="74"/>
      <c r="C26" s="119" t="s">
        <v>874</v>
      </c>
      <c r="D26" s="187">
        <f>('სამშ.'!H671+'შიდა წყალს'!H107+'შიდა კანალიზ'!H82+ვენტ!H127+ელექტროგათბ!H83+ელექტრობა!H149+სუსტ!H164+ლიფტი!H19+'დაბ. ძაბვა'!H45+'გარე წყ'!H49+'გარე კან'!H42+ვერტ!H31+კეთილმოწყ!H70)/1000*0.07</f>
        <v>115.51519591227425</v>
      </c>
      <c r="E26" s="187"/>
      <c r="F26" s="187"/>
      <c r="G26" s="187"/>
      <c r="H26" s="187">
        <f>D26</f>
        <v>115.51519591227425</v>
      </c>
    </row>
    <row r="27" spans="1:8" ht="27">
      <c r="A27" s="74">
        <v>13</v>
      </c>
      <c r="B27" s="74"/>
      <c r="C27" s="451" t="s">
        <v>832</v>
      </c>
      <c r="D27" s="181">
        <f>D25+D26</f>
        <v>1930.673616643453</v>
      </c>
      <c r="E27" s="181">
        <f>E25+E26</f>
        <v>117.75977989920001</v>
      </c>
      <c r="F27" s="181">
        <f>F25+F26</f>
        <v>99.0575466101695</v>
      </c>
      <c r="G27" s="181">
        <f>G25+G26</f>
        <v>0</v>
      </c>
      <c r="H27" s="181">
        <f>H25+H26</f>
        <v>2147.4909431528226</v>
      </c>
    </row>
    <row r="28" spans="1:8" ht="17.25" customHeight="1">
      <c r="A28" s="14"/>
      <c r="B28" s="14"/>
      <c r="C28" s="200" t="s">
        <v>93</v>
      </c>
      <c r="D28" s="449"/>
      <c r="E28" s="449"/>
      <c r="F28" s="449"/>
      <c r="G28" s="449"/>
      <c r="H28" s="449"/>
    </row>
    <row r="29" spans="1:8" ht="15.75">
      <c r="A29" s="14"/>
      <c r="B29" s="14"/>
      <c r="C29" s="450" t="s">
        <v>33</v>
      </c>
      <c r="D29" s="449"/>
      <c r="E29" s="449"/>
      <c r="F29" s="449"/>
      <c r="G29" s="449"/>
      <c r="H29" s="449"/>
    </row>
    <row r="30" spans="1:8" ht="19.5" customHeight="1">
      <c r="A30" s="44">
        <v>14</v>
      </c>
      <c r="B30" s="44"/>
      <c r="C30" s="452" t="s">
        <v>422</v>
      </c>
      <c r="D30" s="453">
        <f>D27*0.015</f>
        <v>28.960104249651792</v>
      </c>
      <c r="E30" s="453">
        <f>E27*0.015</f>
        <v>1.7663966984880002</v>
      </c>
      <c r="F30" s="453"/>
      <c r="G30" s="453"/>
      <c r="H30" s="453">
        <f>D30+E30</f>
        <v>30.726500948139794</v>
      </c>
    </row>
    <row r="31" spans="1:8" ht="18" customHeight="1">
      <c r="A31" s="74">
        <v>15</v>
      </c>
      <c r="B31" s="74"/>
      <c r="C31" s="451" t="s">
        <v>384</v>
      </c>
      <c r="D31" s="181">
        <f>D30</f>
        <v>28.960104249651792</v>
      </c>
      <c r="E31" s="181">
        <f>E30</f>
        <v>1.7663966984880002</v>
      </c>
      <c r="F31" s="181">
        <f>F30</f>
        <v>0</v>
      </c>
      <c r="G31" s="181">
        <f>G30</f>
        <v>0</v>
      </c>
      <c r="H31" s="181">
        <f>H30</f>
        <v>30.726500948139794</v>
      </c>
    </row>
    <row r="32" spans="1:8" ht="16.5" customHeight="1">
      <c r="A32" s="74">
        <v>16</v>
      </c>
      <c r="B32" s="74"/>
      <c r="C32" s="451" t="s">
        <v>385</v>
      </c>
      <c r="D32" s="181">
        <f>D27+D31</f>
        <v>1959.6337208931047</v>
      </c>
      <c r="E32" s="181">
        <f>E27+E31</f>
        <v>119.526176597688</v>
      </c>
      <c r="F32" s="181">
        <f>F27+F31</f>
        <v>99.0575466101695</v>
      </c>
      <c r="G32" s="181">
        <f>G27+G31</f>
        <v>0</v>
      </c>
      <c r="H32" s="181">
        <f>H27+H31</f>
        <v>2178.2174441009624</v>
      </c>
    </row>
    <row r="33" spans="1:8" ht="17.25" customHeight="1">
      <c r="A33" s="14"/>
      <c r="B33" s="14"/>
      <c r="C33" s="200" t="s">
        <v>217</v>
      </c>
      <c r="D33" s="449"/>
      <c r="E33" s="449"/>
      <c r="F33" s="449"/>
      <c r="G33" s="449"/>
      <c r="H33" s="449"/>
    </row>
    <row r="34" spans="1:8" ht="19.5" customHeight="1">
      <c r="A34" s="14"/>
      <c r="B34" s="14"/>
      <c r="C34" s="450" t="s">
        <v>216</v>
      </c>
      <c r="D34" s="449"/>
      <c r="E34" s="449"/>
      <c r="F34" s="449"/>
      <c r="G34" s="449"/>
      <c r="H34" s="449"/>
    </row>
    <row r="35" spans="1:8" ht="29.25" customHeight="1">
      <c r="A35" s="44">
        <v>17</v>
      </c>
      <c r="B35" s="44"/>
      <c r="C35" s="452" t="s">
        <v>896</v>
      </c>
      <c r="D35" s="471">
        <f>D32*0.0012</f>
        <v>2.3515604650717257</v>
      </c>
      <c r="E35" s="471">
        <f>E32*0.0012</f>
        <v>0.1434314119172256</v>
      </c>
      <c r="F35" s="471"/>
      <c r="G35" s="471"/>
      <c r="H35" s="471">
        <f>D35+E35</f>
        <v>2.4949918769889514</v>
      </c>
    </row>
    <row r="36" spans="1:8" ht="13.5">
      <c r="A36" s="74">
        <v>18</v>
      </c>
      <c r="B36" s="74"/>
      <c r="C36" s="451" t="s">
        <v>386</v>
      </c>
      <c r="D36" s="181">
        <f>D35</f>
        <v>2.3515604650717257</v>
      </c>
      <c r="E36" s="181">
        <f>E35</f>
        <v>0.1434314119172256</v>
      </c>
      <c r="F36" s="181">
        <f>F35</f>
        <v>0</v>
      </c>
      <c r="G36" s="181">
        <f>G35</f>
        <v>0</v>
      </c>
      <c r="H36" s="181">
        <f>H35</f>
        <v>2.4949918769889514</v>
      </c>
    </row>
    <row r="37" spans="1:8" ht="13.5">
      <c r="A37" s="74">
        <v>19</v>
      </c>
      <c r="B37" s="74"/>
      <c r="C37" s="451" t="s">
        <v>387</v>
      </c>
      <c r="D37" s="181">
        <f>D32+D36</f>
        <v>1961.9852813581765</v>
      </c>
      <c r="E37" s="181">
        <f>E32+E36</f>
        <v>119.66960800960523</v>
      </c>
      <c r="F37" s="181">
        <f>F32+F36</f>
        <v>99.0575466101695</v>
      </c>
      <c r="G37" s="181">
        <f>G32+G36</f>
        <v>0</v>
      </c>
      <c r="H37" s="181">
        <f>H32+H36</f>
        <v>2180.7124359779514</v>
      </c>
    </row>
    <row r="38" spans="1:8" s="454" customFormat="1" ht="18" customHeight="1">
      <c r="A38" s="74">
        <v>20</v>
      </c>
      <c r="B38" s="74"/>
      <c r="C38" s="119" t="s">
        <v>423</v>
      </c>
      <c r="D38" s="187"/>
      <c r="E38" s="187"/>
      <c r="F38" s="187"/>
      <c r="G38" s="187">
        <f>H37*0.05</f>
        <v>109.03562179889758</v>
      </c>
      <c r="H38" s="187">
        <f>G38</f>
        <v>109.03562179889758</v>
      </c>
    </row>
    <row r="39" spans="1:8" s="454" customFormat="1" ht="15" customHeight="1">
      <c r="A39" s="74">
        <v>21</v>
      </c>
      <c r="B39" s="74"/>
      <c r="C39" s="451" t="s">
        <v>49</v>
      </c>
      <c r="D39" s="181">
        <f>D37+D38</f>
        <v>1961.9852813581765</v>
      </c>
      <c r="E39" s="181">
        <f>E37+E38</f>
        <v>119.66960800960523</v>
      </c>
      <c r="F39" s="181">
        <f>F37+F38</f>
        <v>99.0575466101695</v>
      </c>
      <c r="G39" s="181">
        <f>G37+G38</f>
        <v>109.03562179889758</v>
      </c>
      <c r="H39" s="181">
        <f>H37+H38</f>
        <v>2289.748057776849</v>
      </c>
    </row>
    <row r="40" spans="1:8" ht="18.75" customHeight="1">
      <c r="A40" s="74">
        <v>22</v>
      </c>
      <c r="B40" s="74"/>
      <c r="C40" s="119" t="s">
        <v>426</v>
      </c>
      <c r="D40" s="187"/>
      <c r="E40" s="187"/>
      <c r="F40" s="187"/>
      <c r="G40" s="187">
        <f>H39*0.18</f>
        <v>412.15465039983275</v>
      </c>
      <c r="H40" s="187">
        <f>G40</f>
        <v>412.15465039983275</v>
      </c>
    </row>
    <row r="41" spans="1:8" ht="13.5">
      <c r="A41" s="74">
        <v>23</v>
      </c>
      <c r="B41" s="74"/>
      <c r="C41" s="451" t="s">
        <v>158</v>
      </c>
      <c r="D41" s="181">
        <f>D39+D40</f>
        <v>1961.9852813581765</v>
      </c>
      <c r="E41" s="181">
        <f>E39+E40</f>
        <v>119.66960800960523</v>
      </c>
      <c r="F41" s="181">
        <f>F39+F40</f>
        <v>99.0575466101695</v>
      </c>
      <c r="G41" s="181">
        <f>G39+G40</f>
        <v>521.1902721987303</v>
      </c>
      <c r="H41" s="455">
        <f>H39+H40</f>
        <v>2701.9027081766817</v>
      </c>
    </row>
    <row r="42" spans="1:8" ht="13.5">
      <c r="A42" s="302"/>
      <c r="B42" s="302"/>
      <c r="C42" s="456"/>
      <c r="D42" s="457"/>
      <c r="E42" s="457"/>
      <c r="F42" s="457"/>
      <c r="G42" s="457"/>
      <c r="H42" s="457"/>
    </row>
    <row r="43" spans="1:8" ht="15.75" customHeight="1">
      <c r="A43" s="458"/>
      <c r="B43" s="458"/>
      <c r="C43" s="458" t="s">
        <v>875</v>
      </c>
      <c r="D43" s="458"/>
      <c r="E43" s="458"/>
      <c r="F43" s="478" t="s">
        <v>852</v>
      </c>
      <c r="G43" s="478"/>
      <c r="H43" s="458"/>
    </row>
    <row r="44" spans="1:8" ht="16.5" customHeight="1">
      <c r="A44" s="458"/>
      <c r="B44" s="458"/>
      <c r="C44" s="458"/>
      <c r="D44" s="458"/>
      <c r="E44" s="458"/>
      <c r="F44" s="458"/>
      <c r="G44" s="458"/>
      <c r="H44" s="458"/>
    </row>
    <row r="45" spans="1:8" ht="16.5" customHeight="1">
      <c r="A45" s="458"/>
      <c r="B45" s="458"/>
      <c r="C45" s="458" t="s">
        <v>58</v>
      </c>
      <c r="D45" s="458"/>
      <c r="E45" s="458"/>
      <c r="F45" s="481" t="s">
        <v>851</v>
      </c>
      <c r="G45" s="481"/>
      <c r="H45" s="458"/>
    </row>
    <row r="46" spans="6:7" ht="15.75" customHeight="1">
      <c r="F46" s="481"/>
      <c r="G46" s="481"/>
    </row>
    <row r="47" spans="3:7" ht="13.5">
      <c r="C47" s="458" t="s">
        <v>881</v>
      </c>
      <c r="F47" s="481" t="s">
        <v>882</v>
      </c>
      <c r="G47" s="481"/>
    </row>
  </sheetData>
  <sheetProtection/>
  <mergeCells count="12">
    <mergeCell ref="F45:G45"/>
    <mergeCell ref="A4:A5"/>
    <mergeCell ref="B4:B5"/>
    <mergeCell ref="C4:C5"/>
    <mergeCell ref="D4:G4"/>
    <mergeCell ref="F43:G43"/>
    <mergeCell ref="A1:H1"/>
    <mergeCell ref="F47:G47"/>
    <mergeCell ref="F46:G46"/>
    <mergeCell ref="A2:H2"/>
    <mergeCell ref="A3:H3"/>
    <mergeCell ref="H4:H5"/>
  </mergeCells>
  <printOptions horizontalCentered="1"/>
  <pageMargins left="0.5" right="0" top="0.5" bottom="0.5" header="0.25" footer="0.25"/>
  <pageSetup horizontalDpi="600" verticalDpi="600" orientation="landscape" paperSize="9" r:id="rId1"/>
  <headerFooter alignWithMargins="0">
    <oddHeader>&amp;Cსაგანმანათლებლო და სამეცნიერო ინფრასტრუქტურის განვითარების სააგენტო</oddHeader>
    <oddFooter>&amp;Lხარჯთაღრიცხვა&amp;R&amp;P/&amp;N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M193"/>
  <sheetViews>
    <sheetView zoomScalePageLayoutView="0" workbookViewId="0" topLeftCell="A1">
      <pane ySplit="7" topLeftCell="A11" activePane="bottomLeft" state="frozen"/>
      <selection pane="topLeft" activeCell="A1" sqref="A1"/>
      <selection pane="bottomLeft" activeCell="I6" sqref="I6:J6"/>
    </sheetView>
  </sheetViews>
  <sheetFormatPr defaultColWidth="11.75390625" defaultRowHeight="12.75"/>
  <cols>
    <col min="1" max="1" width="4.875" style="396" customWidth="1"/>
    <col min="2" max="2" width="9.125" style="396" customWidth="1"/>
    <col min="3" max="3" width="35.125" style="396" customWidth="1"/>
    <col min="4" max="4" width="6.00390625" style="396" bestFit="1" customWidth="1"/>
    <col min="5" max="5" width="8.00390625" style="396" bestFit="1" customWidth="1"/>
    <col min="6" max="6" width="5.00390625" style="396" bestFit="1" customWidth="1"/>
    <col min="7" max="7" width="8.75390625" style="396" customWidth="1"/>
    <col min="8" max="8" width="14.375" style="396" customWidth="1"/>
    <col min="9" max="9" width="7.75390625" style="398" customWidth="1"/>
    <col min="10" max="10" width="11.25390625" style="397" customWidth="1"/>
    <col min="11" max="11" width="7.625" style="397" customWidth="1"/>
    <col min="12" max="12" width="7.125" style="397" customWidth="1"/>
    <col min="13" max="13" width="15.00390625" style="397" customWidth="1"/>
    <col min="14" max="16384" width="11.75390625" style="268" customWidth="1"/>
  </cols>
  <sheetData>
    <row r="1" spans="1:13" s="314" customFormat="1" ht="17.25" customHeight="1">
      <c r="A1" s="511" t="s">
        <v>894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</row>
    <row r="2" spans="1:13" s="314" customFormat="1" ht="17.25" customHeight="1">
      <c r="A2" s="518" t="s">
        <v>737</v>
      </c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</row>
    <row r="3" spans="1:13" s="314" customFormat="1" ht="16.5" customHeight="1">
      <c r="A3" s="552" t="s">
        <v>772</v>
      </c>
      <c r="B3" s="517"/>
      <c r="C3" s="517"/>
      <c r="D3" s="517"/>
      <c r="E3" s="517"/>
      <c r="F3" s="517"/>
      <c r="G3" s="517"/>
      <c r="H3" s="517"/>
      <c r="I3" s="517"/>
      <c r="J3" s="517"/>
      <c r="K3" s="517"/>
      <c r="L3" s="517"/>
      <c r="M3" s="517"/>
    </row>
    <row r="4" spans="1:13" s="146" customFormat="1" ht="17.25" customHeight="1">
      <c r="A4" s="387"/>
      <c r="B4" s="318" t="s">
        <v>718</v>
      </c>
      <c r="C4" s="388"/>
      <c r="D4" s="24"/>
      <c r="E4" s="24"/>
      <c r="F4" s="520" t="s">
        <v>184</v>
      </c>
      <c r="G4" s="520"/>
      <c r="H4" s="520"/>
      <c r="I4" s="520"/>
      <c r="J4" s="527">
        <f>M19</f>
        <v>33946.596610169494</v>
      </c>
      <c r="K4" s="527"/>
      <c r="L4" s="25" t="s">
        <v>43</v>
      </c>
      <c r="M4" s="317"/>
    </row>
    <row r="5" spans="1:12" s="317" customFormat="1" ht="13.5">
      <c r="A5" s="319"/>
      <c r="B5" s="513" t="s">
        <v>876</v>
      </c>
      <c r="C5" s="514"/>
      <c r="D5" s="26"/>
      <c r="E5" s="26"/>
      <c r="F5" s="25"/>
      <c r="G5" s="531" t="s">
        <v>185</v>
      </c>
      <c r="H5" s="531"/>
      <c r="I5" s="531"/>
      <c r="J5" s="553">
        <f>J19</f>
        <v>3628.7999999999997</v>
      </c>
      <c r="K5" s="554"/>
      <c r="L5" s="25" t="s">
        <v>43</v>
      </c>
    </row>
    <row r="6" spans="1:13" ht="46.5" customHeight="1">
      <c r="A6" s="509" t="s">
        <v>61</v>
      </c>
      <c r="B6" s="497" t="s">
        <v>74</v>
      </c>
      <c r="C6" s="497" t="s">
        <v>63</v>
      </c>
      <c r="D6" s="497" t="s">
        <v>44</v>
      </c>
      <c r="E6" s="475" t="s">
        <v>45</v>
      </c>
      <c r="F6" s="477"/>
      <c r="G6" s="495" t="s">
        <v>46</v>
      </c>
      <c r="H6" s="496"/>
      <c r="I6" s="505" t="s">
        <v>47</v>
      </c>
      <c r="J6" s="506"/>
      <c r="K6" s="505" t="s">
        <v>48</v>
      </c>
      <c r="L6" s="506"/>
      <c r="M6" s="507" t="s">
        <v>49</v>
      </c>
    </row>
    <row r="7" spans="1:13" ht="27">
      <c r="A7" s="510"/>
      <c r="B7" s="498"/>
      <c r="C7" s="498"/>
      <c r="D7" s="498"/>
      <c r="E7" s="74" t="s">
        <v>719</v>
      </c>
      <c r="F7" s="74" t="s">
        <v>51</v>
      </c>
      <c r="G7" s="320" t="s">
        <v>52</v>
      </c>
      <c r="H7" s="389" t="s">
        <v>49</v>
      </c>
      <c r="I7" s="285" t="s">
        <v>52</v>
      </c>
      <c r="J7" s="108" t="s">
        <v>49</v>
      </c>
      <c r="K7" s="285" t="s">
        <v>52</v>
      </c>
      <c r="L7" s="108" t="s">
        <v>49</v>
      </c>
      <c r="M7" s="508"/>
    </row>
    <row r="8" spans="1:13" ht="12" customHeight="1">
      <c r="A8" s="126" t="s">
        <v>53</v>
      </c>
      <c r="B8" s="126">
        <v>2</v>
      </c>
      <c r="C8" s="126">
        <v>3</v>
      </c>
      <c r="D8" s="126">
        <v>4</v>
      </c>
      <c r="E8" s="126">
        <v>5</v>
      </c>
      <c r="F8" s="274">
        <v>6</v>
      </c>
      <c r="G8" s="275" t="s">
        <v>60</v>
      </c>
      <c r="H8" s="276">
        <v>8</v>
      </c>
      <c r="I8" s="274">
        <v>9</v>
      </c>
      <c r="J8" s="276">
        <v>10</v>
      </c>
      <c r="K8" s="274">
        <v>11</v>
      </c>
      <c r="L8" s="276">
        <v>12</v>
      </c>
      <c r="M8" s="276">
        <v>13</v>
      </c>
    </row>
    <row r="9" spans="1:13" ht="59.25" customHeight="1">
      <c r="A9" s="28">
        <v>1</v>
      </c>
      <c r="B9" s="28" t="s">
        <v>86</v>
      </c>
      <c r="C9" s="43" t="s">
        <v>869</v>
      </c>
      <c r="D9" s="152" t="s">
        <v>290</v>
      </c>
      <c r="E9" s="30"/>
      <c r="F9" s="164">
        <v>1</v>
      </c>
      <c r="G9" s="159"/>
      <c r="H9" s="160"/>
      <c r="I9" s="30"/>
      <c r="J9" s="30"/>
      <c r="K9" s="30"/>
      <c r="L9" s="30"/>
      <c r="M9" s="30"/>
    </row>
    <row r="10" spans="1:13" ht="15.75" customHeight="1">
      <c r="A10" s="1"/>
      <c r="B10" s="1"/>
      <c r="C10" s="19" t="s">
        <v>720</v>
      </c>
      <c r="D10" s="390" t="s">
        <v>43</v>
      </c>
      <c r="E10" s="13">
        <v>1</v>
      </c>
      <c r="F10" s="13">
        <f>F9*E10</f>
        <v>1</v>
      </c>
      <c r="G10" s="158"/>
      <c r="H10" s="13"/>
      <c r="I10" s="13">
        <v>2000</v>
      </c>
      <c r="J10" s="13">
        <f>F10*I10</f>
        <v>2000</v>
      </c>
      <c r="K10" s="13"/>
      <c r="L10" s="13"/>
      <c r="M10" s="13">
        <f>H10+J10</f>
        <v>2000</v>
      </c>
    </row>
    <row r="11" spans="1:13" ht="13.5">
      <c r="A11" s="1"/>
      <c r="B11" s="1"/>
      <c r="C11" s="4" t="s">
        <v>46</v>
      </c>
      <c r="D11" s="390"/>
      <c r="E11" s="13"/>
      <c r="F11" s="13"/>
      <c r="G11" s="158"/>
      <c r="H11" s="13"/>
      <c r="I11" s="13"/>
      <c r="J11" s="13"/>
      <c r="K11" s="13"/>
      <c r="L11" s="13"/>
      <c r="M11" s="13"/>
    </row>
    <row r="12" spans="1:13" ht="17.25" customHeight="1">
      <c r="A12" s="37"/>
      <c r="B12" s="36"/>
      <c r="C12" s="36" t="s">
        <v>773</v>
      </c>
      <c r="D12" s="391" t="s">
        <v>43</v>
      </c>
      <c r="E12" s="124">
        <v>1</v>
      </c>
      <c r="F12" s="124">
        <f>F9*E12</f>
        <v>1</v>
      </c>
      <c r="G12" s="124">
        <f>13500*2.65/1.18</f>
        <v>30317.796610169495</v>
      </c>
      <c r="H12" s="124">
        <f>F12*G12</f>
        <v>30317.796610169495</v>
      </c>
      <c r="I12" s="124"/>
      <c r="J12" s="124"/>
      <c r="K12" s="124"/>
      <c r="L12" s="124"/>
      <c r="M12" s="124">
        <f>H12+J12</f>
        <v>30317.796610169495</v>
      </c>
    </row>
    <row r="13" spans="1:13" ht="13.5" customHeight="1">
      <c r="A13" s="47"/>
      <c r="B13" s="47"/>
      <c r="C13" s="282" t="s">
        <v>49</v>
      </c>
      <c r="D13" s="47"/>
      <c r="E13" s="108"/>
      <c r="F13" s="108"/>
      <c r="G13" s="108"/>
      <c r="H13" s="161">
        <f>SUM(H9:H12)</f>
        <v>30317.796610169495</v>
      </c>
      <c r="I13" s="161"/>
      <c r="J13" s="161">
        <f>SUM(J9:J12)</f>
        <v>2000</v>
      </c>
      <c r="K13" s="161"/>
      <c r="L13" s="161"/>
      <c r="M13" s="161">
        <f>SUM(M9:M12)</f>
        <v>32317.796610169495</v>
      </c>
    </row>
    <row r="14" spans="1:13" ht="16.5" customHeight="1">
      <c r="A14" s="47"/>
      <c r="B14" s="392"/>
      <c r="C14" s="393" t="s">
        <v>303</v>
      </c>
      <c r="D14" s="283"/>
      <c r="E14" s="108"/>
      <c r="F14" s="108"/>
      <c r="G14" s="108"/>
      <c r="H14" s="108"/>
      <c r="I14" s="108"/>
      <c r="J14" s="108"/>
      <c r="K14" s="108"/>
      <c r="L14" s="108"/>
      <c r="M14" s="108"/>
    </row>
    <row r="15" spans="1:13" ht="16.5" customHeight="1">
      <c r="A15" s="47"/>
      <c r="B15" s="392"/>
      <c r="C15" s="38" t="s">
        <v>304</v>
      </c>
      <c r="D15" s="283"/>
      <c r="E15" s="108"/>
      <c r="F15" s="108"/>
      <c r="G15" s="108"/>
      <c r="H15" s="108">
        <f>M15</f>
        <v>30317.796610169495</v>
      </c>
      <c r="I15" s="108"/>
      <c r="J15" s="108"/>
      <c r="K15" s="108"/>
      <c r="L15" s="108"/>
      <c r="M15" s="108">
        <f>M12</f>
        <v>30317.796610169495</v>
      </c>
    </row>
    <row r="16" spans="1:13" ht="30.75" customHeight="1">
      <c r="A16" s="47"/>
      <c r="B16" s="392"/>
      <c r="C16" s="46" t="s">
        <v>400</v>
      </c>
      <c r="D16" s="394">
        <v>0.68</v>
      </c>
      <c r="E16" s="108"/>
      <c r="F16" s="108"/>
      <c r="G16" s="108"/>
      <c r="H16" s="108"/>
      <c r="I16" s="108"/>
      <c r="J16" s="108">
        <f>M16</f>
        <v>1360</v>
      </c>
      <c r="K16" s="108"/>
      <c r="L16" s="108"/>
      <c r="M16" s="108">
        <f>J13*D16</f>
        <v>1360</v>
      </c>
    </row>
    <row r="17" spans="1:13" ht="16.5" customHeight="1">
      <c r="A17" s="47"/>
      <c r="B17" s="392"/>
      <c r="C17" s="298" t="s">
        <v>102</v>
      </c>
      <c r="D17" s="283"/>
      <c r="E17" s="108"/>
      <c r="F17" s="108"/>
      <c r="G17" s="108"/>
      <c r="H17" s="108">
        <f>H13+H16</f>
        <v>30317.796610169495</v>
      </c>
      <c r="I17" s="108"/>
      <c r="J17" s="108">
        <f>J13+J16</f>
        <v>3360</v>
      </c>
      <c r="K17" s="108"/>
      <c r="L17" s="108"/>
      <c r="M17" s="108">
        <f>M13+M16</f>
        <v>33677.79661016949</v>
      </c>
    </row>
    <row r="18" spans="1:13" ht="15.75" customHeight="1">
      <c r="A18" s="284"/>
      <c r="B18" s="126"/>
      <c r="C18" s="38" t="s">
        <v>187</v>
      </c>
      <c r="D18" s="81">
        <v>0.08</v>
      </c>
      <c r="E18" s="108"/>
      <c r="F18" s="108"/>
      <c r="G18" s="108"/>
      <c r="H18" s="108"/>
      <c r="I18" s="108"/>
      <c r="J18" s="108">
        <f>M18</f>
        <v>268.7999999999997</v>
      </c>
      <c r="K18" s="108"/>
      <c r="L18" s="108"/>
      <c r="M18" s="108">
        <f>(M17-M15)*D18</f>
        <v>268.7999999999997</v>
      </c>
    </row>
    <row r="19" spans="1:13" ht="16.5" customHeight="1">
      <c r="A19" s="47"/>
      <c r="B19" s="126"/>
      <c r="C19" s="48" t="s">
        <v>49</v>
      </c>
      <c r="D19" s="47"/>
      <c r="E19" s="108"/>
      <c r="F19" s="108"/>
      <c r="G19" s="108"/>
      <c r="H19" s="108">
        <f>H17+H18</f>
        <v>30317.796610169495</v>
      </c>
      <c r="I19" s="108"/>
      <c r="J19" s="108">
        <f>J17+J18</f>
        <v>3628.7999999999997</v>
      </c>
      <c r="K19" s="108"/>
      <c r="L19" s="108"/>
      <c r="M19" s="108">
        <f>M17+M18</f>
        <v>33946.596610169494</v>
      </c>
    </row>
    <row r="20" spans="1:13" s="395" customFormat="1" ht="15.75" customHeight="1">
      <c r="A20" s="47"/>
      <c r="B20" s="392"/>
      <c r="C20" s="393" t="s">
        <v>303</v>
      </c>
      <c r="D20" s="283"/>
      <c r="E20" s="108"/>
      <c r="F20" s="108"/>
      <c r="G20" s="108"/>
      <c r="H20" s="161"/>
      <c r="I20" s="161"/>
      <c r="J20" s="161"/>
      <c r="K20" s="161"/>
      <c r="L20" s="161"/>
      <c r="M20" s="161"/>
    </row>
    <row r="21" spans="1:13" s="395" customFormat="1" ht="17.25" customHeight="1">
      <c r="A21" s="47"/>
      <c r="B21" s="392"/>
      <c r="C21" s="38" t="s">
        <v>304</v>
      </c>
      <c r="D21" s="283"/>
      <c r="E21" s="108"/>
      <c r="F21" s="108"/>
      <c r="G21" s="108"/>
      <c r="H21" s="108"/>
      <c r="I21" s="108"/>
      <c r="J21" s="108"/>
      <c r="K21" s="108"/>
      <c r="L21" s="108"/>
      <c r="M21" s="108">
        <f>M15</f>
        <v>30317.796610169495</v>
      </c>
    </row>
    <row r="22" spans="1:13" s="395" customFormat="1" ht="18.75" customHeight="1">
      <c r="A22" s="47"/>
      <c r="B22" s="392"/>
      <c r="C22" s="38" t="s">
        <v>872</v>
      </c>
      <c r="D22" s="283"/>
      <c r="E22" s="108"/>
      <c r="F22" s="108"/>
      <c r="G22" s="108"/>
      <c r="H22" s="272"/>
      <c r="I22" s="108"/>
      <c r="J22" s="108"/>
      <c r="K22" s="108"/>
      <c r="L22" s="108"/>
      <c r="M22" s="108">
        <f>M19-M21</f>
        <v>3628.7999999999993</v>
      </c>
    </row>
    <row r="23" spans="1:13" s="395" customFormat="1" ht="21.75" customHeight="1">
      <c r="A23" s="22"/>
      <c r="B23" s="492" t="s">
        <v>58</v>
      </c>
      <c r="C23" s="551"/>
      <c r="D23" s="22"/>
      <c r="E23" s="492" t="s">
        <v>482</v>
      </c>
      <c r="F23" s="492"/>
      <c r="G23" s="492"/>
      <c r="H23" s="492"/>
      <c r="I23" s="492"/>
      <c r="J23" s="541"/>
      <c r="K23" s="22"/>
      <c r="L23" s="22"/>
      <c r="M23" s="22"/>
    </row>
    <row r="24" spans="3:9" ht="12.75">
      <c r="C24" s="397"/>
      <c r="D24" s="397"/>
      <c r="E24" s="397"/>
      <c r="F24" s="397"/>
      <c r="G24" s="397"/>
      <c r="H24" s="397"/>
      <c r="I24" s="397"/>
    </row>
    <row r="25" spans="1:13" s="22" customFormat="1" ht="13.5">
      <c r="A25" s="146"/>
      <c r="B25" s="268"/>
      <c r="C25" s="458" t="s">
        <v>891</v>
      </c>
      <c r="D25" s="268"/>
      <c r="E25" s="492" t="s">
        <v>890</v>
      </c>
      <c r="F25" s="492"/>
      <c r="G25" s="492"/>
      <c r="H25" s="492"/>
      <c r="I25" s="492"/>
      <c r="J25" s="492"/>
      <c r="K25" s="268"/>
      <c r="L25" s="268"/>
      <c r="M25" s="268"/>
    </row>
    <row r="26" spans="3:9" ht="12.75">
      <c r="C26" s="397"/>
      <c r="D26" s="397"/>
      <c r="E26" s="397"/>
      <c r="F26" s="397"/>
      <c r="G26" s="397"/>
      <c r="H26" s="397"/>
      <c r="I26" s="397"/>
    </row>
    <row r="27" spans="3:9" ht="12.75">
      <c r="C27" s="397"/>
      <c r="D27" s="397"/>
      <c r="E27" s="397"/>
      <c r="F27" s="397"/>
      <c r="G27" s="397"/>
      <c r="H27" s="397"/>
      <c r="I27" s="397"/>
    </row>
    <row r="28" spans="3:9" ht="12.75">
      <c r="C28" s="397"/>
      <c r="D28" s="397"/>
      <c r="E28" s="397"/>
      <c r="F28" s="397"/>
      <c r="G28" s="397"/>
      <c r="H28" s="397"/>
      <c r="I28" s="397"/>
    </row>
    <row r="29" spans="3:9" ht="12.75">
      <c r="C29" s="397"/>
      <c r="D29" s="397"/>
      <c r="E29" s="397"/>
      <c r="F29" s="397"/>
      <c r="G29" s="397"/>
      <c r="H29" s="397"/>
      <c r="I29" s="397"/>
    </row>
    <row r="30" spans="3:9" ht="12.75">
      <c r="C30" s="397"/>
      <c r="D30" s="397"/>
      <c r="E30" s="397"/>
      <c r="F30" s="397"/>
      <c r="G30" s="397"/>
      <c r="H30" s="397"/>
      <c r="I30" s="397"/>
    </row>
    <row r="31" spans="3:9" ht="12.75">
      <c r="C31" s="397"/>
      <c r="D31" s="397"/>
      <c r="E31" s="397"/>
      <c r="F31" s="397"/>
      <c r="G31" s="397"/>
      <c r="H31" s="397"/>
      <c r="I31" s="397"/>
    </row>
    <row r="32" spans="3:9" ht="12.75">
      <c r="C32" s="397"/>
      <c r="D32" s="397"/>
      <c r="E32" s="397"/>
      <c r="F32" s="397"/>
      <c r="G32" s="397"/>
      <c r="H32" s="397"/>
      <c r="I32" s="397"/>
    </row>
    <row r="33" spans="3:9" ht="12.75">
      <c r="C33" s="397"/>
      <c r="D33" s="397"/>
      <c r="E33" s="397"/>
      <c r="F33" s="397"/>
      <c r="G33" s="397"/>
      <c r="H33" s="397"/>
      <c r="I33" s="397"/>
    </row>
    <row r="34" spans="3:9" ht="12.75">
      <c r="C34" s="397"/>
      <c r="D34" s="397"/>
      <c r="E34" s="397"/>
      <c r="F34" s="397"/>
      <c r="G34" s="397"/>
      <c r="H34" s="397"/>
      <c r="I34" s="397"/>
    </row>
    <row r="35" spans="3:9" ht="12.75">
      <c r="C35" s="397"/>
      <c r="D35" s="397"/>
      <c r="E35" s="397"/>
      <c r="F35" s="397"/>
      <c r="G35" s="397"/>
      <c r="H35" s="397"/>
      <c r="I35" s="397"/>
    </row>
    <row r="36" spans="3:9" ht="12.75">
      <c r="C36" s="397"/>
      <c r="D36" s="397"/>
      <c r="E36" s="397"/>
      <c r="F36" s="397"/>
      <c r="G36" s="397"/>
      <c r="H36" s="397"/>
      <c r="I36" s="397"/>
    </row>
    <row r="37" spans="3:9" ht="12.75">
      <c r="C37" s="397"/>
      <c r="D37" s="397"/>
      <c r="E37" s="397"/>
      <c r="F37" s="397"/>
      <c r="G37" s="397"/>
      <c r="H37" s="397"/>
      <c r="I37" s="397"/>
    </row>
    <row r="38" spans="3:9" ht="12.75">
      <c r="C38" s="397"/>
      <c r="D38" s="397"/>
      <c r="E38" s="397"/>
      <c r="F38" s="397"/>
      <c r="G38" s="397"/>
      <c r="H38" s="397"/>
      <c r="I38" s="397"/>
    </row>
    <row r="39" spans="3:9" ht="12.75">
      <c r="C39" s="397"/>
      <c r="D39" s="397"/>
      <c r="E39" s="397"/>
      <c r="F39" s="397"/>
      <c r="G39" s="397"/>
      <c r="H39" s="397"/>
      <c r="I39" s="397"/>
    </row>
    <row r="40" spans="3:9" ht="12.75">
      <c r="C40" s="397"/>
      <c r="D40" s="397"/>
      <c r="E40" s="397"/>
      <c r="F40" s="397"/>
      <c r="G40" s="397"/>
      <c r="H40" s="397"/>
      <c r="I40" s="397"/>
    </row>
    <row r="41" spans="3:9" ht="12.75">
      <c r="C41" s="397"/>
      <c r="D41" s="397"/>
      <c r="E41" s="397"/>
      <c r="F41" s="397"/>
      <c r="G41" s="397"/>
      <c r="H41" s="397"/>
      <c r="I41" s="397"/>
    </row>
    <row r="42" spans="3:9" ht="12.75">
      <c r="C42" s="397"/>
      <c r="D42" s="397"/>
      <c r="E42" s="397"/>
      <c r="F42" s="397"/>
      <c r="G42" s="397"/>
      <c r="H42" s="397"/>
      <c r="I42" s="397"/>
    </row>
    <row r="43" spans="3:9" ht="12.75">
      <c r="C43" s="397"/>
      <c r="D43" s="397"/>
      <c r="E43" s="397"/>
      <c r="F43" s="397"/>
      <c r="G43" s="397"/>
      <c r="H43" s="397"/>
      <c r="I43" s="397"/>
    </row>
    <row r="44" spans="3:9" ht="12.75">
      <c r="C44" s="397"/>
      <c r="D44" s="397"/>
      <c r="E44" s="397"/>
      <c r="F44" s="397"/>
      <c r="G44" s="397"/>
      <c r="H44" s="397"/>
      <c r="I44" s="397"/>
    </row>
    <row r="45" spans="3:9" ht="12.75">
      <c r="C45" s="397"/>
      <c r="D45" s="397"/>
      <c r="E45" s="397"/>
      <c r="F45" s="397"/>
      <c r="G45" s="397"/>
      <c r="H45" s="397"/>
      <c r="I45" s="397"/>
    </row>
    <row r="46" spans="3:9" ht="12.75">
      <c r="C46" s="397"/>
      <c r="D46" s="397"/>
      <c r="E46" s="397"/>
      <c r="F46" s="397"/>
      <c r="G46" s="397"/>
      <c r="H46" s="397"/>
      <c r="I46" s="397"/>
    </row>
    <row r="47" spans="3:9" ht="12.75">
      <c r="C47" s="397"/>
      <c r="D47" s="397"/>
      <c r="E47" s="397"/>
      <c r="F47" s="397"/>
      <c r="G47" s="397"/>
      <c r="H47" s="397"/>
      <c r="I47" s="397"/>
    </row>
    <row r="48" spans="3:9" ht="12.75">
      <c r="C48" s="397"/>
      <c r="D48" s="397"/>
      <c r="E48" s="397"/>
      <c r="F48" s="397"/>
      <c r="G48" s="397"/>
      <c r="H48" s="397"/>
      <c r="I48" s="397"/>
    </row>
    <row r="49" spans="3:9" ht="12.75">
      <c r="C49" s="397"/>
      <c r="D49" s="397"/>
      <c r="E49" s="397"/>
      <c r="F49" s="397"/>
      <c r="G49" s="397"/>
      <c r="H49" s="397"/>
      <c r="I49" s="397"/>
    </row>
    <row r="50" spans="3:9" ht="12.75">
      <c r="C50" s="397"/>
      <c r="D50" s="397"/>
      <c r="E50" s="397"/>
      <c r="F50" s="397"/>
      <c r="G50" s="397"/>
      <c r="H50" s="397"/>
      <c r="I50" s="397"/>
    </row>
    <row r="51" spans="3:9" ht="12.75">
      <c r="C51" s="397"/>
      <c r="D51" s="397"/>
      <c r="E51" s="397"/>
      <c r="F51" s="397"/>
      <c r="G51" s="397"/>
      <c r="H51" s="397"/>
      <c r="I51" s="397"/>
    </row>
    <row r="52" spans="3:9" ht="12.75">
      <c r="C52" s="397"/>
      <c r="D52" s="397"/>
      <c r="E52" s="397"/>
      <c r="F52" s="397"/>
      <c r="G52" s="397"/>
      <c r="H52" s="397"/>
      <c r="I52" s="397"/>
    </row>
    <row r="53" spans="3:9" ht="12.75">
      <c r="C53" s="397"/>
      <c r="D53" s="397"/>
      <c r="E53" s="397"/>
      <c r="F53" s="397"/>
      <c r="G53" s="397"/>
      <c r="H53" s="397"/>
      <c r="I53" s="397"/>
    </row>
    <row r="54" spans="3:9" ht="12.75">
      <c r="C54" s="397"/>
      <c r="D54" s="397"/>
      <c r="E54" s="397"/>
      <c r="F54" s="397"/>
      <c r="G54" s="397"/>
      <c r="H54" s="397"/>
      <c r="I54" s="397"/>
    </row>
    <row r="55" spans="3:9" ht="12.75">
      <c r="C55" s="397"/>
      <c r="D55" s="397"/>
      <c r="E55" s="397"/>
      <c r="F55" s="397"/>
      <c r="G55" s="397"/>
      <c r="H55" s="397"/>
      <c r="I55" s="397"/>
    </row>
    <row r="56" spans="3:9" ht="12.75">
      <c r="C56" s="397"/>
      <c r="D56" s="397"/>
      <c r="E56" s="397"/>
      <c r="F56" s="397"/>
      <c r="G56" s="397"/>
      <c r="H56" s="397"/>
      <c r="I56" s="397"/>
    </row>
    <row r="57" spans="3:9" ht="12.75">
      <c r="C57" s="397"/>
      <c r="D57" s="397"/>
      <c r="E57" s="397"/>
      <c r="F57" s="397"/>
      <c r="G57" s="397"/>
      <c r="H57" s="397"/>
      <c r="I57" s="397"/>
    </row>
    <row r="58" spans="3:9" ht="12.75">
      <c r="C58" s="397"/>
      <c r="D58" s="397"/>
      <c r="E58" s="397"/>
      <c r="F58" s="397"/>
      <c r="G58" s="397"/>
      <c r="H58" s="397"/>
      <c r="I58" s="397"/>
    </row>
    <row r="59" spans="3:9" ht="12.75">
      <c r="C59" s="397"/>
      <c r="D59" s="397"/>
      <c r="E59" s="397"/>
      <c r="F59" s="397"/>
      <c r="G59" s="397"/>
      <c r="H59" s="397"/>
      <c r="I59" s="397"/>
    </row>
    <row r="60" spans="3:9" ht="12.75">
      <c r="C60" s="397"/>
      <c r="D60" s="397"/>
      <c r="E60" s="397"/>
      <c r="F60" s="397"/>
      <c r="G60" s="397"/>
      <c r="H60" s="397"/>
      <c r="I60" s="397"/>
    </row>
    <row r="61" spans="3:9" ht="12.75">
      <c r="C61" s="397"/>
      <c r="D61" s="397"/>
      <c r="E61" s="397"/>
      <c r="F61" s="397"/>
      <c r="G61" s="397"/>
      <c r="H61" s="397"/>
      <c r="I61" s="397"/>
    </row>
    <row r="62" spans="3:9" ht="12.75">
      <c r="C62" s="397"/>
      <c r="D62" s="397"/>
      <c r="E62" s="397"/>
      <c r="F62" s="397"/>
      <c r="G62" s="397"/>
      <c r="H62" s="397"/>
      <c r="I62" s="397"/>
    </row>
    <row r="63" spans="3:9" ht="12.75">
      <c r="C63" s="397"/>
      <c r="D63" s="397"/>
      <c r="E63" s="397"/>
      <c r="F63" s="397"/>
      <c r="G63" s="397"/>
      <c r="H63" s="397"/>
      <c r="I63" s="397"/>
    </row>
    <row r="64" spans="3:9" ht="12.75">
      <c r="C64" s="397"/>
      <c r="D64" s="397"/>
      <c r="E64" s="397"/>
      <c r="F64" s="397"/>
      <c r="G64" s="397"/>
      <c r="H64" s="397"/>
      <c r="I64" s="397"/>
    </row>
    <row r="65" spans="3:9" ht="12.75">
      <c r="C65" s="397"/>
      <c r="D65" s="397"/>
      <c r="E65" s="397"/>
      <c r="F65" s="397"/>
      <c r="G65" s="397"/>
      <c r="H65" s="397"/>
      <c r="I65" s="397"/>
    </row>
    <row r="66" spans="3:9" ht="12.75">
      <c r="C66" s="397"/>
      <c r="D66" s="397"/>
      <c r="E66" s="397"/>
      <c r="F66" s="397"/>
      <c r="G66" s="397"/>
      <c r="H66" s="397"/>
      <c r="I66" s="397"/>
    </row>
    <row r="67" spans="3:9" ht="12.75">
      <c r="C67" s="397"/>
      <c r="D67" s="397"/>
      <c r="E67" s="397"/>
      <c r="F67" s="397"/>
      <c r="G67" s="397"/>
      <c r="H67" s="397"/>
      <c r="I67" s="397"/>
    </row>
    <row r="68" spans="3:9" ht="12.75">
      <c r="C68" s="397"/>
      <c r="D68" s="397"/>
      <c r="E68" s="397"/>
      <c r="F68" s="397"/>
      <c r="G68" s="397"/>
      <c r="H68" s="397"/>
      <c r="I68" s="397"/>
    </row>
    <row r="69" spans="3:9" ht="12.75">
      <c r="C69" s="397"/>
      <c r="D69" s="397"/>
      <c r="E69" s="397"/>
      <c r="F69" s="397"/>
      <c r="G69" s="397"/>
      <c r="H69" s="397"/>
      <c r="I69" s="397"/>
    </row>
    <row r="70" spans="3:9" ht="12.75">
      <c r="C70" s="397"/>
      <c r="D70" s="397"/>
      <c r="E70" s="397"/>
      <c r="F70" s="397"/>
      <c r="G70" s="397"/>
      <c r="H70" s="397"/>
      <c r="I70" s="397"/>
    </row>
    <row r="71" spans="3:9" ht="12.75">
      <c r="C71" s="397"/>
      <c r="D71" s="397"/>
      <c r="E71" s="397"/>
      <c r="F71" s="397"/>
      <c r="G71" s="397"/>
      <c r="H71" s="397"/>
      <c r="I71" s="397"/>
    </row>
    <row r="72" spans="3:9" ht="12.75">
      <c r="C72" s="397"/>
      <c r="D72" s="397"/>
      <c r="E72" s="397"/>
      <c r="F72" s="397"/>
      <c r="G72" s="397"/>
      <c r="H72" s="397"/>
      <c r="I72" s="397"/>
    </row>
    <row r="73" spans="3:9" ht="12.75">
      <c r="C73" s="397"/>
      <c r="D73" s="397"/>
      <c r="E73" s="397"/>
      <c r="F73" s="397"/>
      <c r="G73" s="397"/>
      <c r="H73" s="397"/>
      <c r="I73" s="397"/>
    </row>
    <row r="74" spans="3:9" ht="12.75">
      <c r="C74" s="397"/>
      <c r="D74" s="397"/>
      <c r="E74" s="397"/>
      <c r="F74" s="397"/>
      <c r="G74" s="397"/>
      <c r="H74" s="397"/>
      <c r="I74" s="397"/>
    </row>
    <row r="75" spans="3:9" ht="12.75">
      <c r="C75" s="397"/>
      <c r="D75" s="397"/>
      <c r="E75" s="397"/>
      <c r="F75" s="397"/>
      <c r="G75" s="397"/>
      <c r="H75" s="397"/>
      <c r="I75" s="397"/>
    </row>
    <row r="76" spans="3:9" ht="12.75">
      <c r="C76" s="397"/>
      <c r="D76" s="397"/>
      <c r="E76" s="397"/>
      <c r="F76" s="397"/>
      <c r="G76" s="397"/>
      <c r="H76" s="397"/>
      <c r="I76" s="397"/>
    </row>
    <row r="77" spans="3:9" ht="12.75">
      <c r="C77" s="397"/>
      <c r="D77" s="397"/>
      <c r="E77" s="397"/>
      <c r="F77" s="397"/>
      <c r="G77" s="397"/>
      <c r="H77" s="397"/>
      <c r="I77" s="397"/>
    </row>
    <row r="78" spans="3:9" ht="12.75">
      <c r="C78" s="397"/>
      <c r="D78" s="397"/>
      <c r="E78" s="397"/>
      <c r="F78" s="397"/>
      <c r="G78" s="397"/>
      <c r="H78" s="397"/>
      <c r="I78" s="397"/>
    </row>
    <row r="79" spans="3:9" ht="12.75">
      <c r="C79" s="397"/>
      <c r="D79" s="397"/>
      <c r="E79" s="397"/>
      <c r="F79" s="397"/>
      <c r="G79" s="397"/>
      <c r="H79" s="397"/>
      <c r="I79" s="397"/>
    </row>
    <row r="80" spans="3:9" ht="12.75">
      <c r="C80" s="397"/>
      <c r="D80" s="397"/>
      <c r="E80" s="397"/>
      <c r="F80" s="397"/>
      <c r="G80" s="397"/>
      <c r="H80" s="397"/>
      <c r="I80" s="397"/>
    </row>
    <row r="81" spans="3:9" ht="12.75">
      <c r="C81" s="397"/>
      <c r="D81" s="397"/>
      <c r="E81" s="397"/>
      <c r="F81" s="397"/>
      <c r="G81" s="397"/>
      <c r="H81" s="397"/>
      <c r="I81" s="397"/>
    </row>
    <row r="82" spans="3:9" ht="12.75">
      <c r="C82" s="397"/>
      <c r="D82" s="397"/>
      <c r="E82" s="397"/>
      <c r="F82" s="397"/>
      <c r="G82" s="397"/>
      <c r="H82" s="397"/>
      <c r="I82" s="397"/>
    </row>
    <row r="83" spans="3:9" ht="12.75">
      <c r="C83" s="397"/>
      <c r="D83" s="397"/>
      <c r="E83" s="397"/>
      <c r="F83" s="397"/>
      <c r="G83" s="397"/>
      <c r="H83" s="397"/>
      <c r="I83" s="397"/>
    </row>
    <row r="84" spans="3:9" ht="12.75">
      <c r="C84" s="397"/>
      <c r="D84" s="397"/>
      <c r="E84" s="397"/>
      <c r="F84" s="397"/>
      <c r="G84" s="397"/>
      <c r="H84" s="397"/>
      <c r="I84" s="397"/>
    </row>
    <row r="85" spans="3:9" ht="12.75">
      <c r="C85" s="397"/>
      <c r="D85" s="397"/>
      <c r="E85" s="397"/>
      <c r="F85" s="397"/>
      <c r="G85" s="397"/>
      <c r="H85" s="397"/>
      <c r="I85" s="397"/>
    </row>
    <row r="86" spans="3:9" ht="12.75">
      <c r="C86" s="397"/>
      <c r="D86" s="397"/>
      <c r="E86" s="397"/>
      <c r="F86" s="397"/>
      <c r="G86" s="397"/>
      <c r="H86" s="397"/>
      <c r="I86" s="397"/>
    </row>
    <row r="87" spans="3:9" ht="12.75">
      <c r="C87" s="397"/>
      <c r="D87" s="397"/>
      <c r="E87" s="397"/>
      <c r="F87" s="397"/>
      <c r="G87" s="397"/>
      <c r="H87" s="397"/>
      <c r="I87" s="397"/>
    </row>
    <row r="88" spans="3:9" ht="12.75">
      <c r="C88" s="397"/>
      <c r="D88" s="397"/>
      <c r="E88" s="397"/>
      <c r="F88" s="397"/>
      <c r="G88" s="397"/>
      <c r="H88" s="397"/>
      <c r="I88" s="397"/>
    </row>
    <row r="89" spans="3:9" ht="12.75">
      <c r="C89" s="397"/>
      <c r="D89" s="397"/>
      <c r="E89" s="397"/>
      <c r="F89" s="397"/>
      <c r="G89" s="397"/>
      <c r="H89" s="397"/>
      <c r="I89" s="397"/>
    </row>
    <row r="90" spans="3:9" ht="12.75">
      <c r="C90" s="397"/>
      <c r="D90" s="397"/>
      <c r="E90" s="397"/>
      <c r="F90" s="397"/>
      <c r="G90" s="397"/>
      <c r="H90" s="397"/>
      <c r="I90" s="397"/>
    </row>
    <row r="91" spans="3:9" ht="12.75">
      <c r="C91" s="397"/>
      <c r="D91" s="397"/>
      <c r="E91" s="397"/>
      <c r="F91" s="397"/>
      <c r="G91" s="397"/>
      <c r="H91" s="397"/>
      <c r="I91" s="397"/>
    </row>
    <row r="92" spans="3:9" ht="12.75">
      <c r="C92" s="397"/>
      <c r="D92" s="397"/>
      <c r="E92" s="397"/>
      <c r="F92" s="397"/>
      <c r="G92" s="397"/>
      <c r="H92" s="397"/>
      <c r="I92" s="397"/>
    </row>
    <row r="93" spans="3:9" ht="12.75">
      <c r="C93" s="397"/>
      <c r="D93" s="397"/>
      <c r="E93" s="397"/>
      <c r="F93" s="397"/>
      <c r="G93" s="397"/>
      <c r="H93" s="397"/>
      <c r="I93" s="397"/>
    </row>
    <row r="94" spans="3:9" ht="12.75">
      <c r="C94" s="397"/>
      <c r="D94" s="397"/>
      <c r="E94" s="397"/>
      <c r="F94" s="397"/>
      <c r="G94" s="397"/>
      <c r="H94" s="397"/>
      <c r="I94" s="397"/>
    </row>
    <row r="95" spans="3:9" ht="12.75">
      <c r="C95" s="397"/>
      <c r="D95" s="397"/>
      <c r="E95" s="397"/>
      <c r="F95" s="397"/>
      <c r="G95" s="397"/>
      <c r="H95" s="397"/>
      <c r="I95" s="397"/>
    </row>
    <row r="96" spans="3:9" ht="12.75">
      <c r="C96" s="397"/>
      <c r="D96" s="397"/>
      <c r="E96" s="397"/>
      <c r="F96" s="397"/>
      <c r="G96" s="397"/>
      <c r="H96" s="397"/>
      <c r="I96" s="397"/>
    </row>
    <row r="97" spans="3:9" ht="12.75">
      <c r="C97" s="397"/>
      <c r="D97" s="397"/>
      <c r="E97" s="397"/>
      <c r="F97" s="397"/>
      <c r="G97" s="397"/>
      <c r="H97" s="397"/>
      <c r="I97" s="397"/>
    </row>
    <row r="98" spans="3:9" ht="12.75">
      <c r="C98" s="397"/>
      <c r="D98" s="397"/>
      <c r="E98" s="397"/>
      <c r="F98" s="397"/>
      <c r="G98" s="397"/>
      <c r="H98" s="397"/>
      <c r="I98" s="397"/>
    </row>
    <row r="99" spans="3:9" ht="12.75">
      <c r="C99" s="397"/>
      <c r="D99" s="397"/>
      <c r="E99" s="397"/>
      <c r="F99" s="397"/>
      <c r="G99" s="397"/>
      <c r="H99" s="397"/>
      <c r="I99" s="397"/>
    </row>
    <row r="100" spans="3:9" ht="12.75">
      <c r="C100" s="397"/>
      <c r="D100" s="397"/>
      <c r="E100" s="397"/>
      <c r="F100" s="397"/>
      <c r="G100" s="397"/>
      <c r="H100" s="397"/>
      <c r="I100" s="397"/>
    </row>
    <row r="101" spans="3:9" ht="12.75">
      <c r="C101" s="397"/>
      <c r="D101" s="397"/>
      <c r="E101" s="397"/>
      <c r="F101" s="397"/>
      <c r="G101" s="397"/>
      <c r="H101" s="397"/>
      <c r="I101" s="397"/>
    </row>
    <row r="102" spans="3:9" ht="12.75">
      <c r="C102" s="397"/>
      <c r="D102" s="397"/>
      <c r="E102" s="397"/>
      <c r="F102" s="397"/>
      <c r="G102" s="397"/>
      <c r="H102" s="397"/>
      <c r="I102" s="397"/>
    </row>
    <row r="103" spans="3:9" ht="12.75">
      <c r="C103" s="397"/>
      <c r="D103" s="397"/>
      <c r="E103" s="397"/>
      <c r="F103" s="397"/>
      <c r="G103" s="397"/>
      <c r="H103" s="397"/>
      <c r="I103" s="397"/>
    </row>
    <row r="104" spans="3:9" ht="12.75">
      <c r="C104" s="397"/>
      <c r="D104" s="397"/>
      <c r="E104" s="397"/>
      <c r="F104" s="397"/>
      <c r="G104" s="397"/>
      <c r="H104" s="397"/>
      <c r="I104" s="397"/>
    </row>
    <row r="105" spans="3:9" ht="12.75">
      <c r="C105" s="397"/>
      <c r="D105" s="397"/>
      <c r="E105" s="397"/>
      <c r="F105" s="397"/>
      <c r="G105" s="397"/>
      <c r="H105" s="397"/>
      <c r="I105" s="397"/>
    </row>
    <row r="106" spans="3:9" ht="12.75">
      <c r="C106" s="397"/>
      <c r="D106" s="397"/>
      <c r="E106" s="397"/>
      <c r="F106" s="397"/>
      <c r="G106" s="397"/>
      <c r="H106" s="397"/>
      <c r="I106" s="397"/>
    </row>
    <row r="107" spans="3:9" ht="12.75">
      <c r="C107" s="397"/>
      <c r="D107" s="397"/>
      <c r="E107" s="397"/>
      <c r="F107" s="397"/>
      <c r="G107" s="397"/>
      <c r="H107" s="397"/>
      <c r="I107" s="397"/>
    </row>
    <row r="108" spans="3:9" ht="12.75">
      <c r="C108" s="397"/>
      <c r="D108" s="397"/>
      <c r="E108" s="397"/>
      <c r="F108" s="397"/>
      <c r="G108" s="397"/>
      <c r="H108" s="397"/>
      <c r="I108" s="397"/>
    </row>
    <row r="109" spans="3:9" ht="12.75">
      <c r="C109" s="397"/>
      <c r="D109" s="397"/>
      <c r="E109" s="397"/>
      <c r="F109" s="397"/>
      <c r="G109" s="397"/>
      <c r="H109" s="397"/>
      <c r="I109" s="397"/>
    </row>
    <row r="110" spans="3:9" ht="12.75">
      <c r="C110" s="397"/>
      <c r="D110" s="397"/>
      <c r="E110" s="397"/>
      <c r="F110" s="397"/>
      <c r="G110" s="397"/>
      <c r="H110" s="397"/>
      <c r="I110" s="397"/>
    </row>
    <row r="111" spans="3:9" ht="12.75">
      <c r="C111" s="397"/>
      <c r="D111" s="397"/>
      <c r="E111" s="397"/>
      <c r="F111" s="397"/>
      <c r="G111" s="397"/>
      <c r="H111" s="397"/>
      <c r="I111" s="397"/>
    </row>
    <row r="112" spans="3:9" ht="12.75">
      <c r="C112" s="397"/>
      <c r="D112" s="397"/>
      <c r="E112" s="397"/>
      <c r="F112" s="397"/>
      <c r="G112" s="397"/>
      <c r="H112" s="397"/>
      <c r="I112" s="397"/>
    </row>
    <row r="113" spans="3:9" ht="12.75">
      <c r="C113" s="397"/>
      <c r="D113" s="397"/>
      <c r="E113" s="397"/>
      <c r="F113" s="397"/>
      <c r="G113" s="397"/>
      <c r="H113" s="397"/>
      <c r="I113" s="397"/>
    </row>
    <row r="114" spans="3:9" ht="12.75">
      <c r="C114" s="397"/>
      <c r="D114" s="397"/>
      <c r="E114" s="397"/>
      <c r="F114" s="397"/>
      <c r="G114" s="397"/>
      <c r="H114" s="397"/>
      <c r="I114" s="397"/>
    </row>
    <row r="115" spans="3:9" ht="12.75">
      <c r="C115" s="397"/>
      <c r="D115" s="397"/>
      <c r="E115" s="397"/>
      <c r="F115" s="397"/>
      <c r="G115" s="397"/>
      <c r="H115" s="397"/>
      <c r="I115" s="397"/>
    </row>
    <row r="116" spans="3:9" ht="12.75">
      <c r="C116" s="397"/>
      <c r="D116" s="397"/>
      <c r="E116" s="397"/>
      <c r="F116" s="397"/>
      <c r="G116" s="397"/>
      <c r="H116" s="397"/>
      <c r="I116" s="397"/>
    </row>
    <row r="117" spans="3:9" ht="12.75">
      <c r="C117" s="397"/>
      <c r="D117" s="397"/>
      <c r="E117" s="397"/>
      <c r="F117" s="397"/>
      <c r="G117" s="397"/>
      <c r="H117" s="397"/>
      <c r="I117" s="397"/>
    </row>
    <row r="118" spans="3:9" ht="12.75">
      <c r="C118" s="397"/>
      <c r="D118" s="397"/>
      <c r="E118" s="397"/>
      <c r="F118" s="397"/>
      <c r="G118" s="397"/>
      <c r="H118" s="397"/>
      <c r="I118" s="397"/>
    </row>
    <row r="119" spans="3:9" ht="12.75">
      <c r="C119" s="397"/>
      <c r="D119" s="397"/>
      <c r="E119" s="397"/>
      <c r="F119" s="397"/>
      <c r="G119" s="397"/>
      <c r="H119" s="397"/>
      <c r="I119" s="397"/>
    </row>
    <row r="120" spans="3:9" ht="12.75">
      <c r="C120" s="397"/>
      <c r="D120" s="397"/>
      <c r="E120" s="397"/>
      <c r="F120" s="397"/>
      <c r="G120" s="397"/>
      <c r="H120" s="397"/>
      <c r="I120" s="397"/>
    </row>
    <row r="121" spans="3:9" ht="12.75">
      <c r="C121" s="397"/>
      <c r="D121" s="397"/>
      <c r="E121" s="397"/>
      <c r="F121" s="397"/>
      <c r="G121" s="397"/>
      <c r="H121" s="397"/>
      <c r="I121" s="397"/>
    </row>
    <row r="122" spans="3:9" ht="12.75">
      <c r="C122" s="397"/>
      <c r="D122" s="397"/>
      <c r="E122" s="397"/>
      <c r="F122" s="397"/>
      <c r="G122" s="397"/>
      <c r="H122" s="397"/>
      <c r="I122" s="397"/>
    </row>
    <row r="123" spans="3:9" ht="12.75">
      <c r="C123" s="397"/>
      <c r="D123" s="397"/>
      <c r="E123" s="397"/>
      <c r="F123" s="397"/>
      <c r="G123" s="397"/>
      <c r="H123" s="397"/>
      <c r="I123" s="397"/>
    </row>
    <row r="124" spans="3:9" ht="12.75">
      <c r="C124" s="397"/>
      <c r="D124" s="397"/>
      <c r="E124" s="397"/>
      <c r="F124" s="397"/>
      <c r="G124" s="397"/>
      <c r="H124" s="397"/>
      <c r="I124" s="397"/>
    </row>
    <row r="125" spans="3:9" ht="12.75">
      <c r="C125" s="397"/>
      <c r="D125" s="397"/>
      <c r="E125" s="397"/>
      <c r="F125" s="397"/>
      <c r="G125" s="397"/>
      <c r="H125" s="397"/>
      <c r="I125" s="397"/>
    </row>
    <row r="126" spans="3:9" ht="12.75">
      <c r="C126" s="397"/>
      <c r="D126" s="397"/>
      <c r="E126" s="397"/>
      <c r="F126" s="397"/>
      <c r="G126" s="397"/>
      <c r="H126" s="397"/>
      <c r="I126" s="397"/>
    </row>
    <row r="127" spans="3:9" ht="12.75">
      <c r="C127" s="397"/>
      <c r="D127" s="397"/>
      <c r="E127" s="397"/>
      <c r="F127" s="397"/>
      <c r="G127" s="397"/>
      <c r="H127" s="397"/>
      <c r="I127" s="397"/>
    </row>
    <row r="128" spans="3:9" ht="12.75">
      <c r="C128" s="397"/>
      <c r="D128" s="397"/>
      <c r="E128" s="397"/>
      <c r="F128" s="397"/>
      <c r="G128" s="397"/>
      <c r="H128" s="397"/>
      <c r="I128" s="397"/>
    </row>
    <row r="129" spans="3:9" ht="12.75">
      <c r="C129" s="397"/>
      <c r="D129" s="397"/>
      <c r="E129" s="397"/>
      <c r="F129" s="397"/>
      <c r="G129" s="397"/>
      <c r="H129" s="397"/>
      <c r="I129" s="397"/>
    </row>
    <row r="130" spans="3:9" ht="12.75">
      <c r="C130" s="397"/>
      <c r="D130" s="397"/>
      <c r="E130" s="397"/>
      <c r="F130" s="397"/>
      <c r="G130" s="397"/>
      <c r="H130" s="397"/>
      <c r="I130" s="397"/>
    </row>
    <row r="131" spans="3:9" ht="12.75">
      <c r="C131" s="397"/>
      <c r="D131" s="397"/>
      <c r="E131" s="397"/>
      <c r="F131" s="397"/>
      <c r="G131" s="397"/>
      <c r="H131" s="397"/>
      <c r="I131" s="397"/>
    </row>
    <row r="132" spans="3:9" ht="12.75">
      <c r="C132" s="397"/>
      <c r="D132" s="397"/>
      <c r="E132" s="397"/>
      <c r="F132" s="397"/>
      <c r="G132" s="397"/>
      <c r="H132" s="397"/>
      <c r="I132" s="397"/>
    </row>
    <row r="133" spans="3:9" ht="12.75">
      <c r="C133" s="397"/>
      <c r="D133" s="397"/>
      <c r="E133" s="397"/>
      <c r="F133" s="397"/>
      <c r="G133" s="397"/>
      <c r="H133" s="397"/>
      <c r="I133" s="397"/>
    </row>
    <row r="134" spans="3:9" ht="12.75">
      <c r="C134" s="397"/>
      <c r="D134" s="397"/>
      <c r="E134" s="397"/>
      <c r="F134" s="397"/>
      <c r="G134" s="397"/>
      <c r="H134" s="397"/>
      <c r="I134" s="397"/>
    </row>
    <row r="135" spans="3:9" ht="12.75">
      <c r="C135" s="397"/>
      <c r="D135" s="397"/>
      <c r="E135" s="397"/>
      <c r="F135" s="397"/>
      <c r="G135" s="397"/>
      <c r="H135" s="397"/>
      <c r="I135" s="397"/>
    </row>
    <row r="136" spans="3:9" ht="12.75">
      <c r="C136" s="397"/>
      <c r="D136" s="397"/>
      <c r="E136" s="397"/>
      <c r="F136" s="397"/>
      <c r="G136" s="397"/>
      <c r="H136" s="397"/>
      <c r="I136" s="397"/>
    </row>
    <row r="137" spans="3:9" ht="12.75">
      <c r="C137" s="397"/>
      <c r="D137" s="397"/>
      <c r="E137" s="397"/>
      <c r="F137" s="397"/>
      <c r="G137" s="397"/>
      <c r="H137" s="397"/>
      <c r="I137" s="397"/>
    </row>
    <row r="138" spans="3:9" ht="12.75">
      <c r="C138" s="397"/>
      <c r="D138" s="397"/>
      <c r="E138" s="397"/>
      <c r="F138" s="397"/>
      <c r="G138" s="397"/>
      <c r="H138" s="397"/>
      <c r="I138" s="397"/>
    </row>
    <row r="139" spans="3:9" ht="12.75">
      <c r="C139" s="397"/>
      <c r="D139" s="397"/>
      <c r="E139" s="397"/>
      <c r="F139" s="397"/>
      <c r="G139" s="397"/>
      <c r="H139" s="397"/>
      <c r="I139" s="397"/>
    </row>
    <row r="140" spans="3:9" ht="12.75">
      <c r="C140" s="397"/>
      <c r="D140" s="397"/>
      <c r="E140" s="397"/>
      <c r="F140" s="397"/>
      <c r="G140" s="397"/>
      <c r="H140" s="397"/>
      <c r="I140" s="397"/>
    </row>
    <row r="141" spans="3:9" ht="12.75">
      <c r="C141" s="397"/>
      <c r="D141" s="397"/>
      <c r="E141" s="397"/>
      <c r="F141" s="397"/>
      <c r="G141" s="397"/>
      <c r="H141" s="397"/>
      <c r="I141" s="397"/>
    </row>
    <row r="142" spans="3:9" ht="12.75">
      <c r="C142" s="397"/>
      <c r="D142" s="397"/>
      <c r="E142" s="397"/>
      <c r="F142" s="397"/>
      <c r="G142" s="397"/>
      <c r="H142" s="397"/>
      <c r="I142" s="397"/>
    </row>
    <row r="143" spans="3:9" ht="12.75">
      <c r="C143" s="397"/>
      <c r="D143" s="397"/>
      <c r="E143" s="397"/>
      <c r="F143" s="397"/>
      <c r="G143" s="397"/>
      <c r="H143" s="397"/>
      <c r="I143" s="397"/>
    </row>
    <row r="144" spans="3:9" ht="12.75">
      <c r="C144" s="397"/>
      <c r="D144" s="397"/>
      <c r="E144" s="397"/>
      <c r="F144" s="397"/>
      <c r="G144" s="397"/>
      <c r="H144" s="397"/>
      <c r="I144" s="397"/>
    </row>
    <row r="145" spans="3:9" ht="12.75">
      <c r="C145" s="397"/>
      <c r="D145" s="397"/>
      <c r="E145" s="397"/>
      <c r="F145" s="397"/>
      <c r="G145" s="397"/>
      <c r="H145" s="397"/>
      <c r="I145" s="397"/>
    </row>
    <row r="146" spans="3:9" ht="12.75">
      <c r="C146" s="397"/>
      <c r="D146" s="397"/>
      <c r="E146" s="397"/>
      <c r="F146" s="397"/>
      <c r="G146" s="397"/>
      <c r="H146" s="397"/>
      <c r="I146" s="397"/>
    </row>
    <row r="147" spans="3:9" ht="12.75">
      <c r="C147" s="397"/>
      <c r="D147" s="397"/>
      <c r="E147" s="397"/>
      <c r="F147" s="397"/>
      <c r="G147" s="397"/>
      <c r="H147" s="397"/>
      <c r="I147" s="397"/>
    </row>
    <row r="148" spans="3:9" ht="12.75">
      <c r="C148" s="397"/>
      <c r="D148" s="397"/>
      <c r="E148" s="397"/>
      <c r="F148" s="397"/>
      <c r="G148" s="397"/>
      <c r="H148" s="397"/>
      <c r="I148" s="397"/>
    </row>
    <row r="149" spans="3:9" ht="12.75">
      <c r="C149" s="397"/>
      <c r="D149" s="397"/>
      <c r="E149" s="397"/>
      <c r="F149" s="397"/>
      <c r="G149" s="397"/>
      <c r="H149" s="397"/>
      <c r="I149" s="397"/>
    </row>
    <row r="150" spans="3:9" ht="12.75">
      <c r="C150" s="397"/>
      <c r="D150" s="397"/>
      <c r="E150" s="397"/>
      <c r="F150" s="397"/>
      <c r="G150" s="397"/>
      <c r="H150" s="397"/>
      <c r="I150" s="397"/>
    </row>
    <row r="151" spans="3:9" ht="12.75">
      <c r="C151" s="397"/>
      <c r="D151" s="397"/>
      <c r="E151" s="397"/>
      <c r="F151" s="397"/>
      <c r="G151" s="397"/>
      <c r="H151" s="397"/>
      <c r="I151" s="397"/>
    </row>
    <row r="152" spans="3:9" ht="12.75">
      <c r="C152" s="397"/>
      <c r="D152" s="397"/>
      <c r="E152" s="397"/>
      <c r="F152" s="397"/>
      <c r="G152" s="397"/>
      <c r="H152" s="397"/>
      <c r="I152" s="397"/>
    </row>
    <row r="153" spans="3:9" ht="12.75">
      <c r="C153" s="397"/>
      <c r="D153" s="397"/>
      <c r="E153" s="397"/>
      <c r="F153" s="397"/>
      <c r="G153" s="397"/>
      <c r="H153" s="397"/>
      <c r="I153" s="397"/>
    </row>
    <row r="154" spans="3:9" ht="12.75">
      <c r="C154" s="397"/>
      <c r="D154" s="397"/>
      <c r="E154" s="397"/>
      <c r="F154" s="397"/>
      <c r="G154" s="397"/>
      <c r="H154" s="397"/>
      <c r="I154" s="397"/>
    </row>
    <row r="155" spans="3:9" ht="12.75">
      <c r="C155" s="397"/>
      <c r="D155" s="397"/>
      <c r="E155" s="397"/>
      <c r="F155" s="397"/>
      <c r="G155" s="397"/>
      <c r="H155" s="397"/>
      <c r="I155" s="397"/>
    </row>
    <row r="156" spans="3:9" ht="12.75">
      <c r="C156" s="397"/>
      <c r="D156" s="397"/>
      <c r="E156" s="397"/>
      <c r="F156" s="397"/>
      <c r="G156" s="397"/>
      <c r="H156" s="397"/>
      <c r="I156" s="397"/>
    </row>
    <row r="157" spans="3:9" ht="12.75">
      <c r="C157" s="397"/>
      <c r="D157" s="397"/>
      <c r="E157" s="397"/>
      <c r="F157" s="397"/>
      <c r="G157" s="397"/>
      <c r="H157" s="397"/>
      <c r="I157" s="397"/>
    </row>
    <row r="158" spans="3:9" ht="12.75">
      <c r="C158" s="397"/>
      <c r="D158" s="397"/>
      <c r="E158" s="397"/>
      <c r="F158" s="397"/>
      <c r="G158" s="397"/>
      <c r="H158" s="397"/>
      <c r="I158" s="397"/>
    </row>
    <row r="159" spans="3:9" ht="12.75">
      <c r="C159" s="397"/>
      <c r="D159" s="397"/>
      <c r="E159" s="397"/>
      <c r="F159" s="397"/>
      <c r="G159" s="397"/>
      <c r="H159" s="397"/>
      <c r="I159" s="397"/>
    </row>
    <row r="160" spans="3:9" ht="12.75">
      <c r="C160" s="397"/>
      <c r="D160" s="397"/>
      <c r="E160" s="397"/>
      <c r="F160" s="397"/>
      <c r="G160" s="397"/>
      <c r="H160" s="397"/>
      <c r="I160" s="397"/>
    </row>
    <row r="161" spans="3:9" ht="12.75">
      <c r="C161" s="397"/>
      <c r="D161" s="397"/>
      <c r="E161" s="397"/>
      <c r="F161" s="397"/>
      <c r="G161" s="397"/>
      <c r="H161" s="397"/>
      <c r="I161" s="397"/>
    </row>
    <row r="162" spans="3:9" ht="12.75">
      <c r="C162" s="397"/>
      <c r="D162" s="397"/>
      <c r="E162" s="397"/>
      <c r="F162" s="397"/>
      <c r="G162" s="397"/>
      <c r="H162" s="397"/>
      <c r="I162" s="397"/>
    </row>
    <row r="163" spans="3:9" ht="12.75">
      <c r="C163" s="397"/>
      <c r="D163" s="397"/>
      <c r="E163" s="397"/>
      <c r="F163" s="397"/>
      <c r="G163" s="397"/>
      <c r="H163" s="397"/>
      <c r="I163" s="397"/>
    </row>
    <row r="164" spans="3:9" ht="12.75">
      <c r="C164" s="397"/>
      <c r="D164" s="397"/>
      <c r="E164" s="397"/>
      <c r="F164" s="397"/>
      <c r="G164" s="397"/>
      <c r="H164" s="397"/>
      <c r="I164" s="397"/>
    </row>
    <row r="165" spans="3:9" ht="12.75">
      <c r="C165" s="397"/>
      <c r="D165" s="397"/>
      <c r="E165" s="397"/>
      <c r="F165" s="397"/>
      <c r="G165" s="397"/>
      <c r="H165" s="397"/>
      <c r="I165" s="397"/>
    </row>
    <row r="166" spans="3:9" ht="12.75">
      <c r="C166" s="397"/>
      <c r="D166" s="397"/>
      <c r="E166" s="397"/>
      <c r="F166" s="397"/>
      <c r="G166" s="397"/>
      <c r="H166" s="397"/>
      <c r="I166" s="397"/>
    </row>
    <row r="167" spans="3:9" ht="12.75">
      <c r="C167" s="397"/>
      <c r="D167" s="397"/>
      <c r="E167" s="397"/>
      <c r="F167" s="397"/>
      <c r="G167" s="397"/>
      <c r="H167" s="397"/>
      <c r="I167" s="397"/>
    </row>
    <row r="168" spans="3:9" ht="12.75">
      <c r="C168" s="397"/>
      <c r="D168" s="397"/>
      <c r="E168" s="397"/>
      <c r="F168" s="397"/>
      <c r="G168" s="397"/>
      <c r="H168" s="397"/>
      <c r="I168" s="397"/>
    </row>
    <row r="169" spans="3:9" ht="12.75">
      <c r="C169" s="397"/>
      <c r="D169" s="397"/>
      <c r="E169" s="397"/>
      <c r="F169" s="397"/>
      <c r="G169" s="397"/>
      <c r="H169" s="397"/>
      <c r="I169" s="397"/>
    </row>
    <row r="170" spans="3:9" ht="12.75">
      <c r="C170" s="397"/>
      <c r="D170" s="397"/>
      <c r="E170" s="397"/>
      <c r="F170" s="397"/>
      <c r="G170" s="397"/>
      <c r="H170" s="397"/>
      <c r="I170" s="397"/>
    </row>
    <row r="171" spans="3:9" ht="12.75">
      <c r="C171" s="397"/>
      <c r="D171" s="397"/>
      <c r="E171" s="397"/>
      <c r="F171" s="397"/>
      <c r="G171" s="397"/>
      <c r="H171" s="397"/>
      <c r="I171" s="397"/>
    </row>
    <row r="172" spans="3:9" ht="12.75">
      <c r="C172" s="397"/>
      <c r="D172" s="397"/>
      <c r="E172" s="397"/>
      <c r="F172" s="397"/>
      <c r="G172" s="397"/>
      <c r="H172" s="397"/>
      <c r="I172" s="397"/>
    </row>
    <row r="173" spans="3:9" ht="12.75">
      <c r="C173" s="397"/>
      <c r="D173" s="397"/>
      <c r="E173" s="397"/>
      <c r="F173" s="397"/>
      <c r="G173" s="397"/>
      <c r="H173" s="397"/>
      <c r="I173" s="397"/>
    </row>
    <row r="174" spans="3:9" ht="12.75">
      <c r="C174" s="397"/>
      <c r="D174" s="397"/>
      <c r="E174" s="397"/>
      <c r="F174" s="397"/>
      <c r="G174" s="397"/>
      <c r="H174" s="397"/>
      <c r="I174" s="397"/>
    </row>
    <row r="175" spans="3:9" ht="12.75">
      <c r="C175" s="397"/>
      <c r="D175" s="397"/>
      <c r="E175" s="397"/>
      <c r="F175" s="397"/>
      <c r="G175" s="397"/>
      <c r="H175" s="397"/>
      <c r="I175" s="397"/>
    </row>
    <row r="176" spans="3:9" ht="12.75">
      <c r="C176" s="397"/>
      <c r="D176" s="397"/>
      <c r="E176" s="397"/>
      <c r="F176" s="397"/>
      <c r="G176" s="397"/>
      <c r="H176" s="397"/>
      <c r="I176" s="397"/>
    </row>
    <row r="177" spans="3:9" ht="12.75">
      <c r="C177" s="397"/>
      <c r="D177" s="397"/>
      <c r="E177" s="397"/>
      <c r="F177" s="397"/>
      <c r="G177" s="397"/>
      <c r="H177" s="397"/>
      <c r="I177" s="397"/>
    </row>
    <row r="178" spans="3:9" ht="12.75">
      <c r="C178" s="397"/>
      <c r="D178" s="397"/>
      <c r="E178" s="397"/>
      <c r="F178" s="397"/>
      <c r="G178" s="397"/>
      <c r="H178" s="397"/>
      <c r="I178" s="397"/>
    </row>
    <row r="179" spans="3:9" ht="12.75">
      <c r="C179" s="397"/>
      <c r="D179" s="397"/>
      <c r="E179" s="397"/>
      <c r="F179" s="397"/>
      <c r="G179" s="397"/>
      <c r="H179" s="397"/>
      <c r="I179" s="397"/>
    </row>
    <row r="180" spans="3:9" ht="12.75">
      <c r="C180" s="397"/>
      <c r="D180" s="397"/>
      <c r="E180" s="397"/>
      <c r="F180" s="397"/>
      <c r="G180" s="397"/>
      <c r="H180" s="397"/>
      <c r="I180" s="397"/>
    </row>
    <row r="181" spans="3:9" ht="12.75">
      <c r="C181" s="397"/>
      <c r="D181" s="397"/>
      <c r="E181" s="397"/>
      <c r="F181" s="397"/>
      <c r="G181" s="397"/>
      <c r="H181" s="397"/>
      <c r="I181" s="397"/>
    </row>
    <row r="182" spans="3:9" ht="12.75">
      <c r="C182" s="397"/>
      <c r="D182" s="397"/>
      <c r="E182" s="397"/>
      <c r="F182" s="397"/>
      <c r="G182" s="397"/>
      <c r="H182" s="397"/>
      <c r="I182" s="397"/>
    </row>
    <row r="183" spans="3:9" ht="12.75">
      <c r="C183" s="397"/>
      <c r="D183" s="397"/>
      <c r="E183" s="397"/>
      <c r="F183" s="397"/>
      <c r="G183" s="397"/>
      <c r="H183" s="397"/>
      <c r="I183" s="397"/>
    </row>
    <row r="184" spans="3:9" ht="12.75">
      <c r="C184" s="397"/>
      <c r="D184" s="397"/>
      <c r="E184" s="397"/>
      <c r="F184" s="397"/>
      <c r="G184" s="397"/>
      <c r="H184" s="397"/>
      <c r="I184" s="397"/>
    </row>
    <row r="185" spans="3:9" ht="12.75">
      <c r="C185" s="397"/>
      <c r="D185" s="397"/>
      <c r="E185" s="397"/>
      <c r="F185" s="397"/>
      <c r="G185" s="397"/>
      <c r="H185" s="397"/>
      <c r="I185" s="397"/>
    </row>
    <row r="186" spans="3:9" ht="12.75">
      <c r="C186" s="397"/>
      <c r="D186" s="397"/>
      <c r="E186" s="397"/>
      <c r="F186" s="397"/>
      <c r="G186" s="397"/>
      <c r="H186" s="397"/>
      <c r="I186" s="397"/>
    </row>
    <row r="187" spans="3:9" ht="12.75">
      <c r="C187" s="397"/>
      <c r="D187" s="397"/>
      <c r="E187" s="397"/>
      <c r="F187" s="397"/>
      <c r="G187" s="397"/>
      <c r="H187" s="397"/>
      <c r="I187" s="397"/>
    </row>
    <row r="188" spans="3:9" ht="12.75">
      <c r="C188" s="397"/>
      <c r="D188" s="397"/>
      <c r="E188" s="397"/>
      <c r="F188" s="397"/>
      <c r="G188" s="397"/>
      <c r="H188" s="397"/>
      <c r="I188" s="397"/>
    </row>
    <row r="189" spans="3:9" ht="12.75">
      <c r="C189" s="397"/>
      <c r="D189" s="397"/>
      <c r="E189" s="397"/>
      <c r="F189" s="397"/>
      <c r="G189" s="397"/>
      <c r="H189" s="397"/>
      <c r="I189" s="397"/>
    </row>
    <row r="190" spans="3:9" ht="12.75">
      <c r="C190" s="397"/>
      <c r="D190" s="397"/>
      <c r="E190" s="397"/>
      <c r="F190" s="397"/>
      <c r="G190" s="397"/>
      <c r="H190" s="397"/>
      <c r="I190" s="397"/>
    </row>
    <row r="191" spans="3:9" ht="12.75">
      <c r="C191" s="397"/>
      <c r="D191" s="397"/>
      <c r="E191" s="397"/>
      <c r="F191" s="397"/>
      <c r="G191" s="397"/>
      <c r="H191" s="397"/>
      <c r="I191" s="397"/>
    </row>
    <row r="192" spans="3:9" ht="12.75">
      <c r="C192" s="397"/>
      <c r="D192" s="397"/>
      <c r="E192" s="397"/>
      <c r="F192" s="397"/>
      <c r="G192" s="397"/>
      <c r="H192" s="397"/>
      <c r="I192" s="397"/>
    </row>
    <row r="193" spans="3:9" ht="12.75">
      <c r="C193" s="397"/>
      <c r="D193" s="397"/>
      <c r="E193" s="397"/>
      <c r="F193" s="397"/>
      <c r="G193" s="397"/>
      <c r="H193" s="397"/>
      <c r="I193" s="397"/>
    </row>
  </sheetData>
  <sheetProtection/>
  <mergeCells count="20">
    <mergeCell ref="K6:L6"/>
    <mergeCell ref="A1:M1"/>
    <mergeCell ref="A2:M2"/>
    <mergeCell ref="A3:M3"/>
    <mergeCell ref="F4:I4"/>
    <mergeCell ref="J4:K4"/>
    <mergeCell ref="B5:C5"/>
    <mergeCell ref="G5:I5"/>
    <mergeCell ref="J5:K5"/>
    <mergeCell ref="M6:M7"/>
    <mergeCell ref="E25:J25"/>
    <mergeCell ref="B23:C23"/>
    <mergeCell ref="E23:J23"/>
    <mergeCell ref="A6:A7"/>
    <mergeCell ref="B6:B7"/>
    <mergeCell ref="C6:C7"/>
    <mergeCell ref="D6:D7"/>
    <mergeCell ref="E6:F6"/>
    <mergeCell ref="G6:H6"/>
    <mergeCell ref="I6:J6"/>
  </mergeCells>
  <printOptions horizontalCentered="1"/>
  <pageMargins left="0.45" right="0" top="0.5" bottom="0.5" header="0.3" footer="0.3"/>
  <pageSetup horizontalDpi="600" verticalDpi="600" orientation="landscape" r:id="rId1"/>
  <headerFooter>
    <oddHeader>&amp;Cსაგანმანათლებლო და სამეცნიერო ინფრასტრუქტურის განვითარების სააგენტო</oddHeader>
    <oddFooter>&amp;Lხარჯთაღრიცხვა&amp;R&amp;P/&amp;N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BI127"/>
  <sheetViews>
    <sheetView zoomScalePageLayoutView="0" workbookViewId="0" topLeftCell="A1">
      <pane ySplit="9" topLeftCell="A23" activePane="bottomLeft" state="frozen"/>
      <selection pane="topLeft" activeCell="A1" sqref="A1"/>
      <selection pane="bottomLeft" activeCell="J45" sqref="J45"/>
    </sheetView>
  </sheetViews>
  <sheetFormatPr defaultColWidth="9.00390625" defaultRowHeight="12.75"/>
  <cols>
    <col min="1" max="1" width="3.125" style="400" customWidth="1"/>
    <col min="2" max="2" width="7.375" style="268" customWidth="1"/>
    <col min="3" max="3" width="37.625" style="268" customWidth="1"/>
    <col min="4" max="4" width="8.00390625" style="268" customWidth="1"/>
    <col min="5" max="5" width="8.875" style="268" customWidth="1"/>
    <col min="6" max="6" width="8.125" style="401" customWidth="1"/>
    <col min="7" max="7" width="7.875" style="268" customWidth="1"/>
    <col min="8" max="8" width="15.00390625" style="268" customWidth="1"/>
    <col min="9" max="9" width="6.375" style="268" customWidth="1"/>
    <col min="10" max="10" width="10.75390625" style="268" customWidth="1"/>
    <col min="11" max="11" width="8.00390625" style="268" customWidth="1"/>
    <col min="12" max="12" width="10.75390625" style="268" customWidth="1"/>
    <col min="13" max="13" width="15.875" style="268" customWidth="1"/>
    <col min="14" max="16384" width="9.125" style="268" customWidth="1"/>
  </cols>
  <sheetData>
    <row r="1" spans="1:13" s="314" customFormat="1" ht="17.25" customHeight="1">
      <c r="A1" s="511" t="s">
        <v>894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</row>
    <row r="2" spans="1:13" ht="18.75" customHeight="1">
      <c r="A2" s="518" t="s">
        <v>738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</row>
    <row r="3" spans="1:13" ht="16.5">
      <c r="A3" s="555" t="s">
        <v>249</v>
      </c>
      <c r="B3" s="555"/>
      <c r="C3" s="555"/>
      <c r="D3" s="555"/>
      <c r="E3" s="555"/>
      <c r="F3" s="555"/>
      <c r="G3" s="555"/>
      <c r="H3" s="555"/>
      <c r="I3" s="555"/>
      <c r="J3" s="555"/>
      <c r="K3" s="555"/>
      <c r="L3" s="555"/>
      <c r="M3" s="555"/>
    </row>
    <row r="4" spans="2:12" s="317" customFormat="1" ht="13.5">
      <c r="B4" s="513" t="s">
        <v>428</v>
      </c>
      <c r="C4" s="514"/>
      <c r="D4" s="24"/>
      <c r="E4" s="24"/>
      <c r="F4" s="520" t="s">
        <v>184</v>
      </c>
      <c r="G4" s="520"/>
      <c r="H4" s="520"/>
      <c r="I4" s="520"/>
      <c r="J4" s="556">
        <f>M45</f>
        <v>19127.226384</v>
      </c>
      <c r="K4" s="556"/>
      <c r="L4" s="25" t="s">
        <v>43</v>
      </c>
    </row>
    <row r="5" spans="1:13" s="314" customFormat="1" ht="13.5">
      <c r="A5" s="319"/>
      <c r="B5" s="513" t="s">
        <v>876</v>
      </c>
      <c r="C5" s="514"/>
      <c r="D5" s="26"/>
      <c r="E5" s="26"/>
      <c r="F5" s="93"/>
      <c r="G5" s="531" t="s">
        <v>185</v>
      </c>
      <c r="H5" s="531"/>
      <c r="I5" s="531"/>
      <c r="J5" s="556">
        <f>J45</f>
        <v>1053.9828</v>
      </c>
      <c r="K5" s="556"/>
      <c r="L5" s="25" t="s">
        <v>43</v>
      </c>
      <c r="M5" s="317"/>
    </row>
    <row r="6" spans="1:13" s="317" customFormat="1" ht="13.5">
      <c r="A6" s="559" t="s">
        <v>106</v>
      </c>
      <c r="B6" s="562" t="s">
        <v>250</v>
      </c>
      <c r="C6" s="94"/>
      <c r="D6" s="565" t="s">
        <v>44</v>
      </c>
      <c r="E6" s="568" t="s">
        <v>251</v>
      </c>
      <c r="F6" s="569"/>
      <c r="G6" s="570" t="s">
        <v>46</v>
      </c>
      <c r="H6" s="571"/>
      <c r="I6" s="570" t="s">
        <v>47</v>
      </c>
      <c r="J6" s="571"/>
      <c r="K6" s="568" t="s">
        <v>252</v>
      </c>
      <c r="L6" s="569"/>
      <c r="M6" s="557" t="s">
        <v>49</v>
      </c>
    </row>
    <row r="7" spans="1:13" s="317" customFormat="1" ht="13.5">
      <c r="A7" s="560"/>
      <c r="B7" s="563"/>
      <c r="C7" s="95" t="s">
        <v>253</v>
      </c>
      <c r="D7" s="566"/>
      <c r="E7" s="575" t="s">
        <v>254</v>
      </c>
      <c r="F7" s="576"/>
      <c r="G7" s="572"/>
      <c r="H7" s="573"/>
      <c r="I7" s="572"/>
      <c r="J7" s="573"/>
      <c r="K7" s="575" t="s">
        <v>255</v>
      </c>
      <c r="L7" s="576"/>
      <c r="M7" s="574"/>
    </row>
    <row r="8" spans="1:13" s="317" customFormat="1" ht="13.5">
      <c r="A8" s="560"/>
      <c r="B8" s="563"/>
      <c r="C8" s="96" t="s">
        <v>256</v>
      </c>
      <c r="D8" s="566"/>
      <c r="E8" s="557" t="s">
        <v>257</v>
      </c>
      <c r="F8" s="577" t="s">
        <v>51</v>
      </c>
      <c r="G8" s="97" t="s">
        <v>258</v>
      </c>
      <c r="H8" s="557" t="s">
        <v>51</v>
      </c>
      <c r="I8" s="97" t="s">
        <v>258</v>
      </c>
      <c r="J8" s="557" t="s">
        <v>51</v>
      </c>
      <c r="K8" s="97" t="s">
        <v>258</v>
      </c>
      <c r="L8" s="557" t="s">
        <v>51</v>
      </c>
      <c r="M8" s="574"/>
    </row>
    <row r="9" spans="1:13" s="317" customFormat="1" ht="13.5">
      <c r="A9" s="561"/>
      <c r="B9" s="564"/>
      <c r="C9" s="98"/>
      <c r="D9" s="567"/>
      <c r="E9" s="558"/>
      <c r="F9" s="578"/>
      <c r="G9" s="99" t="s">
        <v>259</v>
      </c>
      <c r="H9" s="558"/>
      <c r="I9" s="99" t="s">
        <v>259</v>
      </c>
      <c r="J9" s="558"/>
      <c r="K9" s="99" t="s">
        <v>259</v>
      </c>
      <c r="L9" s="558"/>
      <c r="M9" s="558"/>
    </row>
    <row r="10" spans="1:13" s="135" customFormat="1" ht="13.5">
      <c r="A10" s="100">
        <v>1</v>
      </c>
      <c r="B10" s="100" t="s">
        <v>260</v>
      </c>
      <c r="C10" s="101" t="s">
        <v>261</v>
      </c>
      <c r="D10" s="102" t="s">
        <v>262</v>
      </c>
      <c r="E10" s="103" t="s">
        <v>263</v>
      </c>
      <c r="F10" s="104" t="s">
        <v>264</v>
      </c>
      <c r="G10" s="105" t="s">
        <v>265</v>
      </c>
      <c r="H10" s="106" t="s">
        <v>266</v>
      </c>
      <c r="I10" s="103" t="s">
        <v>267</v>
      </c>
      <c r="J10" s="105" t="s">
        <v>268</v>
      </c>
      <c r="K10" s="103" t="s">
        <v>269</v>
      </c>
      <c r="L10" s="106" t="s">
        <v>270</v>
      </c>
      <c r="M10" s="103" t="s">
        <v>271</v>
      </c>
    </row>
    <row r="11" spans="1:61" s="22" customFormat="1" ht="15" customHeight="1">
      <c r="A11" s="47"/>
      <c r="B11" s="126"/>
      <c r="C11" s="116" t="s">
        <v>272</v>
      </c>
      <c r="D11" s="47"/>
      <c r="E11" s="47"/>
      <c r="F11" s="39"/>
      <c r="G11" s="47"/>
      <c r="H11" s="40"/>
      <c r="I11" s="39"/>
      <c r="J11" s="40"/>
      <c r="K11" s="39"/>
      <c r="L11" s="40"/>
      <c r="M11" s="40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</row>
    <row r="12" spans="1:13" s="45" customFormat="1" ht="27">
      <c r="A12" s="1">
        <v>1</v>
      </c>
      <c r="B12" s="12" t="s">
        <v>273</v>
      </c>
      <c r="C12" s="19" t="s">
        <v>274</v>
      </c>
      <c r="D12" s="1" t="s">
        <v>66</v>
      </c>
      <c r="E12" s="14"/>
      <c r="F12" s="402">
        <f>100*0.7*0.5</f>
        <v>35</v>
      </c>
      <c r="G12" s="13"/>
      <c r="H12" s="13"/>
      <c r="I12" s="13"/>
      <c r="J12" s="13"/>
      <c r="K12" s="13"/>
      <c r="L12" s="13"/>
      <c r="M12" s="13"/>
    </row>
    <row r="13" spans="1:13" s="45" customFormat="1" ht="13.5">
      <c r="A13" s="1"/>
      <c r="B13" s="12"/>
      <c r="C13" s="19" t="s">
        <v>94</v>
      </c>
      <c r="D13" s="1" t="s">
        <v>55</v>
      </c>
      <c r="E13" s="14">
        <v>2.06</v>
      </c>
      <c r="F13" s="13">
        <f>F12*E13</f>
        <v>72.10000000000001</v>
      </c>
      <c r="G13" s="13"/>
      <c r="H13" s="107"/>
      <c r="I13" s="13">
        <v>6</v>
      </c>
      <c r="J13" s="13">
        <f>F13*I13</f>
        <v>432.6</v>
      </c>
      <c r="K13" s="13"/>
      <c r="L13" s="13"/>
      <c r="M13" s="13">
        <f>H13+J13+L13</f>
        <v>432.6</v>
      </c>
    </row>
    <row r="14" spans="1:13" ht="27">
      <c r="A14" s="28">
        <v>2</v>
      </c>
      <c r="B14" s="127" t="s">
        <v>514</v>
      </c>
      <c r="C14" s="117" t="s">
        <v>535</v>
      </c>
      <c r="D14" s="28" t="s">
        <v>115</v>
      </c>
      <c r="E14" s="28"/>
      <c r="F14" s="402">
        <v>100</v>
      </c>
      <c r="G14" s="28"/>
      <c r="H14" s="11"/>
      <c r="I14" s="29"/>
      <c r="J14" s="11"/>
      <c r="K14" s="29"/>
      <c r="L14" s="11"/>
      <c r="M14" s="11"/>
    </row>
    <row r="15" spans="1:13" ht="13.5">
      <c r="A15" s="1"/>
      <c r="B15" s="120"/>
      <c r="C15" s="19" t="s">
        <v>54</v>
      </c>
      <c r="D15" s="1" t="s">
        <v>55</v>
      </c>
      <c r="E15" s="1">
        <v>0.139</v>
      </c>
      <c r="F15" s="2">
        <f>F14*E15</f>
        <v>13.900000000000002</v>
      </c>
      <c r="G15" s="13"/>
      <c r="H15" s="13"/>
      <c r="I15" s="13">
        <v>6</v>
      </c>
      <c r="J15" s="13">
        <f>F15*I15</f>
        <v>83.4</v>
      </c>
      <c r="K15" s="13"/>
      <c r="L15" s="13"/>
      <c r="M15" s="13">
        <f>H15+J15+L15</f>
        <v>83.4</v>
      </c>
    </row>
    <row r="16" spans="1:13" s="121" customFormat="1" ht="13.5">
      <c r="A16" s="1"/>
      <c r="B16" s="120"/>
      <c r="C16" s="19" t="s">
        <v>56</v>
      </c>
      <c r="D16" s="1"/>
      <c r="E16" s="1"/>
      <c r="F16" s="2"/>
      <c r="G16" s="1"/>
      <c r="H16" s="2"/>
      <c r="I16" s="3"/>
      <c r="J16" s="2"/>
      <c r="K16" s="3"/>
      <c r="L16" s="2"/>
      <c r="M16" s="2"/>
    </row>
    <row r="17" spans="1:13" ht="27">
      <c r="A17" s="1"/>
      <c r="B17" s="120"/>
      <c r="C17" s="19" t="s">
        <v>515</v>
      </c>
      <c r="D17" s="1" t="s">
        <v>85</v>
      </c>
      <c r="E17" s="1">
        <v>0.99</v>
      </c>
      <c r="F17" s="2">
        <f>F14*E17</f>
        <v>99</v>
      </c>
      <c r="G17" s="2">
        <v>4.24</v>
      </c>
      <c r="H17" s="2">
        <f>F17*G17</f>
        <v>419.76000000000005</v>
      </c>
      <c r="I17" s="2"/>
      <c r="J17" s="2"/>
      <c r="K17" s="2"/>
      <c r="L17" s="2"/>
      <c r="M17" s="2">
        <f>H17+J17+L17</f>
        <v>419.76000000000005</v>
      </c>
    </row>
    <row r="18" spans="1:13" ht="13.5">
      <c r="A18" s="37"/>
      <c r="B18" s="122"/>
      <c r="C18" s="123" t="s">
        <v>57</v>
      </c>
      <c r="D18" s="37" t="s">
        <v>43</v>
      </c>
      <c r="E18" s="37">
        <v>0.00365</v>
      </c>
      <c r="F18" s="199">
        <f>F14*E18</f>
        <v>0.365</v>
      </c>
      <c r="G18" s="13">
        <v>3.2</v>
      </c>
      <c r="H18" s="13">
        <f>F18*G18</f>
        <v>1.168</v>
      </c>
      <c r="I18" s="13"/>
      <c r="J18" s="13"/>
      <c r="K18" s="13"/>
      <c r="L18" s="13"/>
      <c r="M18" s="13">
        <f>H18+J18+L18</f>
        <v>1.168</v>
      </c>
    </row>
    <row r="19" spans="1:13" s="45" customFormat="1" ht="13.5">
      <c r="A19" s="28">
        <v>3</v>
      </c>
      <c r="B19" s="27" t="s">
        <v>214</v>
      </c>
      <c r="C19" s="117" t="s">
        <v>324</v>
      </c>
      <c r="D19" s="28" t="s">
        <v>66</v>
      </c>
      <c r="E19" s="118"/>
      <c r="F19" s="403">
        <f>F12</f>
        <v>35</v>
      </c>
      <c r="G19" s="30"/>
      <c r="H19" s="30"/>
      <c r="I19" s="30"/>
      <c r="J19" s="30"/>
      <c r="K19" s="30"/>
      <c r="L19" s="30"/>
      <c r="M19" s="30"/>
    </row>
    <row r="20" spans="1:13" s="45" customFormat="1" ht="13.5">
      <c r="A20" s="1"/>
      <c r="B20" s="12"/>
      <c r="C20" s="19" t="s">
        <v>54</v>
      </c>
      <c r="D20" s="1" t="s">
        <v>55</v>
      </c>
      <c r="E20" s="16">
        <v>1.21</v>
      </c>
      <c r="F20" s="13">
        <f>F19*E20</f>
        <v>42.35</v>
      </c>
      <c r="G20" s="13"/>
      <c r="H20" s="107"/>
      <c r="I20" s="13">
        <v>6</v>
      </c>
      <c r="J20" s="13">
        <f>F20*I20</f>
        <v>254.10000000000002</v>
      </c>
      <c r="K20" s="13"/>
      <c r="L20" s="13"/>
      <c r="M20" s="13">
        <f>H20+J20+L20</f>
        <v>254.10000000000002</v>
      </c>
    </row>
    <row r="21" spans="1:61" s="22" customFormat="1" ht="13.5">
      <c r="A21" s="47"/>
      <c r="B21" s="154"/>
      <c r="C21" s="48" t="s">
        <v>49</v>
      </c>
      <c r="D21" s="52"/>
      <c r="E21" s="52"/>
      <c r="F21" s="161"/>
      <c r="G21" s="161"/>
      <c r="H21" s="161">
        <f>SUM(H13:H20)</f>
        <v>420.92800000000005</v>
      </c>
      <c r="I21" s="161"/>
      <c r="J21" s="161">
        <f>SUM(J13:J20)</f>
        <v>770.1</v>
      </c>
      <c r="K21" s="161"/>
      <c r="L21" s="161">
        <f>SUM(L13:L20)</f>
        <v>0</v>
      </c>
      <c r="M21" s="161">
        <f>SUM(M13:M20)</f>
        <v>1191.028</v>
      </c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</row>
    <row r="22" spans="1:61" s="146" customFormat="1" ht="13.5">
      <c r="A22" s="72"/>
      <c r="B22" s="72"/>
      <c r="C22" s="46" t="s">
        <v>275</v>
      </c>
      <c r="D22" s="81">
        <v>0.1</v>
      </c>
      <c r="E22" s="47"/>
      <c r="F22" s="108"/>
      <c r="G22" s="108"/>
      <c r="H22" s="108">
        <f>H21*D22</f>
        <v>42.09280000000001</v>
      </c>
      <c r="I22" s="108"/>
      <c r="J22" s="108">
        <f>J21*D22</f>
        <v>77.01</v>
      </c>
      <c r="K22" s="108"/>
      <c r="L22" s="108"/>
      <c r="M22" s="108">
        <f>M21*D22</f>
        <v>119.1028</v>
      </c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</row>
    <row r="23" spans="1:61" s="146" customFormat="1" ht="13.5">
      <c r="A23" s="72"/>
      <c r="B23" s="72"/>
      <c r="C23" s="80" t="s">
        <v>49</v>
      </c>
      <c r="D23" s="47"/>
      <c r="E23" s="47"/>
      <c r="F23" s="108"/>
      <c r="G23" s="108"/>
      <c r="H23" s="108">
        <f>SUM(H21:H22)</f>
        <v>463.02080000000007</v>
      </c>
      <c r="I23" s="108"/>
      <c r="J23" s="108">
        <f>J21+J22</f>
        <v>847.11</v>
      </c>
      <c r="K23" s="108"/>
      <c r="L23" s="108"/>
      <c r="M23" s="108">
        <f>M21+M22</f>
        <v>1310.1308</v>
      </c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</row>
    <row r="24" spans="1:61" s="146" customFormat="1" ht="13.5">
      <c r="A24" s="47"/>
      <c r="B24" s="47"/>
      <c r="C24" s="46" t="s">
        <v>227</v>
      </c>
      <c r="D24" s="81">
        <v>0.08</v>
      </c>
      <c r="E24" s="47"/>
      <c r="F24" s="108"/>
      <c r="G24" s="108"/>
      <c r="H24" s="108">
        <f>H23*D24</f>
        <v>37.041664000000004</v>
      </c>
      <c r="I24" s="108"/>
      <c r="J24" s="108">
        <f>J23*D24</f>
        <v>67.7688</v>
      </c>
      <c r="K24" s="108"/>
      <c r="L24" s="108"/>
      <c r="M24" s="108">
        <f>M23*D24</f>
        <v>104.810464</v>
      </c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</row>
    <row r="25" spans="1:61" s="146" customFormat="1" ht="13.5">
      <c r="A25" s="47"/>
      <c r="B25" s="47"/>
      <c r="C25" s="48" t="s">
        <v>87</v>
      </c>
      <c r="D25" s="52"/>
      <c r="E25" s="52"/>
      <c r="F25" s="161"/>
      <c r="G25" s="161"/>
      <c r="H25" s="108">
        <f>SUM(H23:H24)</f>
        <v>500.0624640000001</v>
      </c>
      <c r="I25" s="108"/>
      <c r="J25" s="108">
        <f>J23+J24</f>
        <v>914.8788</v>
      </c>
      <c r="K25" s="108"/>
      <c r="L25" s="108"/>
      <c r="M25" s="108">
        <f>M23+M24</f>
        <v>1414.9412639999998</v>
      </c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</row>
    <row r="26" spans="1:61" s="22" customFormat="1" ht="14.25" customHeight="1">
      <c r="A26" s="1"/>
      <c r="B26" s="20"/>
      <c r="C26" s="157" t="s">
        <v>276</v>
      </c>
      <c r="D26" s="1"/>
      <c r="E26" s="1"/>
      <c r="F26" s="13"/>
      <c r="G26" s="13"/>
      <c r="H26" s="13"/>
      <c r="I26" s="13"/>
      <c r="J26" s="13"/>
      <c r="K26" s="13"/>
      <c r="L26" s="13"/>
      <c r="M26" s="1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</row>
    <row r="27" spans="1:61" s="22" customFormat="1" ht="28.5" customHeight="1">
      <c r="A27" s="28">
        <v>4</v>
      </c>
      <c r="B27" s="28" t="s">
        <v>277</v>
      </c>
      <c r="C27" s="43" t="s">
        <v>414</v>
      </c>
      <c r="D27" s="28" t="s">
        <v>115</v>
      </c>
      <c r="E27" s="28"/>
      <c r="F27" s="402">
        <v>100</v>
      </c>
      <c r="G27" s="30"/>
      <c r="H27" s="30"/>
      <c r="I27" s="30"/>
      <c r="J27" s="30"/>
      <c r="K27" s="30"/>
      <c r="L27" s="30"/>
      <c r="M27" s="30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</row>
    <row r="28" spans="1:61" s="22" customFormat="1" ht="13.5">
      <c r="A28" s="1"/>
      <c r="B28" s="20"/>
      <c r="C28" s="19" t="s">
        <v>54</v>
      </c>
      <c r="D28" s="1" t="s">
        <v>55</v>
      </c>
      <c r="E28" s="1">
        <v>0.05</v>
      </c>
      <c r="F28" s="13">
        <f>F27*E28</f>
        <v>5</v>
      </c>
      <c r="G28" s="13"/>
      <c r="H28" s="13"/>
      <c r="I28" s="13">
        <v>4.6</v>
      </c>
      <c r="J28" s="13">
        <f>F28*I28</f>
        <v>23</v>
      </c>
      <c r="K28" s="13"/>
      <c r="L28" s="13"/>
      <c r="M28" s="13">
        <f>H28+J28+L28</f>
        <v>23</v>
      </c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</row>
    <row r="29" spans="1:61" ht="13.5">
      <c r="A29" s="1"/>
      <c r="B29" s="1"/>
      <c r="C29" s="19" t="s">
        <v>62</v>
      </c>
      <c r="D29" s="1" t="s">
        <v>43</v>
      </c>
      <c r="E29" s="1">
        <v>0.0696</v>
      </c>
      <c r="F29" s="13">
        <f>F27*E29</f>
        <v>6.959999999999999</v>
      </c>
      <c r="G29" s="13"/>
      <c r="H29" s="13"/>
      <c r="I29" s="13"/>
      <c r="J29" s="13"/>
      <c r="K29" s="13">
        <v>3.2</v>
      </c>
      <c r="L29" s="13">
        <f>F29*K29</f>
        <v>22.272</v>
      </c>
      <c r="M29" s="13">
        <f>H29+J29+L29</f>
        <v>22.272</v>
      </c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</row>
    <row r="30" spans="1:61" s="121" customFormat="1" ht="13.5">
      <c r="A30" s="1"/>
      <c r="B30" s="20"/>
      <c r="C30" s="19" t="s">
        <v>56</v>
      </c>
      <c r="D30" s="1"/>
      <c r="E30" s="1"/>
      <c r="F30" s="13"/>
      <c r="G30" s="13"/>
      <c r="H30" s="13"/>
      <c r="I30" s="13"/>
      <c r="J30" s="13"/>
      <c r="K30" s="13"/>
      <c r="L30" s="13"/>
      <c r="M30" s="13"/>
      <c r="N30" s="399"/>
      <c r="O30" s="399"/>
      <c r="P30" s="399"/>
      <c r="Q30" s="399"/>
      <c r="R30" s="399"/>
      <c r="S30" s="399"/>
      <c r="T30" s="399"/>
      <c r="U30" s="399"/>
      <c r="V30" s="399"/>
      <c r="W30" s="399"/>
      <c r="X30" s="399"/>
      <c r="Y30" s="399"/>
      <c r="Z30" s="399"/>
      <c r="AA30" s="399"/>
      <c r="AB30" s="399"/>
      <c r="AC30" s="399"/>
      <c r="AD30" s="399"/>
      <c r="AE30" s="399"/>
      <c r="AF30" s="399"/>
      <c r="AG30" s="399"/>
      <c r="AH30" s="399"/>
      <c r="AI30" s="399"/>
      <c r="AJ30" s="399"/>
      <c r="AK30" s="399"/>
      <c r="AL30" s="399"/>
      <c r="AM30" s="399"/>
      <c r="AN30" s="399"/>
      <c r="AO30" s="399"/>
      <c r="AP30" s="399"/>
      <c r="AQ30" s="399"/>
      <c r="AR30" s="399"/>
      <c r="AS30" s="399"/>
      <c r="AT30" s="399"/>
      <c r="AU30" s="399"/>
      <c r="AV30" s="399"/>
      <c r="AW30" s="399"/>
      <c r="AX30" s="399"/>
      <c r="AY30" s="399"/>
      <c r="AZ30" s="399"/>
      <c r="BA30" s="399"/>
      <c r="BB30" s="399"/>
      <c r="BC30" s="399"/>
      <c r="BD30" s="399"/>
      <c r="BE30" s="399"/>
      <c r="BF30" s="399"/>
      <c r="BG30" s="399"/>
      <c r="BH30" s="399"/>
      <c r="BI30" s="399"/>
    </row>
    <row r="31" spans="1:61" s="121" customFormat="1" ht="13.5">
      <c r="A31" s="1"/>
      <c r="B31" s="20"/>
      <c r="C31" s="19" t="s">
        <v>211</v>
      </c>
      <c r="D31" s="1" t="s">
        <v>66</v>
      </c>
      <c r="E31" s="1">
        <v>0.05</v>
      </c>
      <c r="F31" s="13">
        <f>F27*E31</f>
        <v>5</v>
      </c>
      <c r="G31" s="13">
        <v>28</v>
      </c>
      <c r="H31" s="13">
        <f>F31*G31</f>
        <v>140</v>
      </c>
      <c r="I31" s="13"/>
      <c r="J31" s="13"/>
      <c r="K31" s="13"/>
      <c r="L31" s="13"/>
      <c r="M31" s="13">
        <f>H31+J31+L31</f>
        <v>140</v>
      </c>
      <c r="N31" s="399"/>
      <c r="O31" s="399"/>
      <c r="P31" s="399"/>
      <c r="Q31" s="399"/>
      <c r="R31" s="399"/>
      <c r="S31" s="399"/>
      <c r="T31" s="399"/>
      <c r="U31" s="399"/>
      <c r="V31" s="399"/>
      <c r="W31" s="399"/>
      <c r="X31" s="399"/>
      <c r="Y31" s="399"/>
      <c r="Z31" s="399"/>
      <c r="AA31" s="399"/>
      <c r="AB31" s="399"/>
      <c r="AC31" s="399"/>
      <c r="AD31" s="399"/>
      <c r="AE31" s="399"/>
      <c r="AF31" s="399"/>
      <c r="AG31" s="399"/>
      <c r="AH31" s="399"/>
      <c r="AI31" s="399"/>
      <c r="AJ31" s="399"/>
      <c r="AK31" s="399"/>
      <c r="AL31" s="399"/>
      <c r="AM31" s="399"/>
      <c r="AN31" s="399"/>
      <c r="AO31" s="399"/>
      <c r="AP31" s="399"/>
      <c r="AQ31" s="399"/>
      <c r="AR31" s="399"/>
      <c r="AS31" s="399"/>
      <c r="AT31" s="399"/>
      <c r="AU31" s="399"/>
      <c r="AV31" s="399"/>
      <c r="AW31" s="399"/>
      <c r="AX31" s="399"/>
      <c r="AY31" s="399"/>
      <c r="AZ31" s="399"/>
      <c r="BA31" s="399"/>
      <c r="BB31" s="399"/>
      <c r="BC31" s="399"/>
      <c r="BD31" s="399"/>
      <c r="BE31" s="399"/>
      <c r="BF31" s="399"/>
      <c r="BG31" s="399"/>
      <c r="BH31" s="399"/>
      <c r="BI31" s="399"/>
    </row>
    <row r="32" spans="1:61" s="121" customFormat="1" ht="13.5">
      <c r="A32" s="1"/>
      <c r="B32" s="20"/>
      <c r="C32" s="19" t="s">
        <v>57</v>
      </c>
      <c r="D32" s="1" t="s">
        <v>43</v>
      </c>
      <c r="E32" s="1">
        <v>0.0005</v>
      </c>
      <c r="F32" s="13">
        <f>F27*E32</f>
        <v>0.05</v>
      </c>
      <c r="G32" s="13">
        <v>3.2</v>
      </c>
      <c r="H32" s="13">
        <f>F32*G32</f>
        <v>0.16000000000000003</v>
      </c>
      <c r="I32" s="13"/>
      <c r="J32" s="13"/>
      <c r="K32" s="13"/>
      <c r="L32" s="13"/>
      <c r="M32" s="13">
        <f>H32+J32+L32</f>
        <v>0.16000000000000003</v>
      </c>
      <c r="N32" s="399"/>
      <c r="O32" s="399"/>
      <c r="P32" s="399"/>
      <c r="Q32" s="399"/>
      <c r="R32" s="399"/>
      <c r="S32" s="399"/>
      <c r="T32" s="399"/>
      <c r="U32" s="399"/>
      <c r="V32" s="399"/>
      <c r="W32" s="399"/>
      <c r="X32" s="399"/>
      <c r="Y32" s="399"/>
      <c r="Z32" s="399"/>
      <c r="AA32" s="399"/>
      <c r="AB32" s="399"/>
      <c r="AC32" s="399"/>
      <c r="AD32" s="399"/>
      <c r="AE32" s="399"/>
      <c r="AF32" s="399"/>
      <c r="AG32" s="399"/>
      <c r="AH32" s="399"/>
      <c r="AI32" s="399"/>
      <c r="AJ32" s="399"/>
      <c r="AK32" s="399"/>
      <c r="AL32" s="399"/>
      <c r="AM32" s="399"/>
      <c r="AN32" s="399"/>
      <c r="AO32" s="399"/>
      <c r="AP32" s="399"/>
      <c r="AQ32" s="399"/>
      <c r="AR32" s="399"/>
      <c r="AS32" s="399"/>
      <c r="AT32" s="399"/>
      <c r="AU32" s="399"/>
      <c r="AV32" s="399"/>
      <c r="AW32" s="399"/>
      <c r="AX32" s="399"/>
      <c r="AY32" s="399"/>
      <c r="AZ32" s="399"/>
      <c r="BA32" s="399"/>
      <c r="BB32" s="399"/>
      <c r="BC32" s="399"/>
      <c r="BD32" s="399"/>
      <c r="BE32" s="399"/>
      <c r="BF32" s="399"/>
      <c r="BG32" s="399"/>
      <c r="BH32" s="399"/>
      <c r="BI32" s="399"/>
    </row>
    <row r="33" spans="1:13" s="22" customFormat="1" ht="30.75" customHeight="1">
      <c r="A33" s="28">
        <v>5</v>
      </c>
      <c r="B33" s="149" t="s">
        <v>306</v>
      </c>
      <c r="C33" s="43" t="s">
        <v>534</v>
      </c>
      <c r="D33" s="28" t="s">
        <v>115</v>
      </c>
      <c r="E33" s="28"/>
      <c r="F33" s="468">
        <v>100</v>
      </c>
      <c r="G33" s="30"/>
      <c r="H33" s="30"/>
      <c r="I33" s="30"/>
      <c r="J33" s="30"/>
      <c r="K33" s="30"/>
      <c r="L33" s="30"/>
      <c r="M33" s="30"/>
    </row>
    <row r="34" spans="1:13" s="22" customFormat="1" ht="14.25" customHeight="1">
      <c r="A34" s="1"/>
      <c r="B34" s="120"/>
      <c r="C34" s="19" t="s">
        <v>54</v>
      </c>
      <c r="D34" s="1" t="s">
        <v>55</v>
      </c>
      <c r="E34" s="1">
        <v>0.11</v>
      </c>
      <c r="F34" s="14">
        <f>F33*E34</f>
        <v>11</v>
      </c>
      <c r="G34" s="13"/>
      <c r="H34" s="13"/>
      <c r="I34" s="13">
        <v>4.6</v>
      </c>
      <c r="J34" s="13">
        <f>F34*I34</f>
        <v>50.599999999999994</v>
      </c>
      <c r="K34" s="13"/>
      <c r="L34" s="13"/>
      <c r="M34" s="13">
        <f>H34+J34+L34</f>
        <v>50.599999999999994</v>
      </c>
    </row>
    <row r="35" spans="1:13" ht="13.5">
      <c r="A35" s="1"/>
      <c r="B35" s="125"/>
      <c r="C35" s="19" t="s">
        <v>99</v>
      </c>
      <c r="D35" s="1" t="s">
        <v>43</v>
      </c>
      <c r="E35" s="1">
        <v>0.0027</v>
      </c>
      <c r="F35" s="13">
        <f>F33*E35</f>
        <v>0.27</v>
      </c>
      <c r="G35" s="13"/>
      <c r="H35" s="13"/>
      <c r="I35" s="13"/>
      <c r="J35" s="13"/>
      <c r="K35" s="13">
        <v>3.2</v>
      </c>
      <c r="L35" s="13">
        <f>F35*K35</f>
        <v>0.8640000000000001</v>
      </c>
      <c r="M35" s="13">
        <f>H35+J35+L35</f>
        <v>0.8640000000000001</v>
      </c>
    </row>
    <row r="36" spans="1:13" s="121" customFormat="1" ht="13.5">
      <c r="A36" s="1"/>
      <c r="B36" s="120"/>
      <c r="C36" s="19" t="s">
        <v>56</v>
      </c>
      <c r="D36" s="1"/>
      <c r="E36" s="1"/>
      <c r="F36" s="13"/>
      <c r="G36" s="13"/>
      <c r="H36" s="13"/>
      <c r="I36" s="13"/>
      <c r="J36" s="13"/>
      <c r="K36" s="13"/>
      <c r="L36" s="13"/>
      <c r="M36" s="13"/>
    </row>
    <row r="37" spans="1:61" s="121" customFormat="1" ht="27">
      <c r="A37" s="47"/>
      <c r="B37" s="154"/>
      <c r="C37" s="38" t="s">
        <v>513</v>
      </c>
      <c r="D37" s="47" t="s">
        <v>115</v>
      </c>
      <c r="E37" s="47">
        <v>1</v>
      </c>
      <c r="F37" s="469">
        <f>F33*E37</f>
        <v>100</v>
      </c>
      <c r="G37" s="40">
        <v>160.17</v>
      </c>
      <c r="H37" s="40">
        <f>F37*G37</f>
        <v>16016.999999999998</v>
      </c>
      <c r="I37" s="40"/>
      <c r="J37" s="40"/>
      <c r="K37" s="40"/>
      <c r="L37" s="40"/>
      <c r="M37" s="40">
        <f>H37+J37+L37</f>
        <v>16016.999999999998</v>
      </c>
      <c r="N37" s="399"/>
      <c r="O37" s="399"/>
      <c r="P37" s="399"/>
      <c r="Q37" s="399"/>
      <c r="R37" s="399"/>
      <c r="S37" s="399"/>
      <c r="T37" s="399"/>
      <c r="U37" s="399"/>
      <c r="V37" s="399"/>
      <c r="W37" s="399"/>
      <c r="X37" s="399"/>
      <c r="Y37" s="399"/>
      <c r="Z37" s="399"/>
      <c r="AA37" s="399"/>
      <c r="AB37" s="399"/>
      <c r="AC37" s="399"/>
      <c r="AD37" s="399"/>
      <c r="AE37" s="399"/>
      <c r="AF37" s="399"/>
      <c r="AG37" s="399"/>
      <c r="AH37" s="399"/>
      <c r="AI37" s="399"/>
      <c r="AJ37" s="399"/>
      <c r="AK37" s="399"/>
      <c r="AL37" s="399"/>
      <c r="AM37" s="399"/>
      <c r="AN37" s="399"/>
      <c r="AO37" s="399"/>
      <c r="AP37" s="399"/>
      <c r="AQ37" s="399"/>
      <c r="AR37" s="399"/>
      <c r="AS37" s="399"/>
      <c r="AT37" s="399"/>
      <c r="AU37" s="399"/>
      <c r="AV37" s="399"/>
      <c r="AW37" s="399"/>
      <c r="AX37" s="399"/>
      <c r="AY37" s="399"/>
      <c r="AZ37" s="399"/>
      <c r="BA37" s="399"/>
      <c r="BB37" s="399"/>
      <c r="BC37" s="399"/>
      <c r="BD37" s="399"/>
      <c r="BE37" s="399"/>
      <c r="BF37" s="399"/>
      <c r="BG37" s="399"/>
      <c r="BH37" s="399"/>
      <c r="BI37" s="399"/>
    </row>
    <row r="38" spans="1:13" s="121" customFormat="1" ht="13.5">
      <c r="A38" s="37"/>
      <c r="B38" s="122"/>
      <c r="C38" s="123" t="s">
        <v>57</v>
      </c>
      <c r="D38" s="37" t="s">
        <v>43</v>
      </c>
      <c r="E38" s="37">
        <v>0.0349</v>
      </c>
      <c r="F38" s="124">
        <f>F33*E38</f>
        <v>3.49</v>
      </c>
      <c r="G38" s="13">
        <v>3.2</v>
      </c>
      <c r="H38" s="13">
        <f>F38*G38</f>
        <v>11.168000000000001</v>
      </c>
      <c r="I38" s="13"/>
      <c r="J38" s="13"/>
      <c r="K38" s="13"/>
      <c r="L38" s="13"/>
      <c r="M38" s="13">
        <f>H38+J38+L38</f>
        <v>11.168000000000001</v>
      </c>
    </row>
    <row r="39" spans="1:61" s="121" customFormat="1" ht="13.5">
      <c r="A39" s="47">
        <v>6</v>
      </c>
      <c r="B39" s="154"/>
      <c r="C39" s="38" t="s">
        <v>307</v>
      </c>
      <c r="D39" s="47" t="s">
        <v>85</v>
      </c>
      <c r="E39" s="47"/>
      <c r="F39" s="404">
        <f>F33</f>
        <v>100</v>
      </c>
      <c r="G39" s="108">
        <v>0.8</v>
      </c>
      <c r="H39" s="108">
        <f>F39*G39</f>
        <v>80</v>
      </c>
      <c r="I39" s="108"/>
      <c r="J39" s="108"/>
      <c r="K39" s="108"/>
      <c r="L39" s="108"/>
      <c r="M39" s="108">
        <f>H39+J39+L39</f>
        <v>80</v>
      </c>
      <c r="N39" s="399"/>
      <c r="O39" s="399"/>
      <c r="P39" s="399"/>
      <c r="Q39" s="399"/>
      <c r="R39" s="399"/>
      <c r="S39" s="399"/>
      <c r="T39" s="399"/>
      <c r="U39" s="399"/>
      <c r="V39" s="399"/>
      <c r="W39" s="399"/>
      <c r="X39" s="399"/>
      <c r="Y39" s="399"/>
      <c r="Z39" s="399"/>
      <c r="AA39" s="399"/>
      <c r="AB39" s="399"/>
      <c r="AC39" s="399"/>
      <c r="AD39" s="399"/>
      <c r="AE39" s="399"/>
      <c r="AF39" s="399"/>
      <c r="AG39" s="399"/>
      <c r="AH39" s="399"/>
      <c r="AI39" s="399"/>
      <c r="AJ39" s="399"/>
      <c r="AK39" s="399"/>
      <c r="AL39" s="399"/>
      <c r="AM39" s="399"/>
      <c r="AN39" s="399"/>
      <c r="AO39" s="399"/>
      <c r="AP39" s="399"/>
      <c r="AQ39" s="399"/>
      <c r="AR39" s="399"/>
      <c r="AS39" s="399"/>
      <c r="AT39" s="399"/>
      <c r="AU39" s="399"/>
      <c r="AV39" s="399"/>
      <c r="AW39" s="399"/>
      <c r="AX39" s="399"/>
      <c r="AY39" s="399"/>
      <c r="AZ39" s="399"/>
      <c r="BA39" s="399"/>
      <c r="BB39" s="399"/>
      <c r="BC39" s="399"/>
      <c r="BD39" s="399"/>
      <c r="BE39" s="399"/>
      <c r="BF39" s="399"/>
      <c r="BG39" s="399"/>
      <c r="BH39" s="399"/>
      <c r="BI39" s="399"/>
    </row>
    <row r="40" spans="1:61" s="22" customFormat="1" ht="13.5">
      <c r="A40" s="47"/>
      <c r="B40" s="154"/>
      <c r="C40" s="48" t="s">
        <v>102</v>
      </c>
      <c r="D40" s="52"/>
      <c r="E40" s="52"/>
      <c r="F40" s="161"/>
      <c r="G40" s="161"/>
      <c r="H40" s="169">
        <f>SUM(H28:H39)</f>
        <v>16248.327999999998</v>
      </c>
      <c r="I40" s="169"/>
      <c r="J40" s="169">
        <f>SUM(J28:J39)</f>
        <v>73.6</v>
      </c>
      <c r="K40" s="169"/>
      <c r="L40" s="169">
        <f>SUM(L28:L39)</f>
        <v>23.136</v>
      </c>
      <c r="M40" s="169">
        <f>SUM(M28:M39)</f>
        <v>16345.063999999998</v>
      </c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</row>
    <row r="41" spans="1:61" s="22" customFormat="1" ht="13.5">
      <c r="A41" s="47"/>
      <c r="B41" s="126"/>
      <c r="C41" s="38" t="s">
        <v>278</v>
      </c>
      <c r="D41" s="81">
        <v>0.75</v>
      </c>
      <c r="E41" s="47"/>
      <c r="F41" s="108"/>
      <c r="G41" s="108"/>
      <c r="H41" s="109"/>
      <c r="I41" s="109"/>
      <c r="J41" s="109">
        <f>J40*D41</f>
        <v>55.199999999999996</v>
      </c>
      <c r="K41" s="109"/>
      <c r="L41" s="109"/>
      <c r="M41" s="109">
        <f>J41</f>
        <v>55.199999999999996</v>
      </c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</row>
    <row r="42" spans="1:61" s="22" customFormat="1" ht="13.5">
      <c r="A42" s="47"/>
      <c r="B42" s="126"/>
      <c r="C42" s="80" t="s">
        <v>102</v>
      </c>
      <c r="D42" s="47"/>
      <c r="E42" s="47"/>
      <c r="F42" s="108"/>
      <c r="G42" s="108"/>
      <c r="H42" s="109">
        <f>H40+H41</f>
        <v>16248.327999999998</v>
      </c>
      <c r="I42" s="109"/>
      <c r="J42" s="109">
        <f>J40+J41</f>
        <v>128.79999999999998</v>
      </c>
      <c r="K42" s="109"/>
      <c r="L42" s="109">
        <f>L40+L41</f>
        <v>23.136</v>
      </c>
      <c r="M42" s="109">
        <f>M40+M41</f>
        <v>16400.264</v>
      </c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</row>
    <row r="43" spans="1:61" s="22" customFormat="1" ht="13.5">
      <c r="A43" s="47"/>
      <c r="B43" s="126"/>
      <c r="C43" s="46" t="s">
        <v>187</v>
      </c>
      <c r="D43" s="81">
        <v>0.08</v>
      </c>
      <c r="E43" s="47"/>
      <c r="F43" s="108"/>
      <c r="G43" s="108"/>
      <c r="H43" s="109">
        <f>H42*D43</f>
        <v>1299.8662399999998</v>
      </c>
      <c r="I43" s="109"/>
      <c r="J43" s="109">
        <f>J42*D43</f>
        <v>10.303999999999998</v>
      </c>
      <c r="K43" s="109"/>
      <c r="L43" s="109">
        <f>L42*D43</f>
        <v>1.85088</v>
      </c>
      <c r="M43" s="109">
        <f>M42*D43</f>
        <v>1312.0211199999999</v>
      </c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</row>
    <row r="44" spans="1:61" s="22" customFormat="1" ht="13.5">
      <c r="A44" s="47"/>
      <c r="B44" s="126"/>
      <c r="C44" s="48" t="s">
        <v>88</v>
      </c>
      <c r="D44" s="52"/>
      <c r="E44" s="52"/>
      <c r="F44" s="161"/>
      <c r="G44" s="161"/>
      <c r="H44" s="109">
        <f aca="true" t="shared" si="0" ref="H44:M44">H42+H43</f>
        <v>17548.194239999997</v>
      </c>
      <c r="I44" s="109"/>
      <c r="J44" s="109">
        <f t="shared" si="0"/>
        <v>139.10399999999998</v>
      </c>
      <c r="K44" s="109"/>
      <c r="L44" s="109">
        <f t="shared" si="0"/>
        <v>24.98688</v>
      </c>
      <c r="M44" s="109">
        <f t="shared" si="0"/>
        <v>17712.28512</v>
      </c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</row>
    <row r="45" spans="1:61" s="22" customFormat="1" ht="13.5">
      <c r="A45" s="47"/>
      <c r="B45" s="51"/>
      <c r="C45" s="48" t="s">
        <v>279</v>
      </c>
      <c r="D45" s="52"/>
      <c r="E45" s="140"/>
      <c r="F45" s="161"/>
      <c r="G45" s="181"/>
      <c r="H45" s="186">
        <f>H44+H25</f>
        <v>18048.256703999996</v>
      </c>
      <c r="I45" s="186"/>
      <c r="J45" s="186">
        <f>J44+J25</f>
        <v>1053.9828</v>
      </c>
      <c r="K45" s="186"/>
      <c r="L45" s="186">
        <f>L44+L25</f>
        <v>24.98688</v>
      </c>
      <c r="M45" s="186">
        <f>M44+M25</f>
        <v>19127.226384</v>
      </c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</row>
    <row r="46" spans="1:61" s="22" customFormat="1" ht="13.5">
      <c r="A46" s="47"/>
      <c r="B46" s="51"/>
      <c r="C46" s="46" t="s">
        <v>356</v>
      </c>
      <c r="D46" s="52"/>
      <c r="E46" s="110"/>
      <c r="F46" s="108"/>
      <c r="G46" s="187"/>
      <c r="H46" s="188"/>
      <c r="I46" s="188"/>
      <c r="J46" s="188"/>
      <c r="K46" s="188"/>
      <c r="L46" s="188"/>
      <c r="M46" s="188">
        <f>M25</f>
        <v>1414.9412639999998</v>
      </c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</row>
    <row r="47" spans="1:61" s="22" customFormat="1" ht="13.5">
      <c r="A47" s="47"/>
      <c r="B47" s="51"/>
      <c r="C47" s="46" t="s">
        <v>107</v>
      </c>
      <c r="D47" s="47"/>
      <c r="E47" s="110"/>
      <c r="F47" s="108"/>
      <c r="G47" s="187"/>
      <c r="H47" s="188"/>
      <c r="I47" s="188"/>
      <c r="J47" s="188"/>
      <c r="K47" s="188"/>
      <c r="L47" s="188"/>
      <c r="M47" s="188">
        <f>M44</f>
        <v>17712.28512</v>
      </c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</row>
    <row r="48" spans="1:13" s="22" customFormat="1" ht="12.75">
      <c r="A48" s="268"/>
      <c r="B48" s="268"/>
      <c r="C48" s="268"/>
      <c r="D48" s="268"/>
      <c r="E48" s="268"/>
      <c r="F48" s="401"/>
      <c r="G48" s="268"/>
      <c r="H48" s="268"/>
      <c r="I48" s="268"/>
      <c r="J48" s="268"/>
      <c r="K48" s="268"/>
      <c r="L48" s="268"/>
      <c r="M48" s="268"/>
    </row>
    <row r="49" spans="1:13" ht="13.5">
      <c r="A49" s="22"/>
      <c r="B49" s="22"/>
      <c r="C49" s="492" t="s">
        <v>58</v>
      </c>
      <c r="D49" s="492"/>
      <c r="E49" s="22"/>
      <c r="F49" s="492" t="s">
        <v>482</v>
      </c>
      <c r="G49" s="492"/>
      <c r="H49" s="492"/>
      <c r="I49" s="492"/>
      <c r="J49" s="492"/>
      <c r="K49" s="492"/>
      <c r="L49" s="22"/>
      <c r="M49" s="22"/>
    </row>
    <row r="50" ht="12.75">
      <c r="A50" s="268"/>
    </row>
    <row r="51" spans="1:13" s="22" customFormat="1" ht="13.5">
      <c r="A51" s="146"/>
      <c r="B51" s="268"/>
      <c r="C51" s="458" t="s">
        <v>891</v>
      </c>
      <c r="D51" s="268"/>
      <c r="E51" s="492" t="s">
        <v>890</v>
      </c>
      <c r="F51" s="492"/>
      <c r="G51" s="492"/>
      <c r="H51" s="492"/>
      <c r="I51" s="492"/>
      <c r="J51" s="492"/>
      <c r="K51" s="268"/>
      <c r="L51" s="268"/>
      <c r="M51" s="268"/>
    </row>
    <row r="52" ht="12.75">
      <c r="A52" s="268"/>
    </row>
    <row r="53" ht="12.75">
      <c r="A53" s="268"/>
    </row>
    <row r="54" ht="12.75">
      <c r="A54" s="268"/>
    </row>
    <row r="55" ht="12.75">
      <c r="A55" s="268"/>
    </row>
    <row r="56" ht="12.75">
      <c r="A56" s="268"/>
    </row>
    <row r="57" ht="12.75">
      <c r="A57" s="268"/>
    </row>
    <row r="58" ht="12.75">
      <c r="A58" s="268"/>
    </row>
    <row r="59" ht="12.75">
      <c r="A59" s="268"/>
    </row>
    <row r="60" ht="12.75">
      <c r="A60" s="268"/>
    </row>
    <row r="61" ht="12.75">
      <c r="A61" s="268"/>
    </row>
    <row r="62" ht="12.75">
      <c r="A62" s="268"/>
    </row>
    <row r="63" ht="12.75">
      <c r="A63" s="268"/>
    </row>
    <row r="64" ht="12.75">
      <c r="A64" s="268"/>
    </row>
    <row r="65" ht="12.75">
      <c r="A65" s="268"/>
    </row>
    <row r="66" ht="12.75">
      <c r="A66" s="268"/>
    </row>
    <row r="67" ht="12.75">
      <c r="A67" s="268"/>
    </row>
    <row r="68" ht="12.75">
      <c r="A68" s="268"/>
    </row>
    <row r="69" ht="12.75">
      <c r="A69" s="268"/>
    </row>
    <row r="70" ht="12.75">
      <c r="A70" s="268"/>
    </row>
    <row r="71" ht="12.75">
      <c r="A71" s="268"/>
    </row>
    <row r="72" ht="12.75">
      <c r="A72" s="268"/>
    </row>
    <row r="73" ht="12.75">
      <c r="A73" s="268"/>
    </row>
    <row r="74" ht="12.75">
      <c r="A74" s="268"/>
    </row>
    <row r="75" ht="12.75">
      <c r="A75" s="268"/>
    </row>
    <row r="76" ht="12.75">
      <c r="A76" s="268"/>
    </row>
    <row r="77" ht="12.75">
      <c r="A77" s="268"/>
    </row>
    <row r="78" ht="12.75">
      <c r="A78" s="268"/>
    </row>
    <row r="79" ht="12.75">
      <c r="A79" s="268"/>
    </row>
    <row r="80" ht="12.75">
      <c r="A80" s="268"/>
    </row>
    <row r="81" ht="12.75">
      <c r="A81" s="268"/>
    </row>
    <row r="82" ht="12.75">
      <c r="A82" s="268"/>
    </row>
    <row r="83" ht="12.75">
      <c r="A83" s="268"/>
    </row>
    <row r="84" ht="12.75">
      <c r="A84" s="268"/>
    </row>
    <row r="85" ht="12.75">
      <c r="A85" s="268"/>
    </row>
    <row r="86" ht="12.75">
      <c r="A86" s="268"/>
    </row>
    <row r="87" ht="12.75">
      <c r="A87" s="268"/>
    </row>
    <row r="88" ht="12.75">
      <c r="A88" s="268"/>
    </row>
    <row r="89" ht="12.75">
      <c r="A89" s="268"/>
    </row>
    <row r="90" ht="12.75">
      <c r="A90" s="268"/>
    </row>
    <row r="91" ht="12.75">
      <c r="A91" s="268"/>
    </row>
    <row r="92" ht="12.75">
      <c r="A92" s="268"/>
    </row>
    <row r="93" ht="12.75">
      <c r="A93" s="268"/>
    </row>
    <row r="94" ht="12.75">
      <c r="A94" s="268"/>
    </row>
    <row r="95" ht="12.75">
      <c r="A95" s="268"/>
    </row>
    <row r="96" ht="12.75">
      <c r="A96" s="268"/>
    </row>
    <row r="97" ht="12.75">
      <c r="A97" s="268"/>
    </row>
    <row r="98" ht="12.75">
      <c r="A98" s="268"/>
    </row>
    <row r="99" ht="12.75">
      <c r="A99" s="268"/>
    </row>
    <row r="100" ht="12.75">
      <c r="A100" s="268"/>
    </row>
    <row r="101" ht="12.75">
      <c r="A101" s="268"/>
    </row>
    <row r="102" ht="12.75">
      <c r="A102" s="268"/>
    </row>
    <row r="103" ht="12.75">
      <c r="A103" s="268"/>
    </row>
    <row r="104" ht="12.75">
      <c r="A104" s="268"/>
    </row>
    <row r="105" ht="12.75">
      <c r="A105" s="268"/>
    </row>
    <row r="106" ht="12.75">
      <c r="A106" s="268"/>
    </row>
    <row r="107" ht="12.75">
      <c r="A107" s="268"/>
    </row>
    <row r="108" ht="12.75">
      <c r="A108" s="268"/>
    </row>
    <row r="109" ht="12.75">
      <c r="A109" s="268"/>
    </row>
    <row r="110" ht="12.75">
      <c r="A110" s="268"/>
    </row>
    <row r="111" ht="12.75">
      <c r="A111" s="268"/>
    </row>
    <row r="112" ht="12.75">
      <c r="A112" s="268"/>
    </row>
    <row r="113" ht="12.75">
      <c r="A113" s="268"/>
    </row>
    <row r="114" ht="12.75">
      <c r="A114" s="268"/>
    </row>
    <row r="115" ht="12.75">
      <c r="A115" s="268"/>
    </row>
    <row r="116" ht="12.75">
      <c r="A116" s="268"/>
    </row>
    <row r="117" ht="12.75">
      <c r="A117" s="268"/>
    </row>
    <row r="118" ht="12.75">
      <c r="A118" s="268"/>
    </row>
    <row r="119" ht="12.75">
      <c r="A119" s="268"/>
    </row>
    <row r="120" ht="12.75">
      <c r="A120" s="268"/>
    </row>
    <row r="121" ht="12.75">
      <c r="A121" s="268"/>
    </row>
    <row r="122" ht="12.75">
      <c r="A122" s="268"/>
    </row>
    <row r="123" ht="12.75">
      <c r="A123" s="268"/>
    </row>
    <row r="124" ht="12.75">
      <c r="A124" s="268"/>
    </row>
    <row r="125" ht="12.75">
      <c r="A125" s="268"/>
    </row>
    <row r="126" ht="12.75">
      <c r="A126" s="268"/>
    </row>
    <row r="127" ht="12.75">
      <c r="A127" s="268"/>
    </row>
  </sheetData>
  <sheetProtection/>
  <mergeCells count="27">
    <mergeCell ref="L8:L9"/>
    <mergeCell ref="K6:L6"/>
    <mergeCell ref="C49:D49"/>
    <mergeCell ref="F49:K49"/>
    <mergeCell ref="M6:M9"/>
    <mergeCell ref="E7:F7"/>
    <mergeCell ref="K7:L7"/>
    <mergeCell ref="E8:E9"/>
    <mergeCell ref="F8:F9"/>
    <mergeCell ref="H8:H9"/>
    <mergeCell ref="J8:J9"/>
    <mergeCell ref="A6:A9"/>
    <mergeCell ref="B6:B9"/>
    <mergeCell ref="D6:D9"/>
    <mergeCell ref="E6:F6"/>
    <mergeCell ref="G6:H7"/>
    <mergeCell ref="I6:J7"/>
    <mergeCell ref="E51:J51"/>
    <mergeCell ref="A1:M1"/>
    <mergeCell ref="A2:M2"/>
    <mergeCell ref="A3:M3"/>
    <mergeCell ref="B4:C4"/>
    <mergeCell ref="F4:I4"/>
    <mergeCell ref="J4:K4"/>
    <mergeCell ref="B5:C5"/>
    <mergeCell ref="G5:I5"/>
    <mergeCell ref="J5:K5"/>
  </mergeCells>
  <printOptions horizontalCentered="1"/>
  <pageMargins left="0.45" right="0" top="0.5" bottom="0.5" header="0.3" footer="0.3"/>
  <pageSetup horizontalDpi="600" verticalDpi="600" orientation="landscape" paperSize="9" r:id="rId1"/>
  <headerFooter>
    <oddHeader>&amp;Cსაგანმანათლებლო და სამეცნიერო ინფრასტრუქტურის განვითარების სააგენტო</oddHeader>
    <oddFooter>&amp;Lხარჯთაღრიცხვა&amp;R&amp;P/&amp;N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BA53"/>
  <sheetViews>
    <sheetView zoomScalePageLayoutView="0" workbookViewId="0" topLeftCell="A1">
      <pane ySplit="7" topLeftCell="A37" activePane="bottomLeft" state="frozen"/>
      <selection pane="topLeft" activeCell="A1" sqref="A1"/>
      <selection pane="bottomLeft" activeCell="I6" sqref="I6:J6"/>
    </sheetView>
  </sheetViews>
  <sheetFormatPr defaultColWidth="9.00390625" defaultRowHeight="12.75"/>
  <cols>
    <col min="1" max="1" width="3.00390625" style="22" customWidth="1"/>
    <col min="2" max="2" width="7.875" style="22" customWidth="1"/>
    <col min="3" max="3" width="41.25390625" style="22" customWidth="1"/>
    <col min="4" max="4" width="7.875" style="22" customWidth="1"/>
    <col min="5" max="6" width="8.875" style="22" customWidth="1"/>
    <col min="7" max="7" width="8.00390625" style="22" customWidth="1"/>
    <col min="8" max="8" width="12.625" style="22" customWidth="1"/>
    <col min="9" max="9" width="8.875" style="22" customWidth="1"/>
    <col min="10" max="10" width="9.75390625" style="22" customWidth="1"/>
    <col min="11" max="11" width="8.375" style="22" customWidth="1"/>
    <col min="12" max="12" width="8.875" style="22" customWidth="1"/>
    <col min="13" max="13" width="13.00390625" style="22" customWidth="1"/>
    <col min="14" max="16384" width="9.125" style="22" customWidth="1"/>
  </cols>
  <sheetData>
    <row r="1" spans="1:13" s="314" customFormat="1" ht="17.25" customHeight="1">
      <c r="A1" s="511" t="s">
        <v>894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</row>
    <row r="2" spans="1:13" s="314" customFormat="1" ht="17.25" customHeight="1">
      <c r="A2" s="518" t="s">
        <v>740</v>
      </c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</row>
    <row r="3" spans="1:13" s="314" customFormat="1" ht="16.5" customHeight="1">
      <c r="A3" s="581" t="s">
        <v>221</v>
      </c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/>
    </row>
    <row r="4" spans="2:12" s="317" customFormat="1" ht="13.5">
      <c r="B4" s="513" t="s">
        <v>428</v>
      </c>
      <c r="C4" s="514"/>
      <c r="D4" s="24"/>
      <c r="E4" s="24"/>
      <c r="F4" s="520" t="s">
        <v>184</v>
      </c>
      <c r="G4" s="520"/>
      <c r="H4" s="520"/>
      <c r="I4" s="520"/>
      <c r="J4" s="579">
        <f>M49</f>
        <v>1144.8488058479998</v>
      </c>
      <c r="K4" s="580"/>
      <c r="L4" s="25" t="s">
        <v>43</v>
      </c>
    </row>
    <row r="5" spans="1:12" s="317" customFormat="1" ht="13.5">
      <c r="A5" s="319"/>
      <c r="B5" s="513" t="s">
        <v>876</v>
      </c>
      <c r="C5" s="514"/>
      <c r="D5" s="26"/>
      <c r="E5" s="26"/>
      <c r="F5" s="25"/>
      <c r="G5" s="531" t="s">
        <v>185</v>
      </c>
      <c r="H5" s="531"/>
      <c r="I5" s="531"/>
      <c r="J5" s="579">
        <f>J49</f>
        <v>235.214348688</v>
      </c>
      <c r="K5" s="580"/>
      <c r="L5" s="25" t="s">
        <v>43</v>
      </c>
    </row>
    <row r="6" spans="1:13" ht="43.5" customHeight="1">
      <c r="A6" s="509" t="s">
        <v>61</v>
      </c>
      <c r="B6" s="497" t="s">
        <v>74</v>
      </c>
      <c r="C6" s="497" t="s">
        <v>63</v>
      </c>
      <c r="D6" s="497" t="s">
        <v>44</v>
      </c>
      <c r="E6" s="475" t="s">
        <v>45</v>
      </c>
      <c r="F6" s="477"/>
      <c r="G6" s="495" t="s">
        <v>46</v>
      </c>
      <c r="H6" s="496"/>
      <c r="I6" s="505" t="s">
        <v>47</v>
      </c>
      <c r="J6" s="506"/>
      <c r="K6" s="505" t="s">
        <v>48</v>
      </c>
      <c r="L6" s="506"/>
      <c r="M6" s="507" t="s">
        <v>49</v>
      </c>
    </row>
    <row r="7" spans="1:13" ht="54">
      <c r="A7" s="510"/>
      <c r="B7" s="498"/>
      <c r="C7" s="498"/>
      <c r="D7" s="498"/>
      <c r="E7" s="74" t="s">
        <v>50</v>
      </c>
      <c r="F7" s="74" t="s">
        <v>51</v>
      </c>
      <c r="G7" s="320" t="s">
        <v>52</v>
      </c>
      <c r="H7" s="108" t="s">
        <v>49</v>
      </c>
      <c r="I7" s="285" t="s">
        <v>52</v>
      </c>
      <c r="J7" s="108" t="s">
        <v>49</v>
      </c>
      <c r="K7" s="285" t="s">
        <v>52</v>
      </c>
      <c r="L7" s="108" t="s">
        <v>49</v>
      </c>
      <c r="M7" s="508"/>
    </row>
    <row r="8" spans="1:13" s="321" customFormat="1" ht="15">
      <c r="A8" s="126" t="s">
        <v>53</v>
      </c>
      <c r="B8" s="126">
        <v>2</v>
      </c>
      <c r="C8" s="126">
        <v>3</v>
      </c>
      <c r="D8" s="126">
        <v>4</v>
      </c>
      <c r="E8" s="126">
        <v>5</v>
      </c>
      <c r="F8" s="274">
        <v>6</v>
      </c>
      <c r="G8" s="275" t="s">
        <v>60</v>
      </c>
      <c r="H8" s="276">
        <v>8</v>
      </c>
      <c r="I8" s="274">
        <v>9</v>
      </c>
      <c r="J8" s="276">
        <v>10</v>
      </c>
      <c r="K8" s="274">
        <v>11</v>
      </c>
      <c r="L8" s="276">
        <v>12</v>
      </c>
      <c r="M8" s="276">
        <v>13</v>
      </c>
    </row>
    <row r="9" spans="1:13" s="135" customFormat="1" ht="19.5" customHeight="1">
      <c r="A9" s="28">
        <v>1</v>
      </c>
      <c r="B9" s="149" t="s">
        <v>629</v>
      </c>
      <c r="C9" s="43" t="s">
        <v>222</v>
      </c>
      <c r="D9" s="28" t="s">
        <v>66</v>
      </c>
      <c r="E9" s="28"/>
      <c r="F9" s="164">
        <v>6</v>
      </c>
      <c r="G9" s="30"/>
      <c r="H9" s="30"/>
      <c r="I9" s="30"/>
      <c r="J9" s="30"/>
      <c r="K9" s="30"/>
      <c r="L9" s="30"/>
      <c r="M9" s="30"/>
    </row>
    <row r="10" spans="1:13" s="135" customFormat="1" ht="13.5">
      <c r="A10" s="1"/>
      <c r="B10" s="120"/>
      <c r="C10" s="19" t="s">
        <v>630</v>
      </c>
      <c r="D10" s="1" t="s">
        <v>366</v>
      </c>
      <c r="E10" s="1">
        <f>2.78*0.8</f>
        <v>2.2239999999999998</v>
      </c>
      <c r="F10" s="13">
        <f>F9*E10</f>
        <v>13.343999999999998</v>
      </c>
      <c r="G10" s="13"/>
      <c r="H10" s="13"/>
      <c r="I10" s="13">
        <v>6</v>
      </c>
      <c r="J10" s="13">
        <f>F10*I10</f>
        <v>80.064</v>
      </c>
      <c r="K10" s="13"/>
      <c r="L10" s="13"/>
      <c r="M10" s="13">
        <f>H10+J10+L10</f>
        <v>80.064</v>
      </c>
    </row>
    <row r="11" spans="1:13" s="121" customFormat="1" ht="27">
      <c r="A11" s="28">
        <v>2</v>
      </c>
      <c r="B11" s="149" t="s">
        <v>214</v>
      </c>
      <c r="C11" s="43" t="s">
        <v>413</v>
      </c>
      <c r="D11" s="28" t="s">
        <v>66</v>
      </c>
      <c r="E11" s="28"/>
      <c r="F11" s="164">
        <v>4.8</v>
      </c>
      <c r="G11" s="30"/>
      <c r="H11" s="30"/>
      <c r="I11" s="30"/>
      <c r="J11" s="30"/>
      <c r="K11" s="30"/>
      <c r="L11" s="30"/>
      <c r="M11" s="30"/>
    </row>
    <row r="12" spans="1:13" s="121" customFormat="1" ht="16.5" customHeight="1">
      <c r="A12" s="1"/>
      <c r="B12" s="120"/>
      <c r="C12" s="19" t="s">
        <v>54</v>
      </c>
      <c r="D12" s="1" t="s">
        <v>366</v>
      </c>
      <c r="E12" s="1">
        <v>1.21</v>
      </c>
      <c r="F12" s="13">
        <f>F11*E12</f>
        <v>5.808</v>
      </c>
      <c r="G12" s="13"/>
      <c r="H12" s="13"/>
      <c r="I12" s="13">
        <v>6</v>
      </c>
      <c r="J12" s="13">
        <f>F12*I12</f>
        <v>34.848</v>
      </c>
      <c r="K12" s="13"/>
      <c r="L12" s="13"/>
      <c r="M12" s="13">
        <f>H12+J12+L12</f>
        <v>34.848</v>
      </c>
    </row>
    <row r="13" spans="1:13" s="121" customFormat="1" ht="27">
      <c r="A13" s="28">
        <v>3</v>
      </c>
      <c r="B13" s="311" t="s">
        <v>858</v>
      </c>
      <c r="C13" s="117" t="s">
        <v>859</v>
      </c>
      <c r="D13" s="28" t="s">
        <v>75</v>
      </c>
      <c r="E13" s="118"/>
      <c r="F13" s="164">
        <f>(F9-F11)*1.91</f>
        <v>2.2920000000000003</v>
      </c>
      <c r="G13" s="30"/>
      <c r="H13" s="30"/>
      <c r="I13" s="30"/>
      <c r="J13" s="30"/>
      <c r="K13" s="30"/>
      <c r="L13" s="30"/>
      <c r="M13" s="30"/>
    </row>
    <row r="14" spans="1:13" s="121" customFormat="1" ht="13.5" customHeight="1">
      <c r="A14" s="1"/>
      <c r="B14" s="12"/>
      <c r="C14" s="19" t="s">
        <v>54</v>
      </c>
      <c r="D14" s="1" t="s">
        <v>55</v>
      </c>
      <c r="E14" s="16">
        <v>0.53</v>
      </c>
      <c r="F14" s="13">
        <f>F13*E14</f>
        <v>1.2147600000000003</v>
      </c>
      <c r="G14" s="13"/>
      <c r="H14" s="107"/>
      <c r="I14" s="13">
        <v>4.6</v>
      </c>
      <c r="J14" s="13">
        <f>F14*I14</f>
        <v>5.587896000000001</v>
      </c>
      <c r="K14" s="13"/>
      <c r="L14" s="13"/>
      <c r="M14" s="13">
        <f>H14+J14+L14</f>
        <v>5.587896000000001</v>
      </c>
    </row>
    <row r="15" spans="1:13" s="135" customFormat="1" ht="17.25" customHeight="1">
      <c r="A15" s="47">
        <v>4</v>
      </c>
      <c r="B15" s="126"/>
      <c r="C15" s="46" t="s">
        <v>424</v>
      </c>
      <c r="D15" s="47" t="s">
        <v>75</v>
      </c>
      <c r="E15" s="47"/>
      <c r="F15" s="161">
        <f>F13</f>
        <v>2.2920000000000003</v>
      </c>
      <c r="G15" s="108"/>
      <c r="H15" s="108"/>
      <c r="I15" s="108"/>
      <c r="J15" s="108"/>
      <c r="K15" s="108">
        <v>3.32</v>
      </c>
      <c r="L15" s="108">
        <f>F15*K15</f>
        <v>7.60944</v>
      </c>
      <c r="M15" s="108">
        <f>H15+J15+L15</f>
        <v>7.60944</v>
      </c>
    </row>
    <row r="16" spans="1:13" s="268" customFormat="1" ht="14.25" customHeight="1">
      <c r="A16" s="47">
        <v>5</v>
      </c>
      <c r="B16" s="27" t="s">
        <v>316</v>
      </c>
      <c r="C16" s="117" t="s">
        <v>631</v>
      </c>
      <c r="D16" s="152" t="s">
        <v>115</v>
      </c>
      <c r="E16" s="405"/>
      <c r="F16" s="164">
        <v>7</v>
      </c>
      <c r="G16" s="30"/>
      <c r="H16" s="30"/>
      <c r="I16" s="30"/>
      <c r="J16" s="30"/>
      <c r="K16" s="30"/>
      <c r="L16" s="30"/>
      <c r="M16" s="30"/>
    </row>
    <row r="17" spans="1:13" s="268" customFormat="1" ht="15" customHeight="1">
      <c r="A17" s="406"/>
      <c r="B17" s="406"/>
      <c r="C17" s="4" t="s">
        <v>223</v>
      </c>
      <c r="D17" s="1" t="s">
        <v>366</v>
      </c>
      <c r="E17" s="407">
        <v>0.0959</v>
      </c>
      <c r="F17" s="13">
        <f>F16*E17</f>
        <v>0.6713</v>
      </c>
      <c r="G17" s="13"/>
      <c r="H17" s="13"/>
      <c r="I17" s="13">
        <v>4.6</v>
      </c>
      <c r="J17" s="13">
        <f>F17*I17</f>
        <v>3.08798</v>
      </c>
      <c r="K17" s="13"/>
      <c r="L17" s="13"/>
      <c r="M17" s="13">
        <f>H17+J17+L17</f>
        <v>3.08798</v>
      </c>
    </row>
    <row r="18" spans="1:13" s="268" customFormat="1" ht="13.5">
      <c r="A18" s="406"/>
      <c r="B18" s="406"/>
      <c r="C18" s="4" t="s">
        <v>224</v>
      </c>
      <c r="D18" s="1" t="s">
        <v>43</v>
      </c>
      <c r="E18" s="407">
        <v>0.0452</v>
      </c>
      <c r="F18" s="13">
        <f>F16*E18</f>
        <v>0.31639999999999996</v>
      </c>
      <c r="G18" s="13"/>
      <c r="H18" s="13"/>
      <c r="I18" s="13"/>
      <c r="J18" s="13"/>
      <c r="K18" s="13">
        <v>3.2</v>
      </c>
      <c r="L18" s="13">
        <f>F18*K18</f>
        <v>1.0124799999999998</v>
      </c>
      <c r="M18" s="13">
        <f>H18+J18+L18</f>
        <v>1.0124799999999998</v>
      </c>
    </row>
    <row r="19" spans="1:13" s="268" customFormat="1" ht="13.5">
      <c r="A19" s="406"/>
      <c r="B19" s="406"/>
      <c r="C19" s="4" t="s">
        <v>46</v>
      </c>
      <c r="D19" s="1"/>
      <c r="E19" s="407"/>
      <c r="F19" s="13"/>
      <c r="G19" s="13"/>
      <c r="H19" s="13"/>
      <c r="I19" s="13"/>
      <c r="J19" s="13"/>
      <c r="K19" s="13"/>
      <c r="L19" s="13"/>
      <c r="M19" s="13"/>
    </row>
    <row r="20" spans="1:13" s="135" customFormat="1" ht="13.5">
      <c r="A20" s="406"/>
      <c r="B20" s="406"/>
      <c r="C20" s="4" t="s">
        <v>632</v>
      </c>
      <c r="D20" s="18" t="s">
        <v>115</v>
      </c>
      <c r="E20" s="407">
        <v>1.01</v>
      </c>
      <c r="F20" s="13">
        <f>F16*E20</f>
        <v>7.07</v>
      </c>
      <c r="G20" s="13">
        <v>3.8</v>
      </c>
      <c r="H20" s="13">
        <f>F20*G20</f>
        <v>26.866</v>
      </c>
      <c r="I20" s="13"/>
      <c r="J20" s="13"/>
      <c r="K20" s="13"/>
      <c r="L20" s="13"/>
      <c r="M20" s="13">
        <f>H20+J20+L20</f>
        <v>26.866</v>
      </c>
    </row>
    <row r="21" spans="1:13" s="135" customFormat="1" ht="15" customHeight="1">
      <c r="A21" s="406"/>
      <c r="B21" s="406"/>
      <c r="C21" s="4" t="s">
        <v>225</v>
      </c>
      <c r="D21" s="1" t="s">
        <v>43</v>
      </c>
      <c r="E21" s="407">
        <v>0.006</v>
      </c>
      <c r="F21" s="13">
        <f>F16*E21</f>
        <v>0.042</v>
      </c>
      <c r="G21" s="13">
        <v>3.2</v>
      </c>
      <c r="H21" s="13">
        <f>F21*G21</f>
        <v>0.13440000000000002</v>
      </c>
      <c r="I21" s="13"/>
      <c r="J21" s="13"/>
      <c r="K21" s="13"/>
      <c r="L21" s="13"/>
      <c r="M21" s="13">
        <f>H21+J21+L21</f>
        <v>0.13440000000000002</v>
      </c>
    </row>
    <row r="22" spans="1:13" s="146" customFormat="1" ht="17.25" customHeight="1">
      <c r="A22" s="28">
        <v>6</v>
      </c>
      <c r="B22" s="27" t="s">
        <v>633</v>
      </c>
      <c r="C22" s="43" t="s">
        <v>338</v>
      </c>
      <c r="D22" s="152" t="s">
        <v>59</v>
      </c>
      <c r="E22" s="118"/>
      <c r="F22" s="164">
        <v>1</v>
      </c>
      <c r="G22" s="30"/>
      <c r="H22" s="30"/>
      <c r="I22" s="30"/>
      <c r="J22" s="30"/>
      <c r="K22" s="30"/>
      <c r="L22" s="30"/>
      <c r="M22" s="30"/>
    </row>
    <row r="23" spans="1:13" s="146" customFormat="1" ht="15" customHeight="1">
      <c r="A23" s="1"/>
      <c r="B23" s="12"/>
      <c r="C23" s="19" t="s">
        <v>54</v>
      </c>
      <c r="D23" s="1" t="s">
        <v>366</v>
      </c>
      <c r="E23" s="14">
        <v>1.38</v>
      </c>
      <c r="F23" s="13">
        <f>F22*E23</f>
        <v>1.38</v>
      </c>
      <c r="G23" s="13"/>
      <c r="H23" s="13"/>
      <c r="I23" s="13">
        <v>6</v>
      </c>
      <c r="J23" s="13">
        <f>F23*I23</f>
        <v>8.28</v>
      </c>
      <c r="K23" s="13"/>
      <c r="L23" s="13"/>
      <c r="M23" s="13">
        <f>H23+J23+L23</f>
        <v>8.28</v>
      </c>
    </row>
    <row r="24" spans="1:13" s="146" customFormat="1" ht="14.25" customHeight="1">
      <c r="A24" s="1"/>
      <c r="B24" s="257"/>
      <c r="C24" s="19" t="s">
        <v>116</v>
      </c>
      <c r="D24" s="18" t="s">
        <v>43</v>
      </c>
      <c r="E24" s="14">
        <v>0.06</v>
      </c>
      <c r="F24" s="13">
        <f>F22*E24</f>
        <v>0.06</v>
      </c>
      <c r="G24" s="13"/>
      <c r="H24" s="13"/>
      <c r="I24" s="13"/>
      <c r="J24" s="13"/>
      <c r="K24" s="13">
        <v>3.2</v>
      </c>
      <c r="L24" s="13">
        <f>F24*K24</f>
        <v>0.192</v>
      </c>
      <c r="M24" s="13">
        <f>H24+J24+L24</f>
        <v>0.192</v>
      </c>
    </row>
    <row r="25" spans="1:13" s="146" customFormat="1" ht="14.25" customHeight="1">
      <c r="A25" s="1"/>
      <c r="B25" s="257"/>
      <c r="C25" s="19" t="s">
        <v>56</v>
      </c>
      <c r="D25" s="18"/>
      <c r="E25" s="14"/>
      <c r="F25" s="13"/>
      <c r="G25" s="13"/>
      <c r="H25" s="13"/>
      <c r="I25" s="13"/>
      <c r="J25" s="13"/>
      <c r="K25" s="13"/>
      <c r="L25" s="13"/>
      <c r="M25" s="13"/>
    </row>
    <row r="26" spans="1:13" s="146" customFormat="1" ht="14.25" customHeight="1">
      <c r="A26" s="1"/>
      <c r="B26" s="257"/>
      <c r="C26" s="19" t="s">
        <v>338</v>
      </c>
      <c r="D26" s="18" t="s">
        <v>59</v>
      </c>
      <c r="E26" s="14">
        <v>1</v>
      </c>
      <c r="F26" s="13">
        <f>F22*E26</f>
        <v>1</v>
      </c>
      <c r="G26" s="13">
        <v>33.9</v>
      </c>
      <c r="H26" s="13">
        <f>F26*G26</f>
        <v>33.9</v>
      </c>
      <c r="I26" s="13"/>
      <c r="J26" s="13"/>
      <c r="K26" s="13"/>
      <c r="L26" s="13"/>
      <c r="M26" s="13">
        <f>H26+J26+L26</f>
        <v>33.9</v>
      </c>
    </row>
    <row r="27" spans="1:13" s="146" customFormat="1" ht="15" customHeight="1">
      <c r="A27" s="1"/>
      <c r="B27" s="257"/>
      <c r="C27" s="19" t="s">
        <v>57</v>
      </c>
      <c r="D27" s="18" t="s">
        <v>43</v>
      </c>
      <c r="E27" s="14">
        <v>0.38</v>
      </c>
      <c r="F27" s="13">
        <f>F22*E27</f>
        <v>0.38</v>
      </c>
      <c r="G27" s="13">
        <v>3.2</v>
      </c>
      <c r="H27" s="13">
        <f>F27*G27</f>
        <v>1.2160000000000002</v>
      </c>
      <c r="I27" s="13"/>
      <c r="J27" s="13"/>
      <c r="K27" s="13"/>
      <c r="L27" s="13"/>
      <c r="M27" s="13">
        <f>H27+J27+L27</f>
        <v>1.2160000000000002</v>
      </c>
    </row>
    <row r="28" spans="1:13" s="146" customFormat="1" ht="27">
      <c r="A28" s="28">
        <v>7</v>
      </c>
      <c r="B28" s="27" t="s">
        <v>238</v>
      </c>
      <c r="C28" s="117" t="s">
        <v>870</v>
      </c>
      <c r="D28" s="152" t="s">
        <v>66</v>
      </c>
      <c r="E28" s="118"/>
      <c r="F28" s="164">
        <v>0.95</v>
      </c>
      <c r="G28" s="30"/>
      <c r="H28" s="30"/>
      <c r="I28" s="30"/>
      <c r="J28" s="30"/>
      <c r="K28" s="30"/>
      <c r="L28" s="30"/>
      <c r="M28" s="30"/>
    </row>
    <row r="29" spans="1:13" s="146" customFormat="1" ht="15" customHeight="1">
      <c r="A29" s="1"/>
      <c r="B29" s="12"/>
      <c r="C29" s="19" t="s">
        <v>54</v>
      </c>
      <c r="D29" s="1" t="s">
        <v>366</v>
      </c>
      <c r="E29" s="14">
        <v>10.6</v>
      </c>
      <c r="F29" s="13">
        <f>F28*E29</f>
        <v>10.069999999999999</v>
      </c>
      <c r="G29" s="13"/>
      <c r="H29" s="13"/>
      <c r="I29" s="13">
        <v>6</v>
      </c>
      <c r="J29" s="13">
        <f>F29*I29</f>
        <v>60.41999999999999</v>
      </c>
      <c r="K29" s="13"/>
      <c r="L29" s="13"/>
      <c r="M29" s="13">
        <f>H29+J29+L29</f>
        <v>60.41999999999999</v>
      </c>
    </row>
    <row r="30" spans="1:13" s="146" customFormat="1" ht="14.25" customHeight="1">
      <c r="A30" s="1"/>
      <c r="B30" s="257"/>
      <c r="C30" s="19" t="s">
        <v>116</v>
      </c>
      <c r="D30" s="1" t="s">
        <v>43</v>
      </c>
      <c r="E30" s="14">
        <v>7.14</v>
      </c>
      <c r="F30" s="13">
        <f>F28*E30</f>
        <v>6.7829999999999995</v>
      </c>
      <c r="G30" s="13"/>
      <c r="H30" s="13"/>
      <c r="I30" s="13"/>
      <c r="J30" s="13"/>
      <c r="K30" s="13">
        <v>3.2</v>
      </c>
      <c r="L30" s="13">
        <f>F30*K30</f>
        <v>21.7056</v>
      </c>
      <c r="M30" s="13">
        <f>H30+J30+L30</f>
        <v>21.7056</v>
      </c>
    </row>
    <row r="31" spans="1:13" s="146" customFormat="1" ht="14.25" customHeight="1">
      <c r="A31" s="1"/>
      <c r="B31" s="257"/>
      <c r="C31" s="19" t="s">
        <v>56</v>
      </c>
      <c r="D31" s="18"/>
      <c r="E31" s="14"/>
      <c r="F31" s="13"/>
      <c r="G31" s="13"/>
      <c r="H31" s="13"/>
      <c r="I31" s="13"/>
      <c r="J31" s="13"/>
      <c r="K31" s="13"/>
      <c r="L31" s="13"/>
      <c r="M31" s="13"/>
    </row>
    <row r="32" spans="1:13" s="146" customFormat="1" ht="14.25" customHeight="1">
      <c r="A32" s="1"/>
      <c r="B32" s="257"/>
      <c r="C32" s="19" t="s">
        <v>419</v>
      </c>
      <c r="D32" s="18" t="s">
        <v>85</v>
      </c>
      <c r="E32" s="14">
        <v>1.12</v>
      </c>
      <c r="F32" s="13">
        <f>F28*E32</f>
        <v>1.064</v>
      </c>
      <c r="G32" s="13">
        <v>92</v>
      </c>
      <c r="H32" s="13">
        <f aca="true" t="shared" si="0" ref="H32:H38">F32*G32</f>
        <v>97.888</v>
      </c>
      <c r="I32" s="13"/>
      <c r="J32" s="13"/>
      <c r="K32" s="13"/>
      <c r="L32" s="13"/>
      <c r="M32" s="13">
        <f aca="true" t="shared" si="1" ref="M32:M38">H32+J32+L32</f>
        <v>97.888</v>
      </c>
    </row>
    <row r="33" spans="1:13" s="146" customFormat="1" ht="15.75" customHeight="1">
      <c r="A33" s="1"/>
      <c r="B33" s="257"/>
      <c r="C33" s="19" t="s">
        <v>420</v>
      </c>
      <c r="D33" s="18" t="s">
        <v>85</v>
      </c>
      <c r="E33" s="14">
        <v>0.24</v>
      </c>
      <c r="F33" s="13">
        <f>F28*E33</f>
        <v>0.22799999999999998</v>
      </c>
      <c r="G33" s="13">
        <v>68</v>
      </c>
      <c r="H33" s="13">
        <f t="shared" si="0"/>
        <v>15.503999999999998</v>
      </c>
      <c r="I33" s="13"/>
      <c r="J33" s="13"/>
      <c r="K33" s="13"/>
      <c r="L33" s="13"/>
      <c r="M33" s="13">
        <f t="shared" si="1"/>
        <v>15.503999999999998</v>
      </c>
    </row>
    <row r="34" spans="1:13" s="146" customFormat="1" ht="27">
      <c r="A34" s="1"/>
      <c r="B34" s="257"/>
      <c r="C34" s="19" t="s">
        <v>416</v>
      </c>
      <c r="D34" s="18" t="s">
        <v>66</v>
      </c>
      <c r="E34" s="1">
        <v>0.41</v>
      </c>
      <c r="F34" s="2">
        <f>F28*E34</f>
        <v>0.38949999999999996</v>
      </c>
      <c r="G34" s="2">
        <v>300</v>
      </c>
      <c r="H34" s="2">
        <f t="shared" si="0"/>
        <v>116.85</v>
      </c>
      <c r="I34" s="2"/>
      <c r="J34" s="2"/>
      <c r="K34" s="2"/>
      <c r="L34" s="2"/>
      <c r="M34" s="2">
        <f t="shared" si="1"/>
        <v>116.85</v>
      </c>
    </row>
    <row r="35" spans="1:13" s="146" customFormat="1" ht="14.25" customHeight="1">
      <c r="A35" s="1"/>
      <c r="B35" s="257"/>
      <c r="C35" s="19" t="s">
        <v>153</v>
      </c>
      <c r="D35" s="18" t="s">
        <v>66</v>
      </c>
      <c r="E35" s="14">
        <v>0.157</v>
      </c>
      <c r="F35" s="13">
        <f>F28*E35</f>
        <v>0.14915</v>
      </c>
      <c r="G35" s="13">
        <v>89</v>
      </c>
      <c r="H35" s="13">
        <f t="shared" si="0"/>
        <v>13.27435</v>
      </c>
      <c r="I35" s="13"/>
      <c r="J35" s="13"/>
      <c r="K35" s="13"/>
      <c r="L35" s="13"/>
      <c r="M35" s="13">
        <f t="shared" si="1"/>
        <v>13.27435</v>
      </c>
    </row>
    <row r="36" spans="1:13" s="146" customFormat="1" ht="13.5" customHeight="1">
      <c r="A36" s="1"/>
      <c r="B36" s="257"/>
      <c r="C36" s="19" t="s">
        <v>232</v>
      </c>
      <c r="D36" s="18" t="s">
        <v>65</v>
      </c>
      <c r="E36" s="14">
        <v>61</v>
      </c>
      <c r="F36" s="13">
        <f>F28*E36</f>
        <v>57.949999999999996</v>
      </c>
      <c r="G36" s="350">
        <v>1.542</v>
      </c>
      <c r="H36" s="13">
        <f t="shared" si="0"/>
        <v>89.35889999999999</v>
      </c>
      <c r="I36" s="13"/>
      <c r="J36" s="13"/>
      <c r="K36" s="13"/>
      <c r="L36" s="13"/>
      <c r="M36" s="13">
        <f t="shared" si="1"/>
        <v>89.35889999999999</v>
      </c>
    </row>
    <row r="37" spans="1:53" s="146" customFormat="1" ht="14.25" customHeight="1">
      <c r="A37" s="1"/>
      <c r="B37" s="257"/>
      <c r="C37" s="19" t="s">
        <v>218</v>
      </c>
      <c r="D37" s="18" t="s">
        <v>59</v>
      </c>
      <c r="E37" s="14"/>
      <c r="F37" s="165">
        <v>1</v>
      </c>
      <c r="G37" s="13">
        <v>316</v>
      </c>
      <c r="H37" s="13">
        <f t="shared" si="0"/>
        <v>316</v>
      </c>
      <c r="I37" s="13"/>
      <c r="J37" s="13"/>
      <c r="K37" s="13"/>
      <c r="L37" s="13"/>
      <c r="M37" s="13">
        <f t="shared" si="1"/>
        <v>316</v>
      </c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</row>
    <row r="38" spans="1:13" s="146" customFormat="1" ht="14.25" customHeight="1">
      <c r="A38" s="1"/>
      <c r="B38" s="257"/>
      <c r="C38" s="19" t="s">
        <v>57</v>
      </c>
      <c r="D38" s="1" t="s">
        <v>43</v>
      </c>
      <c r="E38" s="14">
        <v>6.61</v>
      </c>
      <c r="F38" s="13">
        <f>F28*E38</f>
        <v>6.2795</v>
      </c>
      <c r="G38" s="13">
        <v>3.2</v>
      </c>
      <c r="H38" s="13">
        <f t="shared" si="0"/>
        <v>20.0944</v>
      </c>
      <c r="I38" s="13"/>
      <c r="J38" s="13"/>
      <c r="K38" s="13"/>
      <c r="L38" s="13"/>
      <c r="M38" s="13">
        <f t="shared" si="1"/>
        <v>20.0944</v>
      </c>
    </row>
    <row r="39" spans="1:13" ht="27">
      <c r="A39" s="28">
        <v>8</v>
      </c>
      <c r="B39" s="27" t="s">
        <v>634</v>
      </c>
      <c r="C39" s="117" t="s">
        <v>635</v>
      </c>
      <c r="D39" s="152" t="s">
        <v>636</v>
      </c>
      <c r="E39" s="118"/>
      <c r="F39" s="164">
        <v>1</v>
      </c>
      <c r="G39" s="159"/>
      <c r="H39" s="30"/>
      <c r="I39" s="30"/>
      <c r="J39" s="30"/>
      <c r="K39" s="30"/>
      <c r="L39" s="30"/>
      <c r="M39" s="30"/>
    </row>
    <row r="40" spans="1:13" ht="13.5">
      <c r="A40" s="1"/>
      <c r="B40" s="12"/>
      <c r="C40" s="19" t="s">
        <v>54</v>
      </c>
      <c r="D40" s="18" t="s">
        <v>55</v>
      </c>
      <c r="E40" s="14">
        <v>1.24</v>
      </c>
      <c r="F40" s="13">
        <f>F39*E40</f>
        <v>1.24</v>
      </c>
      <c r="G40" s="158"/>
      <c r="H40" s="107"/>
      <c r="I40" s="13">
        <v>4.6</v>
      </c>
      <c r="J40" s="13">
        <f>F40*I40</f>
        <v>5.704</v>
      </c>
      <c r="K40" s="13"/>
      <c r="L40" s="13"/>
      <c r="M40" s="13">
        <f>H40+J40+L40</f>
        <v>5.704</v>
      </c>
    </row>
    <row r="41" spans="1:13" s="135" customFormat="1" ht="13.5">
      <c r="A41" s="1"/>
      <c r="B41" s="257"/>
      <c r="C41" s="19" t="s">
        <v>99</v>
      </c>
      <c r="D41" s="18" t="s">
        <v>43</v>
      </c>
      <c r="E41" s="14">
        <v>0.26</v>
      </c>
      <c r="F41" s="13">
        <f>F39*E41</f>
        <v>0.26</v>
      </c>
      <c r="G41" s="158"/>
      <c r="H41" s="13"/>
      <c r="I41" s="13"/>
      <c r="J41" s="13"/>
      <c r="K41" s="13">
        <v>3.2</v>
      </c>
      <c r="L41" s="13">
        <f>F41*K41</f>
        <v>0.8320000000000001</v>
      </c>
      <c r="M41" s="13">
        <f>H41+J41+L41</f>
        <v>0.8320000000000001</v>
      </c>
    </row>
    <row r="42" spans="1:13" ht="13.5">
      <c r="A42" s="1"/>
      <c r="B42" s="257"/>
      <c r="C42" s="19" t="s">
        <v>56</v>
      </c>
      <c r="D42" s="18"/>
      <c r="E42" s="14"/>
      <c r="F42" s="13"/>
      <c r="G42" s="158"/>
      <c r="H42" s="13"/>
      <c r="I42" s="13"/>
      <c r="J42" s="13"/>
      <c r="K42" s="13"/>
      <c r="L42" s="13"/>
      <c r="M42" s="13"/>
    </row>
    <row r="43" spans="1:13" ht="13.5">
      <c r="A43" s="1"/>
      <c r="B43" s="257"/>
      <c r="C43" s="19" t="s">
        <v>637</v>
      </c>
      <c r="D43" s="18" t="s">
        <v>85</v>
      </c>
      <c r="E43" s="14">
        <v>0.4</v>
      </c>
      <c r="F43" s="13">
        <f>F39*E43</f>
        <v>0.4</v>
      </c>
      <c r="G43" s="13">
        <v>7</v>
      </c>
      <c r="H43" s="13">
        <f>F43*G43</f>
        <v>2.8000000000000003</v>
      </c>
      <c r="I43" s="13"/>
      <c r="J43" s="13"/>
      <c r="K43" s="13"/>
      <c r="L43" s="13"/>
      <c r="M43" s="13">
        <f>H43+J43+L43</f>
        <v>2.8000000000000003</v>
      </c>
    </row>
    <row r="44" spans="1:13" ht="13.5">
      <c r="A44" s="37"/>
      <c r="B44" s="222"/>
      <c r="C44" s="123" t="s">
        <v>57</v>
      </c>
      <c r="D44" s="219" t="s">
        <v>43</v>
      </c>
      <c r="E44" s="44">
        <v>0.14</v>
      </c>
      <c r="F44" s="124">
        <f>F39*E44</f>
        <v>0.14</v>
      </c>
      <c r="G44" s="124">
        <v>3.2</v>
      </c>
      <c r="H44" s="124">
        <f>F44*G44</f>
        <v>0.44800000000000006</v>
      </c>
      <c r="I44" s="124"/>
      <c r="J44" s="124"/>
      <c r="K44" s="124"/>
      <c r="L44" s="124"/>
      <c r="M44" s="124">
        <f>H44+J44+L44</f>
        <v>0.44800000000000006</v>
      </c>
    </row>
    <row r="45" spans="1:13" ht="13.5">
      <c r="A45" s="284"/>
      <c r="B45" s="47"/>
      <c r="C45" s="48" t="s">
        <v>49</v>
      </c>
      <c r="D45" s="191"/>
      <c r="E45" s="49"/>
      <c r="F45" s="161"/>
      <c r="G45" s="192"/>
      <c r="H45" s="161">
        <f>SUM(H9:H44)</f>
        <v>734.3340499999998</v>
      </c>
      <c r="I45" s="161"/>
      <c r="J45" s="161">
        <f>SUM(J9:J44)</f>
        <v>197.991876</v>
      </c>
      <c r="K45" s="161"/>
      <c r="L45" s="161">
        <f>SUM(L9:L44)</f>
        <v>31.35152</v>
      </c>
      <c r="M45" s="161">
        <f>SUM(M9:M44)</f>
        <v>963.6774459999998</v>
      </c>
    </row>
    <row r="46" spans="1:13" s="53" customFormat="1" ht="13.5">
      <c r="A46" s="50"/>
      <c r="B46" s="51"/>
      <c r="C46" s="46" t="s">
        <v>226</v>
      </c>
      <c r="D46" s="81">
        <v>0.1</v>
      </c>
      <c r="E46" s="147"/>
      <c r="F46" s="108"/>
      <c r="G46" s="108"/>
      <c r="H46" s="108">
        <f>H45*D46</f>
        <v>73.43340499999998</v>
      </c>
      <c r="I46" s="108"/>
      <c r="J46" s="108">
        <f>J45*D46</f>
        <v>19.7991876</v>
      </c>
      <c r="K46" s="108"/>
      <c r="L46" s="108">
        <f>L45*D46</f>
        <v>3.135152</v>
      </c>
      <c r="M46" s="108">
        <f>M45*D46</f>
        <v>96.36774459999998</v>
      </c>
    </row>
    <row r="47" spans="1:13" s="53" customFormat="1" ht="13.5">
      <c r="A47" s="50"/>
      <c r="B47" s="51"/>
      <c r="C47" s="80" t="s">
        <v>49</v>
      </c>
      <c r="D47" s="51"/>
      <c r="E47" s="51"/>
      <c r="F47" s="185"/>
      <c r="G47" s="185"/>
      <c r="H47" s="108">
        <f>H45+H46</f>
        <v>807.7674549999998</v>
      </c>
      <c r="I47" s="108"/>
      <c r="J47" s="108">
        <f>J45+J46</f>
        <v>217.7910636</v>
      </c>
      <c r="K47" s="108"/>
      <c r="L47" s="108">
        <f>L45+L46</f>
        <v>34.486672</v>
      </c>
      <c r="M47" s="108">
        <f>M45+M46</f>
        <v>1060.0451905999998</v>
      </c>
    </row>
    <row r="48" spans="1:13" s="53" customFormat="1" ht="13.5">
      <c r="A48" s="50"/>
      <c r="B48" s="51"/>
      <c r="C48" s="46" t="s">
        <v>227</v>
      </c>
      <c r="D48" s="81">
        <v>0.08</v>
      </c>
      <c r="E48" s="51"/>
      <c r="F48" s="185"/>
      <c r="G48" s="185"/>
      <c r="H48" s="108">
        <f>H47*D48</f>
        <v>64.62139639999998</v>
      </c>
      <c r="I48" s="108"/>
      <c r="J48" s="108">
        <f>J47*D48</f>
        <v>17.423285088</v>
      </c>
      <c r="K48" s="108"/>
      <c r="L48" s="108">
        <f>L47*D48</f>
        <v>2.75893376</v>
      </c>
      <c r="M48" s="108">
        <f>M47*D48</f>
        <v>84.80361524799999</v>
      </c>
    </row>
    <row r="49" spans="1:13" s="53" customFormat="1" ht="13.5">
      <c r="A49" s="50"/>
      <c r="B49" s="51"/>
      <c r="C49" s="48" t="s">
        <v>49</v>
      </c>
      <c r="D49" s="54"/>
      <c r="E49" s="54"/>
      <c r="F49" s="190"/>
      <c r="G49" s="190"/>
      <c r="H49" s="187">
        <f aca="true" t="shared" si="2" ref="H49:M49">H47+H48</f>
        <v>872.3888513999998</v>
      </c>
      <c r="I49" s="187"/>
      <c r="J49" s="187">
        <f t="shared" si="2"/>
        <v>235.214348688</v>
      </c>
      <c r="K49" s="187"/>
      <c r="L49" s="187">
        <f t="shared" si="2"/>
        <v>37.24560576</v>
      </c>
      <c r="M49" s="187">
        <f t="shared" si="2"/>
        <v>1144.8488058479998</v>
      </c>
    </row>
    <row r="51" spans="1:13" ht="13.5">
      <c r="A51" s="268"/>
      <c r="B51" s="492" t="s">
        <v>58</v>
      </c>
      <c r="C51" s="541"/>
      <c r="D51" s="268"/>
      <c r="E51" s="492" t="s">
        <v>482</v>
      </c>
      <c r="F51" s="492"/>
      <c r="G51" s="492"/>
      <c r="H51" s="492"/>
      <c r="I51" s="492"/>
      <c r="J51" s="541"/>
      <c r="K51" s="268"/>
      <c r="L51" s="268"/>
      <c r="M51" s="268"/>
    </row>
    <row r="53" spans="1:13" ht="13.5">
      <c r="A53" s="146"/>
      <c r="B53" s="268"/>
      <c r="C53" s="458" t="s">
        <v>891</v>
      </c>
      <c r="D53" s="268"/>
      <c r="E53" s="492" t="s">
        <v>890</v>
      </c>
      <c r="F53" s="492"/>
      <c r="G53" s="492"/>
      <c r="H53" s="492"/>
      <c r="I53" s="492"/>
      <c r="J53" s="492"/>
      <c r="K53" s="268"/>
      <c r="L53" s="268"/>
      <c r="M53" s="268"/>
    </row>
  </sheetData>
  <sheetProtection/>
  <mergeCells count="21">
    <mergeCell ref="A1:M1"/>
    <mergeCell ref="A2:M2"/>
    <mergeCell ref="A3:M3"/>
    <mergeCell ref="B4:C4"/>
    <mergeCell ref="F4:I4"/>
    <mergeCell ref="J4:K4"/>
    <mergeCell ref="B5:C5"/>
    <mergeCell ref="G5:I5"/>
    <mergeCell ref="J5:K5"/>
    <mergeCell ref="A6:A7"/>
    <mergeCell ref="B6:B7"/>
    <mergeCell ref="C6:C7"/>
    <mergeCell ref="D6:D7"/>
    <mergeCell ref="E6:F6"/>
    <mergeCell ref="G6:H6"/>
    <mergeCell ref="E53:J53"/>
    <mergeCell ref="I6:J6"/>
    <mergeCell ref="K6:L6"/>
    <mergeCell ref="M6:M7"/>
    <mergeCell ref="B51:C51"/>
    <mergeCell ref="E51:J51"/>
  </mergeCells>
  <printOptions horizontalCentered="1"/>
  <pageMargins left="0.433070866141732" right="0" top="0.511811023622047" bottom="0.511811023622047" header="0.31496062992126" footer="0.31496062992126"/>
  <pageSetup horizontalDpi="600" verticalDpi="600" orientation="landscape" paperSize="9" r:id="rId1"/>
  <headerFooter>
    <oddHeader>&amp;Cსაგანმანათლებლო და სამეცნიერო ინფრასტრუქტურის განვითარების სააგენტო</oddHeader>
    <oddFooter>&amp;Lხარჯთაღრიცხვა&amp;R&amp;P/&amp;N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M46"/>
  <sheetViews>
    <sheetView zoomScalePageLayoutView="0" workbookViewId="0" topLeftCell="A1">
      <pane ySplit="7" topLeftCell="A29" activePane="bottomLeft" state="frozen"/>
      <selection pane="topLeft" activeCell="A1" sqref="A1"/>
      <selection pane="bottomLeft" activeCell="I6" sqref="I6:J6"/>
    </sheetView>
  </sheetViews>
  <sheetFormatPr defaultColWidth="9.00390625" defaultRowHeight="12.75"/>
  <cols>
    <col min="1" max="1" width="2.625" style="22" customWidth="1"/>
    <col min="2" max="2" width="6.875" style="22" customWidth="1"/>
    <col min="3" max="3" width="42.375" style="22" customWidth="1"/>
    <col min="4" max="4" width="8.25390625" style="22" customWidth="1"/>
    <col min="5" max="5" width="6.25390625" style="22" customWidth="1"/>
    <col min="6" max="6" width="8.875" style="22" customWidth="1"/>
    <col min="7" max="7" width="6.75390625" style="22" customWidth="1"/>
    <col min="8" max="8" width="11.625" style="22" customWidth="1"/>
    <col min="9" max="9" width="8.25390625" style="22" customWidth="1"/>
    <col min="10" max="10" width="11.375" style="22" customWidth="1"/>
    <col min="11" max="11" width="8.875" style="22" customWidth="1"/>
    <col min="12" max="12" width="11.125" style="22" customWidth="1"/>
    <col min="13" max="13" width="12.00390625" style="22" customWidth="1"/>
    <col min="14" max="16384" width="9.125" style="22" customWidth="1"/>
  </cols>
  <sheetData>
    <row r="1" spans="1:13" s="314" customFormat="1" ht="17.25" customHeight="1">
      <c r="A1" s="511" t="s">
        <v>894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</row>
    <row r="2" spans="1:13" s="314" customFormat="1" ht="17.25" customHeight="1">
      <c r="A2" s="518" t="s">
        <v>156</v>
      </c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</row>
    <row r="3" spans="1:13" s="314" customFormat="1" ht="16.5" customHeight="1">
      <c r="A3" s="581" t="s">
        <v>228</v>
      </c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/>
    </row>
    <row r="4" spans="2:12" s="317" customFormat="1" ht="13.5">
      <c r="B4" s="513" t="s">
        <v>428</v>
      </c>
      <c r="C4" s="514"/>
      <c r="D4" s="24"/>
      <c r="E4" s="24"/>
      <c r="F4" s="520" t="s">
        <v>184</v>
      </c>
      <c r="G4" s="520"/>
      <c r="H4" s="520"/>
      <c r="I4" s="520"/>
      <c r="J4" s="579">
        <f>M42</f>
        <v>1115.662867704</v>
      </c>
      <c r="K4" s="580"/>
      <c r="L4" s="25" t="s">
        <v>43</v>
      </c>
    </row>
    <row r="5" spans="1:12" s="317" customFormat="1" ht="13.5">
      <c r="A5" s="319"/>
      <c r="B5" s="513" t="s">
        <v>876</v>
      </c>
      <c r="C5" s="514"/>
      <c r="D5" s="26"/>
      <c r="E5" s="26"/>
      <c r="F5" s="25"/>
      <c r="G5" s="531" t="s">
        <v>185</v>
      </c>
      <c r="H5" s="531"/>
      <c r="I5" s="531"/>
      <c r="J5" s="579">
        <f>J42</f>
        <v>299.708991648</v>
      </c>
      <c r="K5" s="580"/>
      <c r="L5" s="25" t="s">
        <v>43</v>
      </c>
    </row>
    <row r="6" spans="1:13" ht="43.5" customHeight="1">
      <c r="A6" s="509" t="s">
        <v>61</v>
      </c>
      <c r="B6" s="497" t="s">
        <v>74</v>
      </c>
      <c r="C6" s="497" t="s">
        <v>63</v>
      </c>
      <c r="D6" s="497" t="s">
        <v>44</v>
      </c>
      <c r="E6" s="475" t="s">
        <v>45</v>
      </c>
      <c r="F6" s="477"/>
      <c r="G6" s="495" t="s">
        <v>46</v>
      </c>
      <c r="H6" s="496"/>
      <c r="I6" s="505" t="s">
        <v>47</v>
      </c>
      <c r="J6" s="506"/>
      <c r="K6" s="505" t="s">
        <v>48</v>
      </c>
      <c r="L6" s="506"/>
      <c r="M6" s="507" t="s">
        <v>49</v>
      </c>
    </row>
    <row r="7" spans="1:13" ht="67.5">
      <c r="A7" s="510"/>
      <c r="B7" s="498"/>
      <c r="C7" s="498"/>
      <c r="D7" s="498"/>
      <c r="E7" s="74" t="s">
        <v>50</v>
      </c>
      <c r="F7" s="74" t="s">
        <v>51</v>
      </c>
      <c r="G7" s="320" t="s">
        <v>52</v>
      </c>
      <c r="H7" s="108" t="s">
        <v>49</v>
      </c>
      <c r="I7" s="285" t="s">
        <v>52</v>
      </c>
      <c r="J7" s="108" t="s">
        <v>49</v>
      </c>
      <c r="K7" s="285" t="s">
        <v>52</v>
      </c>
      <c r="L7" s="108" t="s">
        <v>49</v>
      </c>
      <c r="M7" s="508"/>
    </row>
    <row r="8" spans="1:13" s="321" customFormat="1" ht="15">
      <c r="A8" s="408" t="s">
        <v>53</v>
      </c>
      <c r="B8" s="408">
        <v>2</v>
      </c>
      <c r="C8" s="408">
        <v>3</v>
      </c>
      <c r="D8" s="408">
        <v>4</v>
      </c>
      <c r="E8" s="408">
        <v>5</v>
      </c>
      <c r="F8" s="409">
        <v>6</v>
      </c>
      <c r="G8" s="410" t="s">
        <v>60</v>
      </c>
      <c r="H8" s="411">
        <v>8</v>
      </c>
      <c r="I8" s="409">
        <v>9</v>
      </c>
      <c r="J8" s="411">
        <v>10</v>
      </c>
      <c r="K8" s="409">
        <v>11</v>
      </c>
      <c r="L8" s="411">
        <v>12</v>
      </c>
      <c r="M8" s="411">
        <v>13</v>
      </c>
    </row>
    <row r="9" spans="1:13" s="135" customFormat="1" ht="16.5" customHeight="1">
      <c r="A9" s="28">
        <v>1</v>
      </c>
      <c r="B9" s="149" t="s">
        <v>629</v>
      </c>
      <c r="C9" s="43" t="s">
        <v>222</v>
      </c>
      <c r="D9" s="28" t="s">
        <v>66</v>
      </c>
      <c r="E9" s="28"/>
      <c r="F9" s="164">
        <v>5</v>
      </c>
      <c r="G9" s="30"/>
      <c r="H9" s="30"/>
      <c r="I9" s="30"/>
      <c r="J9" s="30"/>
      <c r="K9" s="30"/>
      <c r="L9" s="30"/>
      <c r="M9" s="30"/>
    </row>
    <row r="10" spans="1:13" s="135" customFormat="1" ht="13.5">
      <c r="A10" s="1"/>
      <c r="B10" s="120"/>
      <c r="C10" s="19" t="s">
        <v>630</v>
      </c>
      <c r="D10" s="1" t="s">
        <v>366</v>
      </c>
      <c r="E10" s="1">
        <f>2.78*0.8</f>
        <v>2.2239999999999998</v>
      </c>
      <c r="F10" s="13">
        <f>F9*E10</f>
        <v>11.12</v>
      </c>
      <c r="G10" s="13"/>
      <c r="H10" s="13"/>
      <c r="I10" s="13">
        <v>6</v>
      </c>
      <c r="J10" s="13">
        <f>F10*I10</f>
        <v>66.72</v>
      </c>
      <c r="K10" s="13"/>
      <c r="L10" s="13"/>
      <c r="M10" s="13">
        <f>H10+J10+L10</f>
        <v>66.72</v>
      </c>
    </row>
    <row r="11" spans="1:13" s="121" customFormat="1" ht="27">
      <c r="A11" s="28">
        <v>2</v>
      </c>
      <c r="B11" s="149" t="s">
        <v>214</v>
      </c>
      <c r="C11" s="43" t="s">
        <v>413</v>
      </c>
      <c r="D11" s="28" t="s">
        <v>66</v>
      </c>
      <c r="E11" s="28"/>
      <c r="F11" s="164">
        <v>3.8</v>
      </c>
      <c r="G11" s="30"/>
      <c r="H11" s="30"/>
      <c r="I11" s="30"/>
      <c r="J11" s="30"/>
      <c r="K11" s="30"/>
      <c r="L11" s="30"/>
      <c r="M11" s="30"/>
    </row>
    <row r="12" spans="1:13" s="121" customFormat="1" ht="16.5" customHeight="1">
      <c r="A12" s="1"/>
      <c r="B12" s="120"/>
      <c r="C12" s="19" t="s">
        <v>54</v>
      </c>
      <c r="D12" s="1" t="s">
        <v>55</v>
      </c>
      <c r="E12" s="1">
        <v>1.21</v>
      </c>
      <c r="F12" s="13">
        <f>F11*E12</f>
        <v>4.598</v>
      </c>
      <c r="G12" s="13"/>
      <c r="H12" s="13"/>
      <c r="I12" s="13">
        <v>6</v>
      </c>
      <c r="J12" s="13">
        <f>F12*I12</f>
        <v>27.588</v>
      </c>
      <c r="K12" s="13"/>
      <c r="L12" s="13"/>
      <c r="M12" s="13">
        <f>H12+J12+L12</f>
        <v>27.588</v>
      </c>
    </row>
    <row r="13" spans="1:13" s="121" customFormat="1" ht="27">
      <c r="A13" s="28">
        <v>3</v>
      </c>
      <c r="B13" s="311" t="s">
        <v>858</v>
      </c>
      <c r="C13" s="117" t="s">
        <v>859</v>
      </c>
      <c r="D13" s="28" t="s">
        <v>75</v>
      </c>
      <c r="E13" s="118"/>
      <c r="F13" s="164">
        <f>(F9-F11)*1.91</f>
        <v>2.2920000000000003</v>
      </c>
      <c r="G13" s="30"/>
      <c r="H13" s="30"/>
      <c r="I13" s="30"/>
      <c r="J13" s="30"/>
      <c r="K13" s="30"/>
      <c r="L13" s="30"/>
      <c r="M13" s="30"/>
    </row>
    <row r="14" spans="1:13" s="121" customFormat="1" ht="13.5" customHeight="1">
      <c r="A14" s="1"/>
      <c r="B14" s="12"/>
      <c r="C14" s="19" t="s">
        <v>54</v>
      </c>
      <c r="D14" s="1" t="s">
        <v>55</v>
      </c>
      <c r="E14" s="16">
        <v>0.53</v>
      </c>
      <c r="F14" s="13">
        <f>F13*E14</f>
        <v>1.2147600000000003</v>
      </c>
      <c r="G14" s="13"/>
      <c r="H14" s="107"/>
      <c r="I14" s="13">
        <v>4.6</v>
      </c>
      <c r="J14" s="13">
        <f>F14*I14</f>
        <v>5.587896000000001</v>
      </c>
      <c r="K14" s="13"/>
      <c r="L14" s="13"/>
      <c r="M14" s="13">
        <f>H14+J14+L14</f>
        <v>5.587896000000001</v>
      </c>
    </row>
    <row r="15" spans="1:13" s="135" customFormat="1" ht="16.5" customHeight="1">
      <c r="A15" s="47">
        <v>4</v>
      </c>
      <c r="B15" s="126"/>
      <c r="C15" s="46" t="s">
        <v>424</v>
      </c>
      <c r="D15" s="47" t="s">
        <v>75</v>
      </c>
      <c r="E15" s="47"/>
      <c r="F15" s="189">
        <f>F13</f>
        <v>2.2920000000000003</v>
      </c>
      <c r="G15" s="108"/>
      <c r="H15" s="108"/>
      <c r="I15" s="108"/>
      <c r="J15" s="108"/>
      <c r="K15" s="108">
        <v>3.32</v>
      </c>
      <c r="L15" s="108">
        <f>F15*K15</f>
        <v>7.60944</v>
      </c>
      <c r="M15" s="108">
        <f>H15+J15+L15</f>
        <v>7.60944</v>
      </c>
    </row>
    <row r="16" spans="1:13" s="268" customFormat="1" ht="27">
      <c r="A16" s="28">
        <v>5</v>
      </c>
      <c r="B16" s="27" t="s">
        <v>230</v>
      </c>
      <c r="C16" s="117" t="s">
        <v>638</v>
      </c>
      <c r="D16" s="152" t="s">
        <v>115</v>
      </c>
      <c r="E16" s="118"/>
      <c r="F16" s="164">
        <v>6</v>
      </c>
      <c r="G16" s="30"/>
      <c r="H16" s="30"/>
      <c r="I16" s="30"/>
      <c r="J16" s="30"/>
      <c r="K16" s="30"/>
      <c r="L16" s="30"/>
      <c r="M16" s="30"/>
    </row>
    <row r="17" spans="1:13" s="268" customFormat="1" ht="14.25" customHeight="1">
      <c r="A17" s="1"/>
      <c r="B17" s="12"/>
      <c r="C17" s="19" t="s">
        <v>54</v>
      </c>
      <c r="D17" s="1" t="s">
        <v>366</v>
      </c>
      <c r="E17" s="14">
        <v>0.119</v>
      </c>
      <c r="F17" s="13">
        <f>F16*E17</f>
        <v>0.714</v>
      </c>
      <c r="G17" s="158"/>
      <c r="H17" s="107"/>
      <c r="I17" s="13">
        <v>4.6</v>
      </c>
      <c r="J17" s="13">
        <f>F17*I17</f>
        <v>3.2843999999999998</v>
      </c>
      <c r="K17" s="13"/>
      <c r="L17" s="13"/>
      <c r="M17" s="13">
        <f>H17+J17+L17</f>
        <v>3.2843999999999998</v>
      </c>
    </row>
    <row r="18" spans="1:13" s="268" customFormat="1" ht="13.5" customHeight="1">
      <c r="A18" s="1"/>
      <c r="B18" s="257"/>
      <c r="C18" s="19" t="s">
        <v>116</v>
      </c>
      <c r="D18" s="1" t="s">
        <v>43</v>
      </c>
      <c r="E18" s="14">
        <v>0.0675</v>
      </c>
      <c r="F18" s="13">
        <f>F16*E18</f>
        <v>0.405</v>
      </c>
      <c r="G18" s="158"/>
      <c r="H18" s="13"/>
      <c r="I18" s="13"/>
      <c r="J18" s="13"/>
      <c r="K18" s="13">
        <v>3.2</v>
      </c>
      <c r="L18" s="13">
        <f>F18*K18</f>
        <v>1.2960000000000003</v>
      </c>
      <c r="M18" s="13">
        <f>H18+J18+L18</f>
        <v>1.2960000000000003</v>
      </c>
    </row>
    <row r="19" spans="1:13" s="268" customFormat="1" ht="13.5" customHeight="1">
      <c r="A19" s="1"/>
      <c r="B19" s="257"/>
      <c r="C19" s="19" t="s">
        <v>56</v>
      </c>
      <c r="D19" s="18"/>
      <c r="E19" s="14"/>
      <c r="F19" s="13"/>
      <c r="G19" s="158"/>
      <c r="H19" s="13"/>
      <c r="I19" s="13"/>
      <c r="J19" s="13"/>
      <c r="K19" s="13"/>
      <c r="L19" s="13"/>
      <c r="M19" s="13"/>
    </row>
    <row r="20" spans="1:13" s="268" customFormat="1" ht="14.25" customHeight="1">
      <c r="A20" s="1"/>
      <c r="B20" s="257"/>
      <c r="C20" s="19" t="s">
        <v>421</v>
      </c>
      <c r="D20" s="18" t="s">
        <v>115</v>
      </c>
      <c r="E20" s="14">
        <v>1.01</v>
      </c>
      <c r="F20" s="13">
        <f>F16*E20</f>
        <v>6.0600000000000005</v>
      </c>
      <c r="G20" s="158">
        <v>10.8</v>
      </c>
      <c r="H20" s="13">
        <f>F20*G20</f>
        <v>65.44800000000001</v>
      </c>
      <c r="I20" s="13"/>
      <c r="J20" s="13"/>
      <c r="K20" s="13"/>
      <c r="L20" s="13"/>
      <c r="M20" s="13">
        <f>H20+J20+L20</f>
        <v>65.44800000000001</v>
      </c>
    </row>
    <row r="21" spans="1:13" s="268" customFormat="1" ht="15" customHeight="1">
      <c r="A21" s="1"/>
      <c r="B21" s="257"/>
      <c r="C21" s="19" t="s">
        <v>57</v>
      </c>
      <c r="D21" s="1" t="s">
        <v>43</v>
      </c>
      <c r="E21" s="412">
        <v>0.00216</v>
      </c>
      <c r="F21" s="13">
        <f>F16*E21</f>
        <v>0.01296</v>
      </c>
      <c r="G21" s="13">
        <v>3.2</v>
      </c>
      <c r="H21" s="13">
        <f>F21*G21</f>
        <v>0.041472</v>
      </c>
      <c r="I21" s="13"/>
      <c r="J21" s="13"/>
      <c r="K21" s="13"/>
      <c r="L21" s="13"/>
      <c r="M21" s="13">
        <f>H21+J21+L21</f>
        <v>0.041472</v>
      </c>
    </row>
    <row r="22" spans="1:13" s="135" customFormat="1" ht="28.5" customHeight="1">
      <c r="A22" s="28">
        <v>6</v>
      </c>
      <c r="B22" s="27" t="s">
        <v>231</v>
      </c>
      <c r="C22" s="117" t="s">
        <v>871</v>
      </c>
      <c r="D22" s="152" t="s">
        <v>66</v>
      </c>
      <c r="E22" s="118"/>
      <c r="F22" s="164">
        <v>0.95</v>
      </c>
      <c r="G22" s="159"/>
      <c r="H22" s="30"/>
      <c r="I22" s="30"/>
      <c r="J22" s="30"/>
      <c r="K22" s="30"/>
      <c r="L22" s="30"/>
      <c r="M22" s="30"/>
    </row>
    <row r="23" spans="1:13" s="135" customFormat="1" ht="15" customHeight="1">
      <c r="A23" s="1"/>
      <c r="B23" s="12"/>
      <c r="C23" s="19" t="s">
        <v>54</v>
      </c>
      <c r="D23" s="1" t="s">
        <v>366</v>
      </c>
      <c r="E23" s="14">
        <v>12.6</v>
      </c>
      <c r="F23" s="13">
        <f>F22*E23</f>
        <v>11.969999999999999</v>
      </c>
      <c r="G23" s="158"/>
      <c r="H23" s="107"/>
      <c r="I23" s="13">
        <v>6</v>
      </c>
      <c r="J23" s="13">
        <f>F23*I23</f>
        <v>71.82</v>
      </c>
      <c r="K23" s="13"/>
      <c r="L23" s="13"/>
      <c r="M23" s="13">
        <f aca="true" t="shared" si="0" ref="M23:M31">H23+J23+L23</f>
        <v>71.82</v>
      </c>
    </row>
    <row r="24" spans="1:13" s="135" customFormat="1" ht="13.5">
      <c r="A24" s="1"/>
      <c r="B24" s="257"/>
      <c r="C24" s="19" t="s">
        <v>99</v>
      </c>
      <c r="D24" s="18" t="s">
        <v>43</v>
      </c>
      <c r="E24" s="14">
        <v>5.08</v>
      </c>
      <c r="F24" s="13">
        <f>F22*E24</f>
        <v>4.826</v>
      </c>
      <c r="G24" s="158"/>
      <c r="H24" s="13"/>
      <c r="I24" s="13"/>
      <c r="J24" s="13"/>
      <c r="K24" s="13">
        <v>3.2</v>
      </c>
      <c r="L24" s="13">
        <f>F24*K24</f>
        <v>15.4432</v>
      </c>
      <c r="M24" s="13">
        <f t="shared" si="0"/>
        <v>15.4432</v>
      </c>
    </row>
    <row r="25" spans="1:13" s="135" customFormat="1" ht="13.5">
      <c r="A25" s="1"/>
      <c r="B25" s="257"/>
      <c r="C25" s="19" t="s">
        <v>56</v>
      </c>
      <c r="D25" s="18"/>
      <c r="E25" s="14"/>
      <c r="F25" s="13"/>
      <c r="G25" s="158"/>
      <c r="H25" s="13"/>
      <c r="I25" s="13"/>
      <c r="J25" s="13"/>
      <c r="K25" s="13"/>
      <c r="L25" s="13"/>
      <c r="M25" s="13"/>
    </row>
    <row r="26" spans="1:13" s="135" customFormat="1" ht="13.5">
      <c r="A26" s="1"/>
      <c r="B26" s="257"/>
      <c r="C26" s="19" t="s">
        <v>418</v>
      </c>
      <c r="D26" s="18" t="s">
        <v>85</v>
      </c>
      <c r="E26" s="14">
        <v>1.49</v>
      </c>
      <c r="F26" s="13">
        <f>F22*E26</f>
        <v>1.4155</v>
      </c>
      <c r="G26" s="13">
        <v>92</v>
      </c>
      <c r="H26" s="13">
        <f aca="true" t="shared" si="1" ref="H26:H31">F26*G26</f>
        <v>130.226</v>
      </c>
      <c r="I26" s="13"/>
      <c r="J26" s="13"/>
      <c r="K26" s="13"/>
      <c r="L26" s="13"/>
      <c r="M26" s="13">
        <f t="shared" si="0"/>
        <v>130.226</v>
      </c>
    </row>
    <row r="27" spans="1:13" s="135" customFormat="1" ht="27">
      <c r="A27" s="1"/>
      <c r="B27" s="257"/>
      <c r="C27" s="19" t="s">
        <v>416</v>
      </c>
      <c r="D27" s="18" t="s">
        <v>66</v>
      </c>
      <c r="E27" s="1">
        <v>0.193</v>
      </c>
      <c r="F27" s="2">
        <f>F22*E27</f>
        <v>0.18334999999999999</v>
      </c>
      <c r="G27" s="2">
        <v>300</v>
      </c>
      <c r="H27" s="2">
        <f t="shared" si="1"/>
        <v>55.004999999999995</v>
      </c>
      <c r="I27" s="2"/>
      <c r="J27" s="2"/>
      <c r="K27" s="2"/>
      <c r="L27" s="2"/>
      <c r="M27" s="2">
        <f t="shared" si="0"/>
        <v>55.004999999999995</v>
      </c>
    </row>
    <row r="28" spans="1:13" s="135" customFormat="1" ht="13.5">
      <c r="A28" s="1"/>
      <c r="B28" s="257"/>
      <c r="C28" s="19" t="s">
        <v>232</v>
      </c>
      <c r="D28" s="18" t="s">
        <v>65</v>
      </c>
      <c r="E28" s="14">
        <v>16</v>
      </c>
      <c r="F28" s="13">
        <f>F22*E28</f>
        <v>15.2</v>
      </c>
      <c r="G28" s="350">
        <v>1.542</v>
      </c>
      <c r="H28" s="13">
        <f>F28*G28</f>
        <v>23.438399999999998</v>
      </c>
      <c r="I28" s="13"/>
      <c r="J28" s="13"/>
      <c r="K28" s="13"/>
      <c r="L28" s="13"/>
      <c r="M28" s="13">
        <f>H28+J28+L28</f>
        <v>23.438399999999998</v>
      </c>
    </row>
    <row r="29" spans="1:13" s="135" customFormat="1" ht="13.5">
      <c r="A29" s="1"/>
      <c r="B29" s="257"/>
      <c r="C29" s="19" t="s">
        <v>142</v>
      </c>
      <c r="D29" s="18" t="s">
        <v>66</v>
      </c>
      <c r="E29" s="14">
        <v>0.413</v>
      </c>
      <c r="F29" s="13">
        <f>F22*E29</f>
        <v>0.39235</v>
      </c>
      <c r="G29" s="13">
        <v>97</v>
      </c>
      <c r="H29" s="13">
        <f t="shared" si="1"/>
        <v>38.05795</v>
      </c>
      <c r="I29" s="13"/>
      <c r="J29" s="13"/>
      <c r="K29" s="13"/>
      <c r="L29" s="13"/>
      <c r="M29" s="13">
        <f t="shared" si="0"/>
        <v>38.05795</v>
      </c>
    </row>
    <row r="30" spans="1:13" s="135" customFormat="1" ht="16.5" customHeight="1">
      <c r="A30" s="1"/>
      <c r="B30" s="257"/>
      <c r="C30" s="19" t="s">
        <v>218</v>
      </c>
      <c r="D30" s="18" t="s">
        <v>59</v>
      </c>
      <c r="E30" s="14"/>
      <c r="F30" s="165">
        <v>1</v>
      </c>
      <c r="G30" s="13">
        <v>316</v>
      </c>
      <c r="H30" s="13">
        <f>F30*G30</f>
        <v>316</v>
      </c>
      <c r="I30" s="13"/>
      <c r="J30" s="13"/>
      <c r="K30" s="13"/>
      <c r="L30" s="13"/>
      <c r="M30" s="13">
        <f>H30+J30+L30</f>
        <v>316</v>
      </c>
    </row>
    <row r="31" spans="1:13" s="135" customFormat="1" ht="15.75" customHeight="1">
      <c r="A31" s="1"/>
      <c r="B31" s="257"/>
      <c r="C31" s="19" t="s">
        <v>57</v>
      </c>
      <c r="D31" s="18" t="s">
        <v>43</v>
      </c>
      <c r="E31" s="14">
        <v>7.01</v>
      </c>
      <c r="F31" s="13">
        <f>F22*E31</f>
        <v>6.6594999999999995</v>
      </c>
      <c r="G31" s="13">
        <v>3.2</v>
      </c>
      <c r="H31" s="13">
        <f t="shared" si="1"/>
        <v>21.3104</v>
      </c>
      <c r="I31" s="13"/>
      <c r="J31" s="13"/>
      <c r="K31" s="13"/>
      <c r="L31" s="13"/>
      <c r="M31" s="13">
        <f t="shared" si="0"/>
        <v>21.3104</v>
      </c>
    </row>
    <row r="32" spans="1:13" s="135" customFormat="1" ht="18.75" customHeight="1">
      <c r="A32" s="28">
        <v>7</v>
      </c>
      <c r="B32" s="27" t="s">
        <v>639</v>
      </c>
      <c r="C32" s="117" t="s">
        <v>640</v>
      </c>
      <c r="D32" s="152" t="s">
        <v>636</v>
      </c>
      <c r="E32" s="118"/>
      <c r="F32" s="164">
        <v>1</v>
      </c>
      <c r="G32" s="30"/>
      <c r="H32" s="30"/>
      <c r="I32" s="30"/>
      <c r="J32" s="30"/>
      <c r="K32" s="30"/>
      <c r="L32" s="30"/>
      <c r="M32" s="30"/>
    </row>
    <row r="33" spans="1:13" s="135" customFormat="1" ht="15.75" customHeight="1">
      <c r="A33" s="1"/>
      <c r="B33" s="12"/>
      <c r="C33" s="19" t="s">
        <v>54</v>
      </c>
      <c r="D33" s="18" t="s">
        <v>55</v>
      </c>
      <c r="E33" s="14">
        <v>16.8</v>
      </c>
      <c r="F33" s="13">
        <f>F32*E33</f>
        <v>16.8</v>
      </c>
      <c r="G33" s="158"/>
      <c r="H33" s="107"/>
      <c r="I33" s="13">
        <v>4.6</v>
      </c>
      <c r="J33" s="13">
        <f>F33*I33</f>
        <v>77.28</v>
      </c>
      <c r="K33" s="13"/>
      <c r="L33" s="13"/>
      <c r="M33" s="13">
        <f>H33+J33+L33</f>
        <v>77.28</v>
      </c>
    </row>
    <row r="34" spans="1:13" s="135" customFormat="1" ht="15.75" customHeight="1">
      <c r="A34" s="1"/>
      <c r="B34" s="257"/>
      <c r="C34" s="19" t="s">
        <v>56</v>
      </c>
      <c r="D34" s="18"/>
      <c r="E34" s="14"/>
      <c r="F34" s="13"/>
      <c r="G34" s="158"/>
      <c r="H34" s="13"/>
      <c r="I34" s="13"/>
      <c r="J34" s="13"/>
      <c r="K34" s="13"/>
      <c r="L34" s="13"/>
      <c r="M34" s="13"/>
    </row>
    <row r="35" spans="1:13" s="135" customFormat="1" ht="15.75" customHeight="1">
      <c r="A35" s="1"/>
      <c r="B35" s="257"/>
      <c r="C35" s="19" t="s">
        <v>153</v>
      </c>
      <c r="D35" s="18" t="s">
        <v>66</v>
      </c>
      <c r="E35" s="14">
        <v>0.05</v>
      </c>
      <c r="F35" s="13">
        <f>F32*E35</f>
        <v>0.05</v>
      </c>
      <c r="G35" s="13">
        <v>89</v>
      </c>
      <c r="H35" s="13">
        <f>F35*G35</f>
        <v>4.45</v>
      </c>
      <c r="I35" s="13"/>
      <c r="J35" s="13"/>
      <c r="K35" s="13"/>
      <c r="L35" s="13"/>
      <c r="M35" s="13">
        <f>H35+J35+L35</f>
        <v>4.45</v>
      </c>
    </row>
    <row r="36" spans="1:13" s="135" customFormat="1" ht="15.75" customHeight="1">
      <c r="A36" s="1"/>
      <c r="B36" s="257"/>
      <c r="C36" s="19" t="s">
        <v>211</v>
      </c>
      <c r="D36" s="18" t="s">
        <v>66</v>
      </c>
      <c r="E36" s="14">
        <v>0.2</v>
      </c>
      <c r="F36" s="13">
        <f>F32*E36</f>
        <v>0.2</v>
      </c>
      <c r="G36" s="13">
        <v>25.4</v>
      </c>
      <c r="H36" s="13">
        <f>F36*G36</f>
        <v>5.08</v>
      </c>
      <c r="I36" s="13"/>
      <c r="J36" s="13"/>
      <c r="K36" s="13"/>
      <c r="L36" s="13"/>
      <c r="M36" s="13">
        <f>H36+J36+L36</f>
        <v>5.08</v>
      </c>
    </row>
    <row r="37" spans="1:13" s="135" customFormat="1" ht="15.75" customHeight="1">
      <c r="A37" s="1"/>
      <c r="B37" s="257"/>
      <c r="C37" s="19" t="s">
        <v>57</v>
      </c>
      <c r="D37" s="18" t="s">
        <v>43</v>
      </c>
      <c r="E37" s="14">
        <v>1.07</v>
      </c>
      <c r="F37" s="13">
        <f>F32*E37</f>
        <v>1.07</v>
      </c>
      <c r="G37" s="13">
        <v>3.2</v>
      </c>
      <c r="H37" s="13">
        <f>F37*G37</f>
        <v>3.4240000000000004</v>
      </c>
      <c r="I37" s="13"/>
      <c r="J37" s="13"/>
      <c r="K37" s="13"/>
      <c r="L37" s="13"/>
      <c r="M37" s="13">
        <f>H37+J37+L37</f>
        <v>3.4240000000000004</v>
      </c>
    </row>
    <row r="38" spans="1:13" ht="13.5">
      <c r="A38" s="284"/>
      <c r="B38" s="47"/>
      <c r="C38" s="48" t="s">
        <v>49</v>
      </c>
      <c r="D38" s="52"/>
      <c r="E38" s="49"/>
      <c r="F38" s="161"/>
      <c r="G38" s="161"/>
      <c r="H38" s="161">
        <f>SUM(H9:H37)</f>
        <v>662.481222</v>
      </c>
      <c r="I38" s="161"/>
      <c r="J38" s="161">
        <f>SUM(J9:J37)</f>
        <v>252.280296</v>
      </c>
      <c r="K38" s="161"/>
      <c r="L38" s="161">
        <f>SUM(L9:L37)</f>
        <v>24.34864</v>
      </c>
      <c r="M38" s="161">
        <f>SUM(M9:M37)</f>
        <v>939.110158</v>
      </c>
    </row>
    <row r="39" spans="1:13" ht="13.5">
      <c r="A39" s="50"/>
      <c r="B39" s="51"/>
      <c r="C39" s="38" t="s">
        <v>186</v>
      </c>
      <c r="D39" s="81">
        <v>0.1</v>
      </c>
      <c r="E39" s="147"/>
      <c r="F39" s="109"/>
      <c r="G39" s="108"/>
      <c r="H39" s="108">
        <f>H38*D39</f>
        <v>66.2481222</v>
      </c>
      <c r="I39" s="108"/>
      <c r="J39" s="108">
        <f>J38*D39</f>
        <v>25.2280296</v>
      </c>
      <c r="K39" s="108"/>
      <c r="L39" s="108">
        <f>L38*D39</f>
        <v>2.434864</v>
      </c>
      <c r="M39" s="108">
        <f>M38*D39</f>
        <v>93.9110158</v>
      </c>
    </row>
    <row r="40" spans="1:13" ht="13.5">
      <c r="A40" s="50"/>
      <c r="B40" s="51"/>
      <c r="C40" s="80" t="s">
        <v>49</v>
      </c>
      <c r="D40" s="51"/>
      <c r="E40" s="51"/>
      <c r="F40" s="413"/>
      <c r="G40" s="185"/>
      <c r="H40" s="108">
        <f>H38+H39</f>
        <v>728.7293442</v>
      </c>
      <c r="I40" s="108"/>
      <c r="J40" s="108">
        <f>J38+J39</f>
        <v>277.5083256</v>
      </c>
      <c r="K40" s="108"/>
      <c r="L40" s="108">
        <f>L38+L39</f>
        <v>26.783504</v>
      </c>
      <c r="M40" s="108">
        <f>M38+M39</f>
        <v>1033.0211738</v>
      </c>
    </row>
    <row r="41" spans="1:13" ht="13.5">
      <c r="A41" s="50"/>
      <c r="B41" s="51"/>
      <c r="C41" s="38" t="s">
        <v>187</v>
      </c>
      <c r="D41" s="81">
        <v>0.08</v>
      </c>
      <c r="E41" s="51"/>
      <c r="F41" s="413"/>
      <c r="G41" s="185"/>
      <c r="H41" s="108">
        <f>H40*D41</f>
        <v>58.298347536</v>
      </c>
      <c r="I41" s="108"/>
      <c r="J41" s="108">
        <f>J40*D41</f>
        <v>22.200666048</v>
      </c>
      <c r="K41" s="108"/>
      <c r="L41" s="108">
        <f>L40*D41</f>
        <v>2.14268032</v>
      </c>
      <c r="M41" s="108">
        <f>M40*D41</f>
        <v>82.64169390400001</v>
      </c>
    </row>
    <row r="42" spans="1:13" s="268" customFormat="1" ht="13.5">
      <c r="A42" s="50"/>
      <c r="B42" s="51"/>
      <c r="C42" s="48" t="s">
        <v>102</v>
      </c>
      <c r="D42" s="54"/>
      <c r="E42" s="54"/>
      <c r="F42" s="193"/>
      <c r="G42" s="194"/>
      <c r="H42" s="187">
        <f aca="true" t="shared" si="2" ref="H42:M42">H40+H41</f>
        <v>787.0276917360001</v>
      </c>
      <c r="I42" s="187"/>
      <c r="J42" s="187">
        <f t="shared" si="2"/>
        <v>299.708991648</v>
      </c>
      <c r="K42" s="187"/>
      <c r="L42" s="187">
        <f t="shared" si="2"/>
        <v>28.92618432</v>
      </c>
      <c r="M42" s="187">
        <f t="shared" si="2"/>
        <v>1115.662867704</v>
      </c>
    </row>
    <row r="43" spans="1:13" s="268" customFormat="1" ht="13.5">
      <c r="A43" s="45"/>
      <c r="B43" s="55"/>
      <c r="C43" s="56"/>
      <c r="D43" s="57"/>
      <c r="E43" s="57"/>
      <c r="F43" s="58"/>
      <c r="G43" s="57"/>
      <c r="H43" s="59"/>
      <c r="I43" s="59"/>
      <c r="J43" s="59"/>
      <c r="K43" s="59"/>
      <c r="L43" s="59"/>
      <c r="M43" s="59"/>
    </row>
    <row r="44" spans="1:13" ht="13.5">
      <c r="A44" s="268"/>
      <c r="B44" s="492" t="s">
        <v>58</v>
      </c>
      <c r="C44" s="541"/>
      <c r="D44" s="268"/>
      <c r="E44" s="492" t="s">
        <v>482</v>
      </c>
      <c r="F44" s="492"/>
      <c r="G44" s="492"/>
      <c r="H44" s="492"/>
      <c r="I44" s="492"/>
      <c r="J44" s="541"/>
      <c r="K44" s="268"/>
      <c r="L44" s="268"/>
      <c r="M44" s="268"/>
    </row>
    <row r="46" spans="1:13" ht="13.5">
      <c r="A46" s="146"/>
      <c r="B46" s="268"/>
      <c r="C46" s="458" t="s">
        <v>891</v>
      </c>
      <c r="D46" s="268"/>
      <c r="E46" s="492" t="s">
        <v>890</v>
      </c>
      <c r="F46" s="492"/>
      <c r="G46" s="492"/>
      <c r="H46" s="492"/>
      <c r="I46" s="492"/>
      <c r="J46" s="492"/>
      <c r="K46" s="268"/>
      <c r="L46" s="268"/>
      <c r="M46" s="268"/>
    </row>
  </sheetData>
  <sheetProtection/>
  <mergeCells count="21">
    <mergeCell ref="A1:M1"/>
    <mergeCell ref="A2:M2"/>
    <mergeCell ref="A3:M3"/>
    <mergeCell ref="B4:C4"/>
    <mergeCell ref="F4:I4"/>
    <mergeCell ref="J4:K4"/>
    <mergeCell ref="B5:C5"/>
    <mergeCell ref="G5:I5"/>
    <mergeCell ref="J5:K5"/>
    <mergeCell ref="A6:A7"/>
    <mergeCell ref="B6:B7"/>
    <mergeCell ref="C6:C7"/>
    <mergeCell ref="D6:D7"/>
    <mergeCell ref="E6:F6"/>
    <mergeCell ref="G6:H6"/>
    <mergeCell ref="E46:J46"/>
    <mergeCell ref="I6:J6"/>
    <mergeCell ref="K6:L6"/>
    <mergeCell ref="M6:M7"/>
    <mergeCell ref="B44:C44"/>
    <mergeCell ref="E44:J44"/>
  </mergeCells>
  <printOptions horizontalCentered="1"/>
  <pageMargins left="0.45" right="0" top="0.5" bottom="0.5" header="0.3" footer="0.3"/>
  <pageSetup horizontalDpi="600" verticalDpi="600" orientation="landscape" paperSize="9" r:id="rId1"/>
  <headerFooter>
    <oddHeader>&amp;Cსაგანმანათლებლო და სამეცნიერო ინფრასტრუქტურის განვითარების სააგენტო</oddHeader>
    <oddFooter>&amp;Lხარჯთაღრიცხვა&amp;R&amp;P/&amp;N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M126"/>
  <sheetViews>
    <sheetView zoomScalePageLayoutView="0" workbookViewId="0" topLeftCell="A1">
      <pane ySplit="7" topLeftCell="A17" activePane="bottomLeft" state="frozen"/>
      <selection pane="topLeft" activeCell="A1" sqref="A1"/>
      <selection pane="bottomLeft" activeCell="K35" sqref="K35"/>
    </sheetView>
  </sheetViews>
  <sheetFormatPr defaultColWidth="9.00390625" defaultRowHeight="12.75"/>
  <cols>
    <col min="1" max="1" width="3.375" style="268" customWidth="1"/>
    <col min="2" max="2" width="7.00390625" style="268" customWidth="1"/>
    <col min="3" max="3" width="40.625" style="268" customWidth="1"/>
    <col min="4" max="4" width="8.25390625" style="268" customWidth="1"/>
    <col min="5" max="5" width="7.75390625" style="268" customWidth="1"/>
    <col min="6" max="6" width="8.875" style="268" customWidth="1"/>
    <col min="7" max="7" width="7.125" style="268" customWidth="1"/>
    <col min="8" max="8" width="8.875" style="268" customWidth="1"/>
    <col min="9" max="9" width="6.25390625" style="268" customWidth="1"/>
    <col min="10" max="10" width="12.25390625" style="268" customWidth="1"/>
    <col min="11" max="11" width="7.875" style="268" customWidth="1"/>
    <col min="12" max="12" width="13.125" style="268" customWidth="1"/>
    <col min="13" max="13" width="13.375" style="268" customWidth="1"/>
    <col min="14" max="16384" width="9.125" style="268" customWidth="1"/>
  </cols>
  <sheetData>
    <row r="1" spans="1:13" s="314" customFormat="1" ht="17.25" customHeight="1">
      <c r="A1" s="511" t="s">
        <v>894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</row>
    <row r="2" spans="1:13" s="356" customFormat="1" ht="17.25" customHeight="1">
      <c r="A2" s="518" t="s">
        <v>849</v>
      </c>
      <c r="B2" s="517"/>
      <c r="C2" s="517"/>
      <c r="D2" s="517"/>
      <c r="E2" s="517"/>
      <c r="F2" s="517"/>
      <c r="G2" s="517"/>
      <c r="H2" s="517"/>
      <c r="I2" s="517"/>
      <c r="J2" s="517"/>
      <c r="K2" s="517"/>
      <c r="L2" s="517"/>
      <c r="M2" s="517"/>
    </row>
    <row r="3" spans="1:13" s="356" customFormat="1" ht="19.5" customHeight="1">
      <c r="A3" s="516" t="s">
        <v>776</v>
      </c>
      <c r="B3" s="517"/>
      <c r="C3" s="517"/>
      <c r="D3" s="517"/>
      <c r="E3" s="517"/>
      <c r="F3" s="517"/>
      <c r="G3" s="517"/>
      <c r="H3" s="517"/>
      <c r="I3" s="517"/>
      <c r="J3" s="517"/>
      <c r="K3" s="517"/>
      <c r="L3" s="517"/>
      <c r="M3" s="517"/>
    </row>
    <row r="4" spans="2:12" s="317" customFormat="1" ht="13.5">
      <c r="B4" s="513" t="s">
        <v>428</v>
      </c>
      <c r="C4" s="514"/>
      <c r="D4" s="24"/>
      <c r="E4" s="24"/>
      <c r="F4" s="520" t="s">
        <v>184</v>
      </c>
      <c r="G4" s="520"/>
      <c r="H4" s="520"/>
      <c r="I4" s="520"/>
      <c r="J4" s="542">
        <f>M31</f>
        <v>3359.7760989672</v>
      </c>
      <c r="K4" s="543"/>
      <c r="L4" s="25" t="s">
        <v>43</v>
      </c>
    </row>
    <row r="5" spans="1:12" s="317" customFormat="1" ht="13.5">
      <c r="A5" s="319"/>
      <c r="B5" s="513" t="s">
        <v>876</v>
      </c>
      <c r="C5" s="514"/>
      <c r="D5" s="26"/>
      <c r="E5" s="26"/>
      <c r="F5" s="25"/>
      <c r="G5" s="515" t="s">
        <v>185</v>
      </c>
      <c r="H5" s="515"/>
      <c r="I5" s="515"/>
      <c r="J5" s="542">
        <f>J31</f>
        <v>37.32250737599999</v>
      </c>
      <c r="K5" s="543"/>
      <c r="L5" s="25" t="s">
        <v>43</v>
      </c>
    </row>
    <row r="6" spans="1:13" ht="43.5" customHeight="1">
      <c r="A6" s="509" t="s">
        <v>61</v>
      </c>
      <c r="B6" s="497" t="s">
        <v>74</v>
      </c>
      <c r="C6" s="497" t="s">
        <v>63</v>
      </c>
      <c r="D6" s="497" t="s">
        <v>44</v>
      </c>
      <c r="E6" s="475" t="s">
        <v>45</v>
      </c>
      <c r="F6" s="477"/>
      <c r="G6" s="495" t="s">
        <v>46</v>
      </c>
      <c r="H6" s="496"/>
      <c r="I6" s="505" t="s">
        <v>47</v>
      </c>
      <c r="J6" s="506"/>
      <c r="K6" s="505" t="s">
        <v>48</v>
      </c>
      <c r="L6" s="506"/>
      <c r="M6" s="507" t="s">
        <v>49</v>
      </c>
    </row>
    <row r="7" spans="1:13" ht="54">
      <c r="A7" s="510"/>
      <c r="B7" s="498"/>
      <c r="C7" s="498"/>
      <c r="D7" s="498"/>
      <c r="E7" s="74" t="s">
        <v>50</v>
      </c>
      <c r="F7" s="74" t="s">
        <v>51</v>
      </c>
      <c r="G7" s="320" t="s">
        <v>52</v>
      </c>
      <c r="H7" s="108" t="s">
        <v>49</v>
      </c>
      <c r="I7" s="285" t="s">
        <v>52</v>
      </c>
      <c r="J7" s="108" t="s">
        <v>49</v>
      </c>
      <c r="K7" s="285" t="s">
        <v>52</v>
      </c>
      <c r="L7" s="108" t="s">
        <v>49</v>
      </c>
      <c r="M7" s="508"/>
    </row>
    <row r="8" spans="1:13" s="321" customFormat="1" ht="15">
      <c r="A8" s="126" t="s">
        <v>53</v>
      </c>
      <c r="B8" s="126">
        <v>2</v>
      </c>
      <c r="C8" s="126">
        <v>3</v>
      </c>
      <c r="D8" s="126">
        <v>4</v>
      </c>
      <c r="E8" s="126">
        <v>5</v>
      </c>
      <c r="F8" s="274">
        <v>6</v>
      </c>
      <c r="G8" s="275" t="s">
        <v>60</v>
      </c>
      <c r="H8" s="276">
        <v>8</v>
      </c>
      <c r="I8" s="274">
        <v>9</v>
      </c>
      <c r="J8" s="276">
        <v>10</v>
      </c>
      <c r="K8" s="274">
        <v>11</v>
      </c>
      <c r="L8" s="276">
        <v>12</v>
      </c>
      <c r="M8" s="276">
        <v>13</v>
      </c>
    </row>
    <row r="9" spans="1:13" s="135" customFormat="1" ht="40.5" customHeight="1">
      <c r="A9" s="47">
        <v>1</v>
      </c>
      <c r="B9" s="323" t="s">
        <v>777</v>
      </c>
      <c r="C9" s="299" t="s">
        <v>778</v>
      </c>
      <c r="D9" s="47" t="s">
        <v>66</v>
      </c>
      <c r="E9" s="47"/>
      <c r="F9" s="161">
        <v>33</v>
      </c>
      <c r="G9" s="108"/>
      <c r="H9" s="108"/>
      <c r="I9" s="108"/>
      <c r="J9" s="108"/>
      <c r="K9" s="108"/>
      <c r="L9" s="108"/>
      <c r="M9" s="108"/>
    </row>
    <row r="10" spans="1:13" s="135" customFormat="1" ht="15.75" customHeight="1">
      <c r="A10" s="47"/>
      <c r="B10" s="126"/>
      <c r="C10" s="38" t="s">
        <v>199</v>
      </c>
      <c r="D10" s="14" t="s">
        <v>365</v>
      </c>
      <c r="E10" s="14">
        <f>0.0191+0.0144*5</f>
        <v>0.09109999999999999</v>
      </c>
      <c r="F10" s="108">
        <f>F9*E10</f>
        <v>3.0062999999999995</v>
      </c>
      <c r="G10" s="108"/>
      <c r="H10" s="108"/>
      <c r="I10" s="108"/>
      <c r="J10" s="108"/>
      <c r="K10" s="108">
        <v>24.9</v>
      </c>
      <c r="L10" s="108">
        <f>F10*K10</f>
        <v>74.85686999999999</v>
      </c>
      <c r="M10" s="108">
        <f>H10+J10+L10</f>
        <v>74.85686999999999</v>
      </c>
    </row>
    <row r="11" spans="1:13" ht="27.75" customHeight="1">
      <c r="A11" s="28">
        <v>2</v>
      </c>
      <c r="B11" s="414" t="s">
        <v>779</v>
      </c>
      <c r="C11" s="43" t="s">
        <v>834</v>
      </c>
      <c r="D11" s="28" t="s">
        <v>66</v>
      </c>
      <c r="E11" s="28"/>
      <c r="F11" s="164">
        <f>F9</f>
        <v>33</v>
      </c>
      <c r="G11" s="30"/>
      <c r="H11" s="30"/>
      <c r="I11" s="30"/>
      <c r="J11" s="30"/>
      <c r="K11" s="30"/>
      <c r="L11" s="30"/>
      <c r="M11" s="30"/>
    </row>
    <row r="12" spans="1:13" ht="13.5" customHeight="1">
      <c r="A12" s="125"/>
      <c r="B12" s="341"/>
      <c r="C12" s="19" t="s">
        <v>780</v>
      </c>
      <c r="D12" s="14" t="s">
        <v>365</v>
      </c>
      <c r="E12" s="1">
        <f>(0.00688-0.00115)*9</f>
        <v>0.05157</v>
      </c>
      <c r="F12" s="13">
        <f>F11*E12</f>
        <v>1.7018099999999998</v>
      </c>
      <c r="G12" s="13"/>
      <c r="H12" s="13"/>
      <c r="I12" s="13"/>
      <c r="J12" s="13"/>
      <c r="K12" s="13">
        <v>0.65</v>
      </c>
      <c r="L12" s="13">
        <f>F12*K12</f>
        <v>1.1061765</v>
      </c>
      <c r="M12" s="13">
        <f>H12+J12+L12</f>
        <v>1.1061765</v>
      </c>
    </row>
    <row r="13" spans="1:13" ht="15" customHeight="1">
      <c r="A13" s="125"/>
      <c r="B13" s="341"/>
      <c r="C13" s="19" t="s">
        <v>781</v>
      </c>
      <c r="D13" s="14" t="s">
        <v>365</v>
      </c>
      <c r="E13" s="1">
        <f>0.02-0.00317</f>
        <v>0.01683</v>
      </c>
      <c r="F13" s="13">
        <f>F11*E13</f>
        <v>0.55539</v>
      </c>
      <c r="G13" s="13"/>
      <c r="H13" s="13"/>
      <c r="I13" s="13"/>
      <c r="J13" s="13"/>
      <c r="K13" s="13">
        <v>31.83</v>
      </c>
      <c r="L13" s="13">
        <f>F13*K13</f>
        <v>17.6780637</v>
      </c>
      <c r="M13" s="13">
        <f>H13+J13+L13</f>
        <v>17.6780637</v>
      </c>
    </row>
    <row r="14" spans="1:13" ht="15" customHeight="1">
      <c r="A14" s="125"/>
      <c r="B14" s="341"/>
      <c r="C14" s="19" t="s">
        <v>782</v>
      </c>
      <c r="D14" s="14" t="s">
        <v>365</v>
      </c>
      <c r="E14" s="1">
        <f>(0.00344-0.00058)*9</f>
        <v>0.02574</v>
      </c>
      <c r="F14" s="13">
        <f>F11*E14</f>
        <v>0.84942</v>
      </c>
      <c r="G14" s="13"/>
      <c r="H14" s="13"/>
      <c r="I14" s="13"/>
      <c r="J14" s="13"/>
      <c r="K14" s="13">
        <v>32.84</v>
      </c>
      <c r="L14" s="13">
        <f>F14*K14</f>
        <v>27.894952800000002</v>
      </c>
      <c r="M14" s="13">
        <f>H14+J14+L14</f>
        <v>27.894952800000002</v>
      </c>
    </row>
    <row r="15" spans="1:13" s="135" customFormat="1" ht="42.75" customHeight="1">
      <c r="A15" s="47">
        <v>3</v>
      </c>
      <c r="B15" s="326" t="s">
        <v>777</v>
      </c>
      <c r="C15" s="300" t="s">
        <v>783</v>
      </c>
      <c r="D15" s="47" t="s">
        <v>66</v>
      </c>
      <c r="E15" s="47"/>
      <c r="F15" s="161">
        <f>327-33</f>
        <v>294</v>
      </c>
      <c r="G15" s="108"/>
      <c r="H15" s="108"/>
      <c r="I15" s="108"/>
      <c r="J15" s="108"/>
      <c r="K15" s="108"/>
      <c r="L15" s="108"/>
      <c r="M15" s="108"/>
    </row>
    <row r="16" spans="1:13" s="135" customFormat="1" ht="15.75" customHeight="1">
      <c r="A16" s="47"/>
      <c r="B16" s="126"/>
      <c r="C16" s="38" t="s">
        <v>199</v>
      </c>
      <c r="D16" s="14" t="s">
        <v>365</v>
      </c>
      <c r="E16" s="14">
        <f>0.0191+0.0144</f>
        <v>0.0335</v>
      </c>
      <c r="F16" s="108">
        <f>F15*E16</f>
        <v>9.849</v>
      </c>
      <c r="G16" s="108"/>
      <c r="H16" s="108"/>
      <c r="I16" s="108"/>
      <c r="J16" s="108"/>
      <c r="K16" s="108">
        <v>24.9</v>
      </c>
      <c r="L16" s="108">
        <f>F16*K16</f>
        <v>245.24009999999998</v>
      </c>
      <c r="M16" s="108">
        <f>H16+J16+L16</f>
        <v>245.24009999999998</v>
      </c>
    </row>
    <row r="17" spans="1:13" s="135" customFormat="1" ht="27">
      <c r="A17" s="1">
        <v>4</v>
      </c>
      <c r="B17" s="149" t="s">
        <v>198</v>
      </c>
      <c r="C17" s="46" t="s">
        <v>784</v>
      </c>
      <c r="D17" s="28" t="s">
        <v>66</v>
      </c>
      <c r="E17" s="28"/>
      <c r="F17" s="165">
        <f>F15</f>
        <v>294</v>
      </c>
      <c r="G17" s="13"/>
      <c r="H17" s="13"/>
      <c r="I17" s="13"/>
      <c r="J17" s="13"/>
      <c r="K17" s="13"/>
      <c r="L17" s="13"/>
      <c r="M17" s="13"/>
    </row>
    <row r="18" spans="1:13" s="135" customFormat="1" ht="15.75" customHeight="1">
      <c r="A18" s="1"/>
      <c r="B18" s="120"/>
      <c r="C18" s="19" t="s">
        <v>54</v>
      </c>
      <c r="D18" s="1" t="s">
        <v>366</v>
      </c>
      <c r="E18" s="1">
        <v>0.02</v>
      </c>
      <c r="F18" s="13">
        <f>F17*E18</f>
        <v>5.88</v>
      </c>
      <c r="G18" s="13"/>
      <c r="H18" s="13"/>
      <c r="I18" s="13">
        <v>4.6</v>
      </c>
      <c r="J18" s="13">
        <f>F18*I18</f>
        <v>27.048</v>
      </c>
      <c r="K18" s="13"/>
      <c r="L18" s="13"/>
      <c r="M18" s="13">
        <f>H18+J18+L18</f>
        <v>27.048</v>
      </c>
    </row>
    <row r="19" spans="1:13" s="135" customFormat="1" ht="27.75" customHeight="1">
      <c r="A19" s="1"/>
      <c r="B19" s="120"/>
      <c r="C19" s="19" t="s">
        <v>237</v>
      </c>
      <c r="D19" s="1" t="s">
        <v>365</v>
      </c>
      <c r="E19" s="1">
        <v>0.0448</v>
      </c>
      <c r="F19" s="2">
        <f>F17*E19</f>
        <v>13.1712</v>
      </c>
      <c r="G19" s="2"/>
      <c r="H19" s="2"/>
      <c r="I19" s="2"/>
      <c r="J19" s="2"/>
      <c r="K19" s="2">
        <v>40.19</v>
      </c>
      <c r="L19" s="2">
        <f>F19*K19</f>
        <v>529.350528</v>
      </c>
      <c r="M19" s="2">
        <f>H19+J19+L19</f>
        <v>529.350528</v>
      </c>
    </row>
    <row r="20" spans="1:13" s="135" customFormat="1" ht="13.5">
      <c r="A20" s="1"/>
      <c r="B20" s="120"/>
      <c r="C20" s="19" t="s">
        <v>62</v>
      </c>
      <c r="D20" s="1" t="s">
        <v>43</v>
      </c>
      <c r="E20" s="1">
        <v>0.0021</v>
      </c>
      <c r="F20" s="13">
        <f>F17*E20</f>
        <v>0.6174</v>
      </c>
      <c r="G20" s="13"/>
      <c r="H20" s="13"/>
      <c r="I20" s="13"/>
      <c r="J20" s="13"/>
      <c r="K20" s="13">
        <v>3.2</v>
      </c>
      <c r="L20" s="13">
        <f>F20*K20</f>
        <v>1.9756799999999999</v>
      </c>
      <c r="M20" s="13">
        <f>H20+J20+L20</f>
        <v>1.9756799999999999</v>
      </c>
    </row>
    <row r="21" spans="1:13" s="121" customFormat="1" ht="13.5" customHeight="1">
      <c r="A21" s="1"/>
      <c r="B21" s="120"/>
      <c r="C21" s="19" t="s">
        <v>159</v>
      </c>
      <c r="D21" s="1" t="s">
        <v>66</v>
      </c>
      <c r="E21" s="1">
        <v>5E-05</v>
      </c>
      <c r="F21" s="2">
        <f>F17*E21</f>
        <v>0.014700000000000001</v>
      </c>
      <c r="G21" s="13">
        <v>14.8</v>
      </c>
      <c r="H21" s="13">
        <f>F21*G21</f>
        <v>0.21756000000000003</v>
      </c>
      <c r="I21" s="13"/>
      <c r="J21" s="13"/>
      <c r="K21" s="13"/>
      <c r="L21" s="13"/>
      <c r="M21" s="13">
        <f>H21+J21+L21</f>
        <v>0.21756000000000003</v>
      </c>
    </row>
    <row r="22" spans="1:13" s="146" customFormat="1" ht="13.5">
      <c r="A22" s="47">
        <v>5</v>
      </c>
      <c r="B22" s="301"/>
      <c r="C22" s="38" t="s">
        <v>836</v>
      </c>
      <c r="D22" s="47" t="s">
        <v>75</v>
      </c>
      <c r="E22" s="74"/>
      <c r="F22" s="161">
        <f>F17*1.91</f>
        <v>561.54</v>
      </c>
      <c r="G22" s="108"/>
      <c r="H22" s="108"/>
      <c r="I22" s="108"/>
      <c r="J22" s="108"/>
      <c r="K22" s="108">
        <v>3.32</v>
      </c>
      <c r="L22" s="108">
        <f>F22*K22</f>
        <v>1864.3127999999997</v>
      </c>
      <c r="M22" s="108">
        <f>H22+J22+L22</f>
        <v>1864.3127999999997</v>
      </c>
    </row>
    <row r="23" spans="1:13" s="135" customFormat="1" ht="13.5">
      <c r="A23" s="1">
        <v>6</v>
      </c>
      <c r="B23" s="120" t="s">
        <v>6</v>
      </c>
      <c r="C23" s="4" t="s">
        <v>785</v>
      </c>
      <c r="D23" s="1" t="s">
        <v>66</v>
      </c>
      <c r="E23" s="1"/>
      <c r="F23" s="165">
        <f>F17</f>
        <v>294</v>
      </c>
      <c r="G23" s="13"/>
      <c r="H23" s="13"/>
      <c r="I23" s="13"/>
      <c r="J23" s="13"/>
      <c r="K23" s="13"/>
      <c r="L23" s="13"/>
      <c r="M23" s="13"/>
    </row>
    <row r="24" spans="1:13" s="135" customFormat="1" ht="13.5">
      <c r="A24" s="1"/>
      <c r="B24" s="120"/>
      <c r="C24" s="19" t="s">
        <v>54</v>
      </c>
      <c r="D24" s="1" t="s">
        <v>366</v>
      </c>
      <c r="E24" s="1">
        <v>0.00323</v>
      </c>
      <c r="F24" s="13">
        <f>F23*E24</f>
        <v>0.9496199999999999</v>
      </c>
      <c r="G24" s="13"/>
      <c r="H24" s="13"/>
      <c r="I24" s="13">
        <v>4.6</v>
      </c>
      <c r="J24" s="13">
        <f>F24*I24</f>
        <v>4.368251999999999</v>
      </c>
      <c r="K24" s="13"/>
      <c r="L24" s="13"/>
      <c r="M24" s="13">
        <f>H24+J24+L24</f>
        <v>4.368251999999999</v>
      </c>
    </row>
    <row r="25" spans="1:13" s="135" customFormat="1" ht="13.5">
      <c r="A25" s="1"/>
      <c r="B25" s="120"/>
      <c r="C25" s="19" t="s">
        <v>7</v>
      </c>
      <c r="D25" s="14" t="s">
        <v>365</v>
      </c>
      <c r="E25" s="1">
        <v>0.00362</v>
      </c>
      <c r="F25" s="13">
        <f>F23*E25</f>
        <v>1.06428</v>
      </c>
      <c r="G25" s="13"/>
      <c r="H25" s="13"/>
      <c r="I25" s="13"/>
      <c r="J25" s="13"/>
      <c r="K25" s="13">
        <v>31.83</v>
      </c>
      <c r="L25" s="13">
        <f>F25*K25</f>
        <v>33.87603239999999</v>
      </c>
      <c r="M25" s="13">
        <f>H25+J25+L25</f>
        <v>33.87603239999999</v>
      </c>
    </row>
    <row r="26" spans="1:13" s="135" customFormat="1" ht="13.5" customHeight="1">
      <c r="A26" s="1"/>
      <c r="B26" s="120"/>
      <c r="C26" s="19" t="s">
        <v>62</v>
      </c>
      <c r="D26" s="1" t="s">
        <v>43</v>
      </c>
      <c r="E26" s="1">
        <v>0.00018</v>
      </c>
      <c r="F26" s="13">
        <f>F23*E26</f>
        <v>0.05292</v>
      </c>
      <c r="G26" s="13"/>
      <c r="H26" s="13"/>
      <c r="I26" s="13"/>
      <c r="J26" s="13"/>
      <c r="K26" s="13">
        <v>3.2</v>
      </c>
      <c r="L26" s="13">
        <f>F26*K26</f>
        <v>0.16934400000000002</v>
      </c>
      <c r="M26" s="13">
        <f>H26+J26+L26</f>
        <v>0.16934400000000002</v>
      </c>
    </row>
    <row r="27" spans="1:13" ht="13.5">
      <c r="A27" s="47"/>
      <c r="B27" s="51"/>
      <c r="C27" s="48" t="s">
        <v>102</v>
      </c>
      <c r="D27" s="52"/>
      <c r="E27" s="140"/>
      <c r="F27" s="161"/>
      <c r="G27" s="161"/>
      <c r="H27" s="161">
        <f>SUM(H10:H26)</f>
        <v>0.21756000000000003</v>
      </c>
      <c r="I27" s="161"/>
      <c r="J27" s="161">
        <f>SUM(J10:J26)</f>
        <v>31.416251999999997</v>
      </c>
      <c r="K27" s="161"/>
      <c r="L27" s="161">
        <f>SUM(L10:L26)</f>
        <v>2796.4605473999995</v>
      </c>
      <c r="M27" s="161">
        <f>SUM(M10:M26)</f>
        <v>2828.0943594</v>
      </c>
    </row>
    <row r="28" spans="1:13" s="146" customFormat="1" ht="13.5">
      <c r="A28" s="47"/>
      <c r="B28" s="47"/>
      <c r="C28" s="46" t="s">
        <v>275</v>
      </c>
      <c r="D28" s="81">
        <v>0.1</v>
      </c>
      <c r="E28" s="74"/>
      <c r="F28" s="108"/>
      <c r="G28" s="108"/>
      <c r="H28" s="108">
        <f>H27*0.1</f>
        <v>0.021756000000000005</v>
      </c>
      <c r="I28" s="108"/>
      <c r="J28" s="108">
        <f>J27*D28</f>
        <v>3.1416252</v>
      </c>
      <c r="K28" s="108"/>
      <c r="L28" s="108">
        <f>L27*D28</f>
        <v>279.64605473999995</v>
      </c>
      <c r="M28" s="108">
        <f>M27*D28</f>
        <v>282.80943594</v>
      </c>
    </row>
    <row r="29" spans="1:13" s="146" customFormat="1" ht="13.5" customHeight="1">
      <c r="A29" s="47"/>
      <c r="B29" s="47"/>
      <c r="C29" s="80" t="s">
        <v>49</v>
      </c>
      <c r="D29" s="51"/>
      <c r="E29" s="74"/>
      <c r="F29" s="108"/>
      <c r="G29" s="108"/>
      <c r="H29" s="108">
        <f aca="true" t="shared" si="0" ref="H29:M29">H27+H28</f>
        <v>0.23931600000000003</v>
      </c>
      <c r="I29" s="108"/>
      <c r="J29" s="108">
        <f t="shared" si="0"/>
        <v>34.55787719999999</v>
      </c>
      <c r="K29" s="108"/>
      <c r="L29" s="108">
        <f t="shared" si="0"/>
        <v>3076.1066021399993</v>
      </c>
      <c r="M29" s="108">
        <f t="shared" si="0"/>
        <v>3110.90379534</v>
      </c>
    </row>
    <row r="30" spans="1:13" s="146" customFormat="1" ht="13.5">
      <c r="A30" s="47"/>
      <c r="B30" s="47"/>
      <c r="C30" s="46" t="s">
        <v>187</v>
      </c>
      <c r="D30" s="81">
        <v>0.08</v>
      </c>
      <c r="E30" s="74"/>
      <c r="F30" s="108"/>
      <c r="G30" s="108"/>
      <c r="H30" s="108">
        <f>H29*0.08</f>
        <v>0.019145280000000004</v>
      </c>
      <c r="I30" s="108"/>
      <c r="J30" s="108">
        <f>J29*D30</f>
        <v>2.7646301759999994</v>
      </c>
      <c r="K30" s="108"/>
      <c r="L30" s="108">
        <f>L29*D30</f>
        <v>246.08852817119995</v>
      </c>
      <c r="M30" s="108">
        <f>M29*D30</f>
        <v>248.8723036272</v>
      </c>
    </row>
    <row r="31" spans="1:13" s="146" customFormat="1" ht="13.5">
      <c r="A31" s="47"/>
      <c r="B31" s="47"/>
      <c r="C31" s="48" t="s">
        <v>49</v>
      </c>
      <c r="D31" s="52"/>
      <c r="E31" s="49"/>
      <c r="F31" s="161"/>
      <c r="G31" s="161"/>
      <c r="H31" s="108">
        <f aca="true" t="shared" si="1" ref="H31:M31">H29+H30</f>
        <v>0.25846128</v>
      </c>
      <c r="I31" s="108"/>
      <c r="J31" s="187">
        <f t="shared" si="1"/>
        <v>37.32250737599999</v>
      </c>
      <c r="K31" s="187"/>
      <c r="L31" s="187">
        <f t="shared" si="1"/>
        <v>3322.195130311199</v>
      </c>
      <c r="M31" s="187">
        <f t="shared" si="1"/>
        <v>3359.7760989672</v>
      </c>
    </row>
    <row r="32" spans="1:13" s="146" customFormat="1" ht="13.5">
      <c r="A32" s="6"/>
      <c r="B32" s="6"/>
      <c r="C32" s="9"/>
      <c r="D32" s="6"/>
      <c r="E32" s="302"/>
      <c r="F32" s="303"/>
      <c r="G32" s="6"/>
      <c r="H32" s="8"/>
      <c r="I32" s="8"/>
      <c r="J32" s="8"/>
      <c r="K32" s="8"/>
      <c r="L32" s="8"/>
      <c r="M32" s="8"/>
    </row>
    <row r="33" spans="1:10" ht="13.5">
      <c r="A33" s="146"/>
      <c r="B33" s="492" t="s">
        <v>58</v>
      </c>
      <c r="C33" s="492"/>
      <c r="E33" s="492" t="s">
        <v>482</v>
      </c>
      <c r="F33" s="492"/>
      <c r="G33" s="492"/>
      <c r="H33" s="492"/>
      <c r="I33" s="492"/>
      <c r="J33" s="492"/>
    </row>
    <row r="34" ht="13.5">
      <c r="A34" s="146"/>
    </row>
    <row r="35" spans="1:13" s="22" customFormat="1" ht="13.5">
      <c r="A35" s="146"/>
      <c r="B35" s="268"/>
      <c r="C35" s="458" t="s">
        <v>891</v>
      </c>
      <c r="D35" s="268"/>
      <c r="E35" s="492" t="s">
        <v>890</v>
      </c>
      <c r="F35" s="492"/>
      <c r="G35" s="492"/>
      <c r="H35" s="492"/>
      <c r="I35" s="492"/>
      <c r="J35" s="492"/>
      <c r="K35" s="268"/>
      <c r="L35" s="268"/>
      <c r="M35" s="268"/>
    </row>
    <row r="36" ht="13.5">
      <c r="A36" s="146"/>
    </row>
    <row r="37" ht="13.5">
      <c r="A37" s="146"/>
    </row>
    <row r="38" ht="13.5">
      <c r="A38" s="146"/>
    </row>
    <row r="39" ht="13.5">
      <c r="A39" s="146"/>
    </row>
    <row r="40" ht="13.5">
      <c r="A40" s="146"/>
    </row>
    <row r="41" ht="13.5">
      <c r="A41" s="146"/>
    </row>
    <row r="42" ht="13.5">
      <c r="A42" s="146"/>
    </row>
    <row r="43" ht="13.5">
      <c r="A43" s="146"/>
    </row>
    <row r="44" ht="13.5">
      <c r="A44" s="146"/>
    </row>
    <row r="45" ht="13.5">
      <c r="A45" s="146"/>
    </row>
    <row r="46" ht="13.5">
      <c r="A46" s="146"/>
    </row>
    <row r="47" ht="13.5">
      <c r="A47" s="146"/>
    </row>
    <row r="48" ht="13.5">
      <c r="A48" s="146"/>
    </row>
    <row r="49" ht="13.5">
      <c r="A49" s="146"/>
    </row>
    <row r="50" ht="13.5">
      <c r="A50" s="146"/>
    </row>
    <row r="51" ht="13.5">
      <c r="A51" s="146"/>
    </row>
    <row r="52" ht="13.5">
      <c r="A52" s="146"/>
    </row>
    <row r="53" ht="13.5">
      <c r="A53" s="146"/>
    </row>
    <row r="54" ht="13.5">
      <c r="A54" s="146"/>
    </row>
    <row r="55" ht="13.5">
      <c r="A55" s="146"/>
    </row>
    <row r="56" ht="13.5">
      <c r="A56" s="146"/>
    </row>
    <row r="57" ht="13.5">
      <c r="A57" s="146"/>
    </row>
    <row r="58" ht="13.5">
      <c r="A58" s="146"/>
    </row>
    <row r="59" ht="13.5">
      <c r="A59" s="146"/>
    </row>
    <row r="60" ht="13.5">
      <c r="A60" s="146"/>
    </row>
    <row r="61" ht="13.5">
      <c r="A61" s="146"/>
    </row>
    <row r="62" ht="13.5">
      <c r="A62" s="146"/>
    </row>
    <row r="63" ht="13.5">
      <c r="A63" s="146"/>
    </row>
    <row r="64" ht="13.5">
      <c r="A64" s="146"/>
    </row>
    <row r="65" ht="13.5">
      <c r="A65" s="146"/>
    </row>
    <row r="66" ht="13.5">
      <c r="A66" s="146"/>
    </row>
    <row r="67" ht="13.5">
      <c r="A67" s="146"/>
    </row>
    <row r="68" ht="13.5">
      <c r="A68" s="146"/>
    </row>
    <row r="69" ht="13.5">
      <c r="A69" s="146"/>
    </row>
    <row r="70" ht="13.5">
      <c r="A70" s="146"/>
    </row>
    <row r="71" ht="13.5">
      <c r="A71" s="146"/>
    </row>
    <row r="72" ht="13.5">
      <c r="A72" s="146"/>
    </row>
    <row r="73" ht="13.5">
      <c r="A73" s="146"/>
    </row>
    <row r="74" ht="13.5">
      <c r="A74" s="146"/>
    </row>
    <row r="75" ht="13.5">
      <c r="A75" s="146"/>
    </row>
    <row r="76" ht="13.5">
      <c r="A76" s="146"/>
    </row>
    <row r="77" ht="13.5">
      <c r="A77" s="146"/>
    </row>
    <row r="78" ht="13.5">
      <c r="A78" s="146"/>
    </row>
    <row r="79" ht="13.5">
      <c r="A79" s="146"/>
    </row>
    <row r="80" ht="13.5">
      <c r="A80" s="146"/>
    </row>
    <row r="81" ht="13.5">
      <c r="A81" s="146"/>
    </row>
    <row r="82" ht="13.5">
      <c r="A82" s="146"/>
    </row>
    <row r="83" ht="13.5">
      <c r="A83" s="146"/>
    </row>
    <row r="84" ht="13.5">
      <c r="A84" s="146"/>
    </row>
    <row r="85" ht="13.5">
      <c r="A85" s="146"/>
    </row>
    <row r="86" ht="13.5">
      <c r="A86" s="146"/>
    </row>
    <row r="87" ht="13.5">
      <c r="A87" s="146"/>
    </row>
    <row r="88" ht="13.5">
      <c r="A88" s="146"/>
    </row>
    <row r="89" ht="13.5">
      <c r="A89" s="146"/>
    </row>
    <row r="90" ht="13.5">
      <c r="A90" s="146"/>
    </row>
    <row r="91" ht="13.5">
      <c r="A91" s="146"/>
    </row>
    <row r="92" ht="13.5">
      <c r="A92" s="146"/>
    </row>
    <row r="93" ht="13.5">
      <c r="A93" s="146"/>
    </row>
    <row r="94" ht="13.5">
      <c r="A94" s="146"/>
    </row>
    <row r="95" ht="13.5">
      <c r="A95" s="146"/>
    </row>
    <row r="96" ht="13.5">
      <c r="A96" s="146"/>
    </row>
    <row r="97" ht="13.5">
      <c r="A97" s="146"/>
    </row>
    <row r="98" ht="13.5">
      <c r="A98" s="146"/>
    </row>
    <row r="99" ht="13.5">
      <c r="A99" s="146"/>
    </row>
    <row r="100" ht="13.5">
      <c r="A100" s="146"/>
    </row>
    <row r="101" ht="13.5">
      <c r="A101" s="146"/>
    </row>
    <row r="102" ht="13.5">
      <c r="A102" s="146"/>
    </row>
    <row r="103" ht="13.5">
      <c r="A103" s="146"/>
    </row>
    <row r="104" ht="13.5">
      <c r="A104" s="146"/>
    </row>
    <row r="105" ht="13.5">
      <c r="A105" s="146"/>
    </row>
    <row r="106" ht="13.5">
      <c r="A106" s="146"/>
    </row>
    <row r="107" ht="13.5">
      <c r="A107" s="146"/>
    </row>
    <row r="108" ht="13.5">
      <c r="A108" s="146"/>
    </row>
    <row r="109" ht="13.5">
      <c r="A109" s="146"/>
    </row>
    <row r="110" ht="13.5">
      <c r="A110" s="146"/>
    </row>
    <row r="111" ht="13.5">
      <c r="A111" s="146"/>
    </row>
    <row r="112" ht="13.5">
      <c r="A112" s="146"/>
    </row>
    <row r="113" ht="13.5">
      <c r="A113" s="146"/>
    </row>
    <row r="114" ht="13.5">
      <c r="A114" s="146"/>
    </row>
    <row r="115" ht="13.5">
      <c r="A115" s="146"/>
    </row>
    <row r="116" ht="13.5">
      <c r="A116" s="146"/>
    </row>
    <row r="117" ht="13.5">
      <c r="A117" s="146"/>
    </row>
    <row r="118" ht="13.5">
      <c r="A118" s="146"/>
    </row>
    <row r="119" ht="13.5">
      <c r="A119" s="146"/>
    </row>
    <row r="120" ht="13.5">
      <c r="A120" s="146"/>
    </row>
    <row r="121" ht="13.5">
      <c r="A121" s="146"/>
    </row>
    <row r="122" ht="13.5">
      <c r="A122" s="146"/>
    </row>
    <row r="123" ht="13.5">
      <c r="A123" s="146"/>
    </row>
    <row r="124" ht="13.5">
      <c r="A124" s="146"/>
    </row>
    <row r="125" ht="13.5">
      <c r="A125" s="146"/>
    </row>
    <row r="126" ht="13.5">
      <c r="A126" s="146"/>
    </row>
  </sheetData>
  <sheetProtection/>
  <mergeCells count="21">
    <mergeCell ref="K6:L6"/>
    <mergeCell ref="B6:B7"/>
    <mergeCell ref="B33:C33"/>
    <mergeCell ref="E33:J33"/>
    <mergeCell ref="B5:C5"/>
    <mergeCell ref="G5:I5"/>
    <mergeCell ref="J5:K5"/>
    <mergeCell ref="D6:D7"/>
    <mergeCell ref="E6:F6"/>
    <mergeCell ref="G6:H6"/>
    <mergeCell ref="I6:J6"/>
    <mergeCell ref="C6:C7"/>
    <mergeCell ref="M6:M7"/>
    <mergeCell ref="E35:J35"/>
    <mergeCell ref="A1:M1"/>
    <mergeCell ref="A2:M2"/>
    <mergeCell ref="A3:M3"/>
    <mergeCell ref="B4:C4"/>
    <mergeCell ref="F4:I4"/>
    <mergeCell ref="J4:K4"/>
    <mergeCell ref="A6:A7"/>
  </mergeCells>
  <printOptions horizontalCentered="1"/>
  <pageMargins left="0.45" right="0" top="0.5" bottom="0.5" header="0.3" footer="0.3"/>
  <pageSetup horizontalDpi="600" verticalDpi="600" orientation="landscape" r:id="rId1"/>
  <headerFooter>
    <oddHeader>&amp;Cსაგანმანათლებლო და სამეცნიერო ინფრასტრუქტურის განვითარების სააგენტო</oddHeader>
    <oddFooter>&amp;Lხარჯთაღრიცხვა&amp;R&amp;P/&amp;N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IT81"/>
  <sheetViews>
    <sheetView zoomScalePageLayoutView="0" workbookViewId="0" topLeftCell="A1">
      <pane ySplit="7" topLeftCell="A56" activePane="bottomLeft" state="frozen"/>
      <selection pane="topLeft" activeCell="A1" sqref="A1"/>
      <selection pane="bottomLeft" activeCell="R6" sqref="R6"/>
    </sheetView>
  </sheetViews>
  <sheetFormatPr defaultColWidth="9.00390625" defaultRowHeight="12.75"/>
  <cols>
    <col min="1" max="1" width="3.375" style="268" customWidth="1"/>
    <col min="2" max="2" width="7.00390625" style="268" customWidth="1"/>
    <col min="3" max="3" width="42.625" style="268" customWidth="1"/>
    <col min="4" max="4" width="8.25390625" style="268" customWidth="1"/>
    <col min="5" max="5" width="7.75390625" style="268" customWidth="1"/>
    <col min="6" max="6" width="8.875" style="268" customWidth="1"/>
    <col min="7" max="7" width="7.125" style="268" customWidth="1"/>
    <col min="8" max="8" width="12.625" style="268" bestFit="1" customWidth="1"/>
    <col min="9" max="9" width="6.25390625" style="268" customWidth="1"/>
    <col min="10" max="10" width="11.625" style="268" bestFit="1" customWidth="1"/>
    <col min="11" max="11" width="7.875" style="268" customWidth="1"/>
    <col min="12" max="12" width="12.375" style="268" customWidth="1"/>
    <col min="13" max="13" width="12.625" style="268" bestFit="1" customWidth="1"/>
    <col min="14" max="16384" width="9.125" style="268" customWidth="1"/>
  </cols>
  <sheetData>
    <row r="1" spans="1:13" s="314" customFormat="1" ht="17.25" customHeight="1">
      <c r="A1" s="511" t="s">
        <v>894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</row>
    <row r="2" spans="1:13" s="356" customFormat="1" ht="17.25" customHeight="1">
      <c r="A2" s="518" t="s">
        <v>850</v>
      </c>
      <c r="B2" s="517"/>
      <c r="C2" s="517"/>
      <c r="D2" s="517"/>
      <c r="E2" s="517"/>
      <c r="F2" s="517"/>
      <c r="G2" s="517"/>
      <c r="H2" s="517"/>
      <c r="I2" s="517"/>
      <c r="J2" s="517"/>
      <c r="K2" s="517"/>
      <c r="L2" s="517"/>
      <c r="M2" s="517"/>
    </row>
    <row r="3" spans="1:13" s="356" customFormat="1" ht="19.5" customHeight="1">
      <c r="A3" s="516" t="s">
        <v>786</v>
      </c>
      <c r="B3" s="517"/>
      <c r="C3" s="517"/>
      <c r="D3" s="517"/>
      <c r="E3" s="517"/>
      <c r="F3" s="517"/>
      <c r="G3" s="517"/>
      <c r="H3" s="517"/>
      <c r="I3" s="517"/>
      <c r="J3" s="517"/>
      <c r="K3" s="517"/>
      <c r="L3" s="517"/>
      <c r="M3" s="517"/>
    </row>
    <row r="4" spans="2:12" s="317" customFormat="1" ht="13.5">
      <c r="B4" s="513" t="s">
        <v>428</v>
      </c>
      <c r="C4" s="514"/>
      <c r="D4" s="24"/>
      <c r="E4" s="24"/>
      <c r="F4" s="520" t="s">
        <v>184</v>
      </c>
      <c r="G4" s="520"/>
      <c r="H4" s="520"/>
      <c r="I4" s="520"/>
      <c r="J4" s="542">
        <f>M70</f>
        <v>34707.024999504</v>
      </c>
      <c r="K4" s="543"/>
      <c r="L4" s="25" t="s">
        <v>43</v>
      </c>
    </row>
    <row r="5" spans="1:12" s="317" customFormat="1" ht="13.5">
      <c r="A5" s="319"/>
      <c r="B5" s="318" t="s">
        <v>856</v>
      </c>
      <c r="C5" s="513" t="s">
        <v>876</v>
      </c>
      <c r="D5" s="514"/>
      <c r="E5" s="26"/>
      <c r="F5" s="25"/>
      <c r="G5" s="531" t="s">
        <v>185</v>
      </c>
      <c r="H5" s="531"/>
      <c r="I5" s="531"/>
      <c r="J5" s="542">
        <f>J70</f>
        <v>3439.4125392000005</v>
      </c>
      <c r="K5" s="543"/>
      <c r="L5" s="25" t="s">
        <v>43</v>
      </c>
    </row>
    <row r="6" spans="1:13" ht="43.5" customHeight="1">
      <c r="A6" s="509" t="s">
        <v>61</v>
      </c>
      <c r="B6" s="497" t="s">
        <v>74</v>
      </c>
      <c r="C6" s="497" t="s">
        <v>63</v>
      </c>
      <c r="D6" s="497" t="s">
        <v>44</v>
      </c>
      <c r="E6" s="475" t="s">
        <v>45</v>
      </c>
      <c r="F6" s="477"/>
      <c r="G6" s="495" t="s">
        <v>46</v>
      </c>
      <c r="H6" s="496"/>
      <c r="I6" s="505" t="s">
        <v>47</v>
      </c>
      <c r="J6" s="506"/>
      <c r="K6" s="505" t="s">
        <v>48</v>
      </c>
      <c r="L6" s="506"/>
      <c r="M6" s="507" t="s">
        <v>49</v>
      </c>
    </row>
    <row r="7" spans="1:13" ht="54">
      <c r="A7" s="510"/>
      <c r="B7" s="498"/>
      <c r="C7" s="498"/>
      <c r="D7" s="498"/>
      <c r="E7" s="74" t="s">
        <v>50</v>
      </c>
      <c r="F7" s="74" t="s">
        <v>51</v>
      </c>
      <c r="G7" s="320" t="s">
        <v>52</v>
      </c>
      <c r="H7" s="108" t="s">
        <v>49</v>
      </c>
      <c r="I7" s="285" t="s">
        <v>52</v>
      </c>
      <c r="J7" s="108" t="s">
        <v>49</v>
      </c>
      <c r="K7" s="285" t="s">
        <v>52</v>
      </c>
      <c r="L7" s="108" t="s">
        <v>49</v>
      </c>
      <c r="M7" s="508"/>
    </row>
    <row r="8" spans="1:13" s="321" customFormat="1" ht="15">
      <c r="A8" s="126" t="s">
        <v>53</v>
      </c>
      <c r="B8" s="126">
        <v>2</v>
      </c>
      <c r="C8" s="126">
        <v>3</v>
      </c>
      <c r="D8" s="126">
        <v>4</v>
      </c>
      <c r="E8" s="126">
        <v>5</v>
      </c>
      <c r="F8" s="274">
        <v>6</v>
      </c>
      <c r="G8" s="275" t="s">
        <v>60</v>
      </c>
      <c r="H8" s="276">
        <v>8</v>
      </c>
      <c r="I8" s="274">
        <v>9</v>
      </c>
      <c r="J8" s="276">
        <v>10</v>
      </c>
      <c r="K8" s="274">
        <v>11</v>
      </c>
      <c r="L8" s="276">
        <v>12</v>
      </c>
      <c r="M8" s="276">
        <v>13</v>
      </c>
    </row>
    <row r="9" spans="1:13" ht="21" customHeight="1">
      <c r="A9" s="1"/>
      <c r="B9" s="120"/>
      <c r="C9" s="415" t="s">
        <v>787</v>
      </c>
      <c r="D9" s="1"/>
      <c r="E9" s="1"/>
      <c r="F9" s="2"/>
      <c r="G9" s="1"/>
      <c r="H9" s="2"/>
      <c r="I9" s="3"/>
      <c r="J9" s="2"/>
      <c r="K9" s="3"/>
      <c r="L9" s="2"/>
      <c r="M9" s="2"/>
    </row>
    <row r="10" spans="1:13" s="135" customFormat="1" ht="27">
      <c r="A10" s="28">
        <v>1</v>
      </c>
      <c r="B10" s="416" t="s">
        <v>790</v>
      </c>
      <c r="C10" s="139" t="s">
        <v>791</v>
      </c>
      <c r="D10" s="28" t="s">
        <v>64</v>
      </c>
      <c r="E10" s="28"/>
      <c r="F10" s="164">
        <v>570</v>
      </c>
      <c r="G10" s="30"/>
      <c r="H10" s="30"/>
      <c r="I10" s="30"/>
      <c r="J10" s="30"/>
      <c r="K10" s="30"/>
      <c r="L10" s="30"/>
      <c r="M10" s="30"/>
    </row>
    <row r="11" spans="1:13" s="135" customFormat="1" ht="15" customHeight="1">
      <c r="A11" s="128"/>
      <c r="B11" s="341"/>
      <c r="C11" s="19" t="s">
        <v>54</v>
      </c>
      <c r="D11" s="1" t="s">
        <v>55</v>
      </c>
      <c r="E11" s="1">
        <v>0.033</v>
      </c>
      <c r="F11" s="2">
        <f>F10*E11</f>
        <v>18.810000000000002</v>
      </c>
      <c r="G11" s="13"/>
      <c r="H11" s="13"/>
      <c r="I11" s="13">
        <v>4.6</v>
      </c>
      <c r="J11" s="13">
        <f>F11*I11</f>
        <v>86.52600000000001</v>
      </c>
      <c r="K11" s="13"/>
      <c r="L11" s="13"/>
      <c r="M11" s="13">
        <f aca="true" t="shared" si="0" ref="M11:M17">H11+J11+L11</f>
        <v>86.52600000000001</v>
      </c>
    </row>
    <row r="12" spans="1:13" s="135" customFormat="1" ht="15.75" customHeight="1">
      <c r="A12" s="128"/>
      <c r="B12" s="341"/>
      <c r="C12" s="19" t="s">
        <v>792</v>
      </c>
      <c r="D12" s="1" t="s">
        <v>793</v>
      </c>
      <c r="E12" s="1">
        <v>0.00042</v>
      </c>
      <c r="F12" s="2">
        <f>F10*E12</f>
        <v>0.2394</v>
      </c>
      <c r="G12" s="13"/>
      <c r="H12" s="13"/>
      <c r="I12" s="13"/>
      <c r="J12" s="13"/>
      <c r="K12" s="13">
        <v>29.08</v>
      </c>
      <c r="L12" s="13">
        <f aca="true" t="shared" si="1" ref="L12:L17">F12*K12</f>
        <v>6.961752</v>
      </c>
      <c r="M12" s="13">
        <f t="shared" si="0"/>
        <v>6.961752</v>
      </c>
    </row>
    <row r="13" spans="1:13" s="135" customFormat="1" ht="13.5" customHeight="1">
      <c r="A13" s="128"/>
      <c r="B13" s="341"/>
      <c r="C13" s="19" t="s">
        <v>7</v>
      </c>
      <c r="D13" s="1" t="s">
        <v>793</v>
      </c>
      <c r="E13" s="1">
        <v>0.00258</v>
      </c>
      <c r="F13" s="2">
        <f>F10*E13</f>
        <v>1.4706</v>
      </c>
      <c r="G13" s="13"/>
      <c r="H13" s="13"/>
      <c r="I13" s="13"/>
      <c r="J13" s="13"/>
      <c r="K13" s="13">
        <v>31.83</v>
      </c>
      <c r="L13" s="13">
        <f t="shared" si="1"/>
        <v>46.809197999999995</v>
      </c>
      <c r="M13" s="13">
        <f t="shared" si="0"/>
        <v>46.809197999999995</v>
      </c>
    </row>
    <row r="14" spans="1:13" s="135" customFormat="1" ht="14.25" customHeight="1">
      <c r="A14" s="1"/>
      <c r="B14" s="341"/>
      <c r="C14" s="19" t="s">
        <v>794</v>
      </c>
      <c r="D14" s="1" t="s">
        <v>793</v>
      </c>
      <c r="E14" s="1">
        <v>0.0112</v>
      </c>
      <c r="F14" s="2">
        <f>F10*E14</f>
        <v>6.384</v>
      </c>
      <c r="G14" s="13"/>
      <c r="H14" s="13"/>
      <c r="I14" s="13"/>
      <c r="J14" s="13"/>
      <c r="K14" s="13">
        <v>19.54</v>
      </c>
      <c r="L14" s="13">
        <f t="shared" si="1"/>
        <v>124.74336</v>
      </c>
      <c r="M14" s="13">
        <f>H14+J14+L14</f>
        <v>124.74336</v>
      </c>
    </row>
    <row r="15" spans="1:13" s="135" customFormat="1" ht="14.25" customHeight="1">
      <c r="A15" s="1"/>
      <c r="B15" s="341"/>
      <c r="C15" s="19" t="s">
        <v>795</v>
      </c>
      <c r="D15" s="1" t="s">
        <v>793</v>
      </c>
      <c r="E15" s="1">
        <v>0.0248</v>
      </c>
      <c r="F15" s="2">
        <f>F10*E15</f>
        <v>14.136</v>
      </c>
      <c r="G15" s="13"/>
      <c r="H15" s="13"/>
      <c r="I15" s="13"/>
      <c r="J15" s="13"/>
      <c r="K15" s="13">
        <v>23.18</v>
      </c>
      <c r="L15" s="13">
        <f t="shared" si="1"/>
        <v>327.67247999999995</v>
      </c>
      <c r="M15" s="13">
        <f>H15+J15+L15</f>
        <v>327.67247999999995</v>
      </c>
    </row>
    <row r="16" spans="1:13" s="135" customFormat="1" ht="16.5" customHeight="1">
      <c r="A16" s="128"/>
      <c r="B16" s="341"/>
      <c r="C16" s="19" t="s">
        <v>796</v>
      </c>
      <c r="D16" s="1" t="s">
        <v>793</v>
      </c>
      <c r="E16" s="1">
        <v>0.00414</v>
      </c>
      <c r="F16" s="2">
        <f>F10*E16</f>
        <v>2.3598</v>
      </c>
      <c r="G16" s="13"/>
      <c r="H16" s="13"/>
      <c r="I16" s="13"/>
      <c r="J16" s="13"/>
      <c r="K16" s="13">
        <v>49.62</v>
      </c>
      <c r="L16" s="13">
        <f t="shared" si="1"/>
        <v>117.09327599999999</v>
      </c>
      <c r="M16" s="13">
        <f t="shared" si="0"/>
        <v>117.09327599999999</v>
      </c>
    </row>
    <row r="17" spans="1:13" s="135" customFormat="1" ht="14.25" customHeight="1">
      <c r="A17" s="128"/>
      <c r="B17" s="341"/>
      <c r="C17" s="19" t="s">
        <v>797</v>
      </c>
      <c r="D17" s="1" t="s">
        <v>793</v>
      </c>
      <c r="E17" s="1">
        <v>0.00053</v>
      </c>
      <c r="F17" s="2">
        <f>F10*E17</f>
        <v>0.3021</v>
      </c>
      <c r="G17" s="13"/>
      <c r="H17" s="13"/>
      <c r="I17" s="13"/>
      <c r="J17" s="13"/>
      <c r="K17" s="13">
        <v>30.42</v>
      </c>
      <c r="L17" s="13">
        <f t="shared" si="1"/>
        <v>9.189882</v>
      </c>
      <c r="M17" s="13">
        <f t="shared" si="0"/>
        <v>9.189882</v>
      </c>
    </row>
    <row r="18" spans="1:13" s="135" customFormat="1" ht="13.5">
      <c r="A18" s="128"/>
      <c r="B18" s="341"/>
      <c r="C18" s="19" t="s">
        <v>56</v>
      </c>
      <c r="D18" s="1"/>
      <c r="E18" s="1"/>
      <c r="F18" s="2"/>
      <c r="G18" s="13"/>
      <c r="H18" s="13"/>
      <c r="I18" s="13"/>
      <c r="J18" s="13"/>
      <c r="K18" s="13"/>
      <c r="L18" s="13"/>
      <c r="M18" s="13"/>
    </row>
    <row r="19" spans="1:13" s="135" customFormat="1" ht="13.5">
      <c r="A19" s="128"/>
      <c r="B19" s="341"/>
      <c r="C19" s="19" t="s">
        <v>798</v>
      </c>
      <c r="D19" s="1" t="s">
        <v>66</v>
      </c>
      <c r="E19" s="1">
        <f>0.189+0.0126*15</f>
        <v>0.378</v>
      </c>
      <c r="F19" s="2">
        <f>F10*E19</f>
        <v>215.46</v>
      </c>
      <c r="G19" s="13">
        <v>14.5</v>
      </c>
      <c r="H19" s="13">
        <f>F19*G19</f>
        <v>3124.17</v>
      </c>
      <c r="I19" s="13"/>
      <c r="J19" s="13"/>
      <c r="K19" s="13"/>
      <c r="L19" s="13"/>
      <c r="M19" s="13">
        <f>H19+J19+L19</f>
        <v>3124.17</v>
      </c>
    </row>
    <row r="20" spans="1:13" s="135" customFormat="1" ht="13.5">
      <c r="A20" s="128"/>
      <c r="B20" s="341"/>
      <c r="C20" s="19" t="s">
        <v>799</v>
      </c>
      <c r="D20" s="1" t="s">
        <v>66</v>
      </c>
      <c r="E20" s="1">
        <v>0.015</v>
      </c>
      <c r="F20" s="2">
        <f>F10*E20</f>
        <v>8.549999999999999</v>
      </c>
      <c r="G20" s="13">
        <v>15.8</v>
      </c>
      <c r="H20" s="13">
        <f>F20*G20</f>
        <v>135.09</v>
      </c>
      <c r="I20" s="13"/>
      <c r="J20" s="13"/>
      <c r="K20" s="13"/>
      <c r="L20" s="13"/>
      <c r="M20" s="13">
        <f>H20+J20+L20</f>
        <v>135.09</v>
      </c>
    </row>
    <row r="21" spans="1:13" s="135" customFormat="1" ht="13.5">
      <c r="A21" s="128"/>
      <c r="B21" s="341"/>
      <c r="C21" s="19" t="s">
        <v>789</v>
      </c>
      <c r="D21" s="1" t="s">
        <v>66</v>
      </c>
      <c r="E21" s="1">
        <v>0.03</v>
      </c>
      <c r="F21" s="2">
        <f>F10*E21</f>
        <v>17.099999999999998</v>
      </c>
      <c r="G21" s="13">
        <v>3.6</v>
      </c>
      <c r="H21" s="13">
        <f>F21*G21</f>
        <v>61.559999999999995</v>
      </c>
      <c r="I21" s="13"/>
      <c r="J21" s="13"/>
      <c r="K21" s="13"/>
      <c r="L21" s="13"/>
      <c r="M21" s="13">
        <f>H21+J21+L21</f>
        <v>61.559999999999995</v>
      </c>
    </row>
    <row r="22" spans="1:13" ht="29.25" customHeight="1">
      <c r="A22" s="28">
        <v>2</v>
      </c>
      <c r="B22" s="149" t="s">
        <v>800</v>
      </c>
      <c r="C22" s="43" t="s">
        <v>801</v>
      </c>
      <c r="D22" s="28" t="s">
        <v>64</v>
      </c>
      <c r="E22" s="28"/>
      <c r="F22" s="312">
        <v>570</v>
      </c>
      <c r="G22" s="30"/>
      <c r="H22" s="30"/>
      <c r="I22" s="30"/>
      <c r="J22" s="30"/>
      <c r="K22" s="30"/>
      <c r="L22" s="30"/>
      <c r="M22" s="30"/>
    </row>
    <row r="23" spans="1:13" ht="16.5" customHeight="1">
      <c r="A23" s="125"/>
      <c r="B23" s="341"/>
      <c r="C23" s="19" t="s">
        <v>802</v>
      </c>
      <c r="D23" s="1" t="s">
        <v>366</v>
      </c>
      <c r="E23" s="1">
        <f>0.405-0.00464*2</f>
        <v>0.39572</v>
      </c>
      <c r="F23" s="13">
        <f>F22*E23</f>
        <v>225.56040000000002</v>
      </c>
      <c r="G23" s="13"/>
      <c r="H23" s="13"/>
      <c r="I23" s="13">
        <v>6</v>
      </c>
      <c r="J23" s="13">
        <f>F23*I23</f>
        <v>1353.3624</v>
      </c>
      <c r="K23" s="13"/>
      <c r="L23" s="13"/>
      <c r="M23" s="13">
        <f>H23+J23+L23</f>
        <v>1353.3624</v>
      </c>
    </row>
    <row r="24" spans="1:13" ht="15" customHeight="1">
      <c r="A24" s="125"/>
      <c r="B24" s="341"/>
      <c r="C24" s="19" t="s">
        <v>796</v>
      </c>
      <c r="D24" s="14" t="s">
        <v>365</v>
      </c>
      <c r="E24" s="1">
        <v>0.0226</v>
      </c>
      <c r="F24" s="13">
        <f>F22*E24</f>
        <v>12.882</v>
      </c>
      <c r="G24" s="13"/>
      <c r="H24" s="13"/>
      <c r="I24" s="13"/>
      <c r="J24" s="13"/>
      <c r="K24" s="13">
        <v>49.62</v>
      </c>
      <c r="L24" s="13">
        <f>F24*K24</f>
        <v>639.20484</v>
      </c>
      <c r="M24" s="13">
        <f>H24+J24+L24</f>
        <v>639.20484</v>
      </c>
    </row>
    <row r="25" spans="1:13" ht="13.5" customHeight="1">
      <c r="A25" s="125"/>
      <c r="B25" s="341"/>
      <c r="C25" s="19" t="s">
        <v>803</v>
      </c>
      <c r="D25" s="14" t="s">
        <v>365</v>
      </c>
      <c r="E25" s="1">
        <f>0.0135-0.0001*2</f>
        <v>0.0133</v>
      </c>
      <c r="F25" s="13">
        <f>F22*E25</f>
        <v>7.5809999999999995</v>
      </c>
      <c r="G25" s="13"/>
      <c r="H25" s="13"/>
      <c r="I25" s="13"/>
      <c r="J25" s="13"/>
      <c r="K25" s="13">
        <v>3.2</v>
      </c>
      <c r="L25" s="13">
        <f>F25*K25</f>
        <v>24.2592</v>
      </c>
      <c r="M25" s="13">
        <f>H25+J25+L25</f>
        <v>24.2592</v>
      </c>
    </row>
    <row r="26" spans="1:13" ht="13.5">
      <c r="A26" s="125"/>
      <c r="B26" s="341"/>
      <c r="C26" s="19" t="s">
        <v>56</v>
      </c>
      <c r="D26" s="1"/>
      <c r="E26" s="1"/>
      <c r="F26" s="13"/>
      <c r="G26" s="13"/>
      <c r="H26" s="13"/>
      <c r="I26" s="13"/>
      <c r="J26" s="13"/>
      <c r="K26" s="13"/>
      <c r="L26" s="13"/>
      <c r="M26" s="13"/>
    </row>
    <row r="27" spans="1:13" ht="13.5">
      <c r="A27" s="125"/>
      <c r="B27" s="341"/>
      <c r="C27" s="19" t="s">
        <v>804</v>
      </c>
      <c r="D27" s="1" t="s">
        <v>66</v>
      </c>
      <c r="E27" s="1">
        <f>0.204-0.0102*2</f>
        <v>0.18359999999999999</v>
      </c>
      <c r="F27" s="13">
        <f>F22*E27</f>
        <v>104.65199999999999</v>
      </c>
      <c r="G27" s="13">
        <v>118</v>
      </c>
      <c r="H27" s="13">
        <f aca="true" t="shared" si="2" ref="H27:H33">F27*G27</f>
        <v>12348.935999999998</v>
      </c>
      <c r="I27" s="13"/>
      <c r="J27" s="13"/>
      <c r="K27" s="13"/>
      <c r="L27" s="13"/>
      <c r="M27" s="13">
        <f aca="true" t="shared" si="3" ref="M27:M33">H27+J27+L27</f>
        <v>12348.935999999998</v>
      </c>
    </row>
    <row r="28" spans="1:13" ht="15" customHeight="1">
      <c r="A28" s="125"/>
      <c r="B28" s="341"/>
      <c r="C28" s="19" t="s">
        <v>805</v>
      </c>
      <c r="D28" s="1" t="s">
        <v>65</v>
      </c>
      <c r="E28" s="1">
        <f>0.23-0.01*2</f>
        <v>0.21000000000000002</v>
      </c>
      <c r="F28" s="13">
        <f>F22*E28</f>
        <v>119.70000000000002</v>
      </c>
      <c r="G28" s="13">
        <v>0.99</v>
      </c>
      <c r="H28" s="13">
        <f t="shared" si="2"/>
        <v>118.50300000000001</v>
      </c>
      <c r="I28" s="13"/>
      <c r="J28" s="13"/>
      <c r="K28" s="13"/>
      <c r="L28" s="13"/>
      <c r="M28" s="13">
        <f t="shared" si="3"/>
        <v>118.50300000000001</v>
      </c>
    </row>
    <row r="29" spans="1:13" ht="15.75" customHeight="1">
      <c r="A29" s="125"/>
      <c r="B29" s="341"/>
      <c r="C29" s="19" t="s">
        <v>806</v>
      </c>
      <c r="D29" s="1" t="s">
        <v>64</v>
      </c>
      <c r="E29" s="1">
        <v>0.11</v>
      </c>
      <c r="F29" s="13">
        <f>F22*E29</f>
        <v>62.7</v>
      </c>
      <c r="G29" s="13">
        <v>0.8</v>
      </c>
      <c r="H29" s="13">
        <f t="shared" si="2"/>
        <v>50.160000000000004</v>
      </c>
      <c r="I29" s="13"/>
      <c r="J29" s="13"/>
      <c r="K29" s="13"/>
      <c r="L29" s="13"/>
      <c r="M29" s="13">
        <f t="shared" si="3"/>
        <v>50.160000000000004</v>
      </c>
    </row>
    <row r="30" spans="1:13" ht="15" customHeight="1">
      <c r="A30" s="125"/>
      <c r="B30" s="341"/>
      <c r="C30" s="19" t="s">
        <v>211</v>
      </c>
      <c r="D30" s="1" t="s">
        <v>66</v>
      </c>
      <c r="E30" s="1">
        <v>0.04</v>
      </c>
      <c r="F30" s="13">
        <f>F22*E30</f>
        <v>22.8</v>
      </c>
      <c r="G30" s="13">
        <v>25.4</v>
      </c>
      <c r="H30" s="13">
        <f t="shared" si="2"/>
        <v>579.12</v>
      </c>
      <c r="I30" s="13"/>
      <c r="J30" s="13"/>
      <c r="K30" s="13"/>
      <c r="L30" s="13"/>
      <c r="M30" s="13">
        <f t="shared" si="3"/>
        <v>579.12</v>
      </c>
    </row>
    <row r="31" spans="1:13" ht="15" customHeight="1">
      <c r="A31" s="125"/>
      <c r="B31" s="341"/>
      <c r="C31" s="19" t="s">
        <v>807</v>
      </c>
      <c r="D31" s="1" t="s">
        <v>64</v>
      </c>
      <c r="E31" s="1">
        <f>0.0117-0.00059*2</f>
        <v>0.01052</v>
      </c>
      <c r="F31" s="13">
        <f>F22*E31</f>
        <v>5.9963999999999995</v>
      </c>
      <c r="G31" s="13">
        <v>10.5</v>
      </c>
      <c r="H31" s="13">
        <f t="shared" si="2"/>
        <v>62.962199999999996</v>
      </c>
      <c r="I31" s="13"/>
      <c r="J31" s="13"/>
      <c r="K31" s="13"/>
      <c r="L31" s="13"/>
      <c r="M31" s="13">
        <f t="shared" si="3"/>
        <v>62.962199999999996</v>
      </c>
    </row>
    <row r="32" spans="1:13" ht="14.25" customHeight="1">
      <c r="A32" s="125"/>
      <c r="B32" s="341"/>
      <c r="C32" s="19" t="s">
        <v>808</v>
      </c>
      <c r="D32" s="1" t="s">
        <v>66</v>
      </c>
      <c r="E32" s="1">
        <v>0.178</v>
      </c>
      <c r="F32" s="13">
        <f>F22*E32</f>
        <v>101.46</v>
      </c>
      <c r="G32" s="13">
        <v>3.6</v>
      </c>
      <c r="H32" s="13">
        <f t="shared" si="2"/>
        <v>365.256</v>
      </c>
      <c r="I32" s="13"/>
      <c r="J32" s="13"/>
      <c r="K32" s="13"/>
      <c r="L32" s="13"/>
      <c r="M32" s="13">
        <f t="shared" si="3"/>
        <v>365.256</v>
      </c>
    </row>
    <row r="33" spans="1:13" ht="15" customHeight="1">
      <c r="A33" s="125"/>
      <c r="B33" s="341"/>
      <c r="C33" s="19" t="s">
        <v>809</v>
      </c>
      <c r="D33" s="1" t="s">
        <v>64</v>
      </c>
      <c r="E33" s="1">
        <f>0.0064-0.00019*2</f>
        <v>0.00602</v>
      </c>
      <c r="F33" s="13">
        <f>F22*E33</f>
        <v>3.4314</v>
      </c>
      <c r="G33" s="13">
        <v>3.2</v>
      </c>
      <c r="H33" s="13">
        <f t="shared" si="2"/>
        <v>10.98048</v>
      </c>
      <c r="I33" s="13"/>
      <c r="J33" s="13"/>
      <c r="K33" s="13"/>
      <c r="L33" s="13"/>
      <c r="M33" s="13">
        <f t="shared" si="3"/>
        <v>10.98048</v>
      </c>
    </row>
    <row r="34" spans="1:13" s="121" customFormat="1" ht="27">
      <c r="A34" s="28">
        <v>3</v>
      </c>
      <c r="B34" s="149" t="s">
        <v>593</v>
      </c>
      <c r="C34" s="43" t="s">
        <v>812</v>
      </c>
      <c r="D34" s="28" t="s">
        <v>85</v>
      </c>
      <c r="E34" s="28"/>
      <c r="F34" s="164">
        <v>150</v>
      </c>
      <c r="G34" s="30"/>
      <c r="H34" s="30"/>
      <c r="I34" s="30"/>
      <c r="J34" s="30"/>
      <c r="K34" s="30"/>
      <c r="L34" s="30"/>
      <c r="M34" s="30"/>
    </row>
    <row r="35" spans="1:13" s="121" customFormat="1" ht="15.75" customHeight="1">
      <c r="A35" s="125"/>
      <c r="B35" s="341"/>
      <c r="C35" s="19" t="s">
        <v>54</v>
      </c>
      <c r="D35" s="1" t="s">
        <v>366</v>
      </c>
      <c r="E35" s="1">
        <v>1.11</v>
      </c>
      <c r="F35" s="13">
        <f>F34*E35</f>
        <v>166.50000000000003</v>
      </c>
      <c r="G35" s="13"/>
      <c r="H35" s="13"/>
      <c r="I35" s="13">
        <v>6</v>
      </c>
      <c r="J35" s="13">
        <f>F35*I35</f>
        <v>999.0000000000002</v>
      </c>
      <c r="K35" s="13"/>
      <c r="L35" s="13"/>
      <c r="M35" s="13">
        <f>H35+J35+L35</f>
        <v>999.0000000000002</v>
      </c>
    </row>
    <row r="36" spans="1:13" s="121" customFormat="1" ht="13.5">
      <c r="A36" s="125"/>
      <c r="B36" s="120"/>
      <c r="C36" s="19" t="s">
        <v>62</v>
      </c>
      <c r="D36" s="1" t="s">
        <v>43</v>
      </c>
      <c r="E36" s="1">
        <v>0.0071</v>
      </c>
      <c r="F36" s="13">
        <f>F34*E36</f>
        <v>1.0650000000000002</v>
      </c>
      <c r="G36" s="13"/>
      <c r="H36" s="13"/>
      <c r="I36" s="13"/>
      <c r="J36" s="13"/>
      <c r="K36" s="13">
        <v>3.2</v>
      </c>
      <c r="L36" s="13">
        <f>F36*K36</f>
        <v>3.408000000000001</v>
      </c>
      <c r="M36" s="13">
        <f>H36+J36+L36</f>
        <v>3.408000000000001</v>
      </c>
    </row>
    <row r="37" spans="1:13" s="121" customFormat="1" ht="13.5">
      <c r="A37" s="125"/>
      <c r="B37" s="341"/>
      <c r="C37" s="19" t="s">
        <v>56</v>
      </c>
      <c r="D37" s="1"/>
      <c r="E37" s="1"/>
      <c r="F37" s="13"/>
      <c r="G37" s="13"/>
      <c r="H37" s="13"/>
      <c r="I37" s="13"/>
      <c r="J37" s="13"/>
      <c r="K37" s="13"/>
      <c r="L37" s="13"/>
      <c r="M37" s="13"/>
    </row>
    <row r="38" spans="1:13" s="121" customFormat="1" ht="13.5">
      <c r="A38" s="125"/>
      <c r="B38" s="341"/>
      <c r="C38" s="19" t="s">
        <v>813</v>
      </c>
      <c r="D38" s="1" t="s">
        <v>85</v>
      </c>
      <c r="E38" s="1">
        <v>1</v>
      </c>
      <c r="F38" s="13">
        <f>F34*E38</f>
        <v>150</v>
      </c>
      <c r="G38" s="13">
        <v>27</v>
      </c>
      <c r="H38" s="13">
        <f>F38*G38</f>
        <v>4050</v>
      </c>
      <c r="I38" s="13"/>
      <c r="J38" s="13"/>
      <c r="K38" s="13"/>
      <c r="L38" s="13"/>
      <c r="M38" s="13">
        <f>H38+J38+L38</f>
        <v>4050</v>
      </c>
    </row>
    <row r="39" spans="1:13" s="121" customFormat="1" ht="13.5">
      <c r="A39" s="125"/>
      <c r="B39" s="341"/>
      <c r="C39" s="19" t="s">
        <v>142</v>
      </c>
      <c r="D39" s="1" t="s">
        <v>66</v>
      </c>
      <c r="E39" s="1">
        <v>0.039</v>
      </c>
      <c r="F39" s="13">
        <f>F34*E39</f>
        <v>5.85</v>
      </c>
      <c r="G39" s="13">
        <v>97</v>
      </c>
      <c r="H39" s="13">
        <f>F39*G39</f>
        <v>567.4499999999999</v>
      </c>
      <c r="I39" s="13"/>
      <c r="J39" s="13"/>
      <c r="K39" s="13"/>
      <c r="L39" s="13"/>
      <c r="M39" s="13">
        <f>H39+J39+L39</f>
        <v>567.4499999999999</v>
      </c>
    </row>
    <row r="40" spans="1:13" s="121" customFormat="1" ht="13.5">
      <c r="A40" s="125"/>
      <c r="B40" s="341"/>
      <c r="C40" s="19" t="s">
        <v>2</v>
      </c>
      <c r="D40" s="1" t="s">
        <v>66</v>
      </c>
      <c r="E40" s="1">
        <v>0.0006</v>
      </c>
      <c r="F40" s="13">
        <f>F34*E40</f>
        <v>0.09</v>
      </c>
      <c r="G40" s="13">
        <v>87</v>
      </c>
      <c r="H40" s="13">
        <f>F40*G40</f>
        <v>7.83</v>
      </c>
      <c r="I40" s="13"/>
      <c r="J40" s="13"/>
      <c r="K40" s="13"/>
      <c r="L40" s="13"/>
      <c r="M40" s="13">
        <f>H40+J40+L40</f>
        <v>7.83</v>
      </c>
    </row>
    <row r="41" spans="1:13" s="121" customFormat="1" ht="13.5">
      <c r="A41" s="125"/>
      <c r="B41" s="120"/>
      <c r="C41" s="19" t="s">
        <v>57</v>
      </c>
      <c r="D41" s="1" t="s">
        <v>43</v>
      </c>
      <c r="E41" s="1">
        <v>0.096</v>
      </c>
      <c r="F41" s="13">
        <f>F34*E41</f>
        <v>14.4</v>
      </c>
      <c r="G41" s="13">
        <v>3.2</v>
      </c>
      <c r="H41" s="13">
        <f>F41*G41</f>
        <v>46.080000000000005</v>
      </c>
      <c r="I41" s="13"/>
      <c r="J41" s="13"/>
      <c r="K41" s="13"/>
      <c r="L41" s="13"/>
      <c r="M41" s="13">
        <f>H41+J41+L41</f>
        <v>46.080000000000005</v>
      </c>
    </row>
    <row r="42" spans="1:13" ht="16.5">
      <c r="A42" s="47"/>
      <c r="B42" s="126"/>
      <c r="C42" s="333" t="s">
        <v>814</v>
      </c>
      <c r="D42" s="47"/>
      <c r="E42" s="47"/>
      <c r="F42" s="108"/>
      <c r="G42" s="108"/>
      <c r="H42" s="108"/>
      <c r="I42" s="108"/>
      <c r="J42" s="108"/>
      <c r="K42" s="108"/>
      <c r="L42" s="108"/>
      <c r="M42" s="108"/>
    </row>
    <row r="43" spans="1:13" ht="13.5">
      <c r="A43" s="28">
        <v>4</v>
      </c>
      <c r="B43" s="149" t="s">
        <v>815</v>
      </c>
      <c r="C43" s="43" t="s">
        <v>825</v>
      </c>
      <c r="D43" s="28" t="s">
        <v>66</v>
      </c>
      <c r="E43" s="28"/>
      <c r="F43" s="164">
        <f>F54*0.1</f>
        <v>20</v>
      </c>
      <c r="G43" s="30"/>
      <c r="H43" s="30"/>
      <c r="I43" s="30"/>
      <c r="J43" s="30"/>
      <c r="K43" s="30"/>
      <c r="L43" s="30"/>
      <c r="M43" s="30"/>
    </row>
    <row r="44" spans="1:254" s="302" customFormat="1" ht="13.5">
      <c r="A44" s="417"/>
      <c r="B44" s="418"/>
      <c r="C44" s="419" t="s">
        <v>816</v>
      </c>
      <c r="D44" s="418" t="s">
        <v>55</v>
      </c>
      <c r="E44" s="1">
        <v>0.216</v>
      </c>
      <c r="F44" s="13">
        <f>F43*E44</f>
        <v>4.32</v>
      </c>
      <c r="G44" s="304"/>
      <c r="H44" s="305"/>
      <c r="I44" s="304">
        <v>6</v>
      </c>
      <c r="J44" s="305">
        <f>F44*I44</f>
        <v>25.92</v>
      </c>
      <c r="K44" s="304"/>
      <c r="L44" s="305"/>
      <c r="M44" s="115">
        <f>H44+J44+L44</f>
        <v>25.92</v>
      </c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6"/>
      <c r="DV44" s="66"/>
      <c r="DW44" s="66"/>
      <c r="DX44" s="66"/>
      <c r="DY44" s="66"/>
      <c r="DZ44" s="66"/>
      <c r="EA44" s="66"/>
      <c r="EB44" s="66"/>
      <c r="EC44" s="66"/>
      <c r="ED44" s="66"/>
      <c r="EE44" s="66"/>
      <c r="EF44" s="66"/>
      <c r="EG44" s="66"/>
      <c r="EH44" s="66"/>
      <c r="EI44" s="66"/>
      <c r="EJ44" s="66"/>
      <c r="EK44" s="66"/>
      <c r="EL44" s="66"/>
      <c r="EM44" s="66"/>
      <c r="EN44" s="66"/>
      <c r="EO44" s="66"/>
      <c r="EP44" s="66"/>
      <c r="EQ44" s="66"/>
      <c r="ER44" s="66"/>
      <c r="ES44" s="66"/>
      <c r="ET44" s="66"/>
      <c r="EU44" s="66"/>
      <c r="EV44" s="66"/>
      <c r="EW44" s="66"/>
      <c r="EX44" s="66"/>
      <c r="EY44" s="66"/>
      <c r="EZ44" s="66"/>
      <c r="FA44" s="66"/>
      <c r="FB44" s="66"/>
      <c r="FC44" s="66"/>
      <c r="FD44" s="66"/>
      <c r="FE44" s="66"/>
      <c r="FF44" s="66"/>
      <c r="FG44" s="66"/>
      <c r="FH44" s="66"/>
      <c r="FI44" s="66"/>
      <c r="FJ44" s="66"/>
      <c r="FK44" s="66"/>
      <c r="FL44" s="66"/>
      <c r="FM44" s="66"/>
      <c r="FN44" s="66"/>
      <c r="FO44" s="66"/>
      <c r="FP44" s="66"/>
      <c r="FQ44" s="66"/>
      <c r="FR44" s="66"/>
      <c r="FS44" s="66"/>
      <c r="FT44" s="66"/>
      <c r="FU44" s="66"/>
      <c r="FV44" s="66"/>
      <c r="FW44" s="66"/>
      <c r="FX44" s="66"/>
      <c r="FY44" s="66"/>
      <c r="FZ44" s="66"/>
      <c r="GA44" s="66"/>
      <c r="GB44" s="66"/>
      <c r="GC44" s="66"/>
      <c r="GD44" s="66"/>
      <c r="GE44" s="66"/>
      <c r="GF44" s="66"/>
      <c r="GG44" s="66"/>
      <c r="GH44" s="66"/>
      <c r="GI44" s="66"/>
      <c r="GJ44" s="66"/>
      <c r="GK44" s="66"/>
      <c r="GL44" s="66"/>
      <c r="GM44" s="66"/>
      <c r="GN44" s="66"/>
      <c r="GO44" s="66"/>
      <c r="GP44" s="66"/>
      <c r="GQ44" s="66"/>
      <c r="GR44" s="66"/>
      <c r="GS44" s="66"/>
      <c r="GT44" s="66"/>
      <c r="GU44" s="66"/>
      <c r="GV44" s="66"/>
      <c r="GW44" s="66"/>
      <c r="GX44" s="66"/>
      <c r="GY44" s="66"/>
      <c r="GZ44" s="66"/>
      <c r="HA44" s="66"/>
      <c r="HB44" s="66"/>
      <c r="HC44" s="66"/>
      <c r="HD44" s="66"/>
      <c r="HE44" s="66"/>
      <c r="HF44" s="66"/>
      <c r="HG44" s="66"/>
      <c r="HH44" s="66"/>
      <c r="HI44" s="66"/>
      <c r="HJ44" s="66"/>
      <c r="HK44" s="66"/>
      <c r="HL44" s="66"/>
      <c r="HM44" s="66"/>
      <c r="HN44" s="66"/>
      <c r="HO44" s="66"/>
      <c r="HP44" s="66"/>
      <c r="HQ44" s="66"/>
      <c r="HR44" s="66"/>
      <c r="HS44" s="66"/>
      <c r="HT44" s="66"/>
      <c r="HU44" s="66"/>
      <c r="HV44" s="66"/>
      <c r="HW44" s="66"/>
      <c r="HX44" s="66"/>
      <c r="HY44" s="66"/>
      <c r="HZ44" s="66"/>
      <c r="IA44" s="66"/>
      <c r="IB44" s="66"/>
      <c r="IC44" s="66"/>
      <c r="ID44" s="66"/>
      <c r="IE44" s="66"/>
      <c r="IF44" s="66"/>
      <c r="IG44" s="66"/>
      <c r="IH44" s="66"/>
      <c r="II44" s="66"/>
      <c r="IJ44" s="66"/>
      <c r="IK44" s="66"/>
      <c r="IL44" s="66"/>
      <c r="IM44" s="66"/>
      <c r="IN44" s="66"/>
      <c r="IO44" s="66"/>
      <c r="IP44" s="66"/>
      <c r="IQ44" s="66"/>
      <c r="IR44" s="66"/>
      <c r="IS44" s="66"/>
      <c r="IT44" s="66"/>
    </row>
    <row r="45" spans="1:254" s="420" customFormat="1" ht="13.5">
      <c r="A45" s="417"/>
      <c r="B45" s="66"/>
      <c r="C45" s="419" t="s">
        <v>817</v>
      </c>
      <c r="D45" s="66" t="s">
        <v>818</v>
      </c>
      <c r="E45" s="1">
        <v>0.0124</v>
      </c>
      <c r="F45" s="13">
        <f>F43*E45</f>
        <v>0.248</v>
      </c>
      <c r="G45" s="304"/>
      <c r="H45" s="305"/>
      <c r="I45" s="304"/>
      <c r="J45" s="305"/>
      <c r="K45" s="13">
        <v>29.08</v>
      </c>
      <c r="L45" s="305">
        <f aca="true" t="shared" si="4" ref="L45:L50">F45*K45</f>
        <v>7.21184</v>
      </c>
      <c r="M45" s="115">
        <f aca="true" t="shared" si="5" ref="M45:M53">H45+J45+L45</f>
        <v>7.21184</v>
      </c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6"/>
      <c r="DV45" s="66"/>
      <c r="DW45" s="66"/>
      <c r="DX45" s="66"/>
      <c r="DY45" s="66"/>
      <c r="DZ45" s="66"/>
      <c r="EA45" s="66"/>
      <c r="EB45" s="66"/>
      <c r="EC45" s="66"/>
      <c r="ED45" s="66"/>
      <c r="EE45" s="66"/>
      <c r="EF45" s="66"/>
      <c r="EG45" s="66"/>
      <c r="EH45" s="66"/>
      <c r="EI45" s="66"/>
      <c r="EJ45" s="66"/>
      <c r="EK45" s="66"/>
      <c r="EL45" s="66"/>
      <c r="EM45" s="66"/>
      <c r="EN45" s="66"/>
      <c r="EO45" s="66"/>
      <c r="EP45" s="66"/>
      <c r="EQ45" s="66"/>
      <c r="ER45" s="66"/>
      <c r="ES45" s="66"/>
      <c r="ET45" s="66"/>
      <c r="EU45" s="66"/>
      <c r="EV45" s="66"/>
      <c r="EW45" s="66"/>
      <c r="EX45" s="66"/>
      <c r="EY45" s="66"/>
      <c r="EZ45" s="66"/>
      <c r="FA45" s="66"/>
      <c r="FB45" s="66"/>
      <c r="FC45" s="66"/>
      <c r="FD45" s="66"/>
      <c r="FE45" s="66"/>
      <c r="FF45" s="66"/>
      <c r="FG45" s="66"/>
      <c r="FH45" s="66"/>
      <c r="FI45" s="66"/>
      <c r="FJ45" s="66"/>
      <c r="FK45" s="66"/>
      <c r="FL45" s="66"/>
      <c r="FM45" s="66"/>
      <c r="FN45" s="66"/>
      <c r="FO45" s="66"/>
      <c r="FP45" s="66"/>
      <c r="FQ45" s="66"/>
      <c r="FR45" s="66"/>
      <c r="FS45" s="66"/>
      <c r="FT45" s="66"/>
      <c r="FU45" s="66"/>
      <c r="FV45" s="66"/>
      <c r="FW45" s="66"/>
      <c r="FX45" s="66"/>
      <c r="FY45" s="66"/>
      <c r="FZ45" s="66"/>
      <c r="GA45" s="66"/>
      <c r="GB45" s="66"/>
      <c r="GC45" s="66"/>
      <c r="GD45" s="66"/>
      <c r="GE45" s="66"/>
      <c r="GF45" s="66"/>
      <c r="GG45" s="66"/>
      <c r="GH45" s="66"/>
      <c r="GI45" s="66"/>
      <c r="GJ45" s="66"/>
      <c r="GK45" s="66"/>
      <c r="GL45" s="66"/>
      <c r="GM45" s="66"/>
      <c r="GN45" s="66"/>
      <c r="GO45" s="66"/>
      <c r="GP45" s="66"/>
      <c r="GQ45" s="66"/>
      <c r="GR45" s="66"/>
      <c r="GS45" s="66"/>
      <c r="GT45" s="66"/>
      <c r="GU45" s="66"/>
      <c r="GV45" s="66"/>
      <c r="GW45" s="66"/>
      <c r="GX45" s="66"/>
      <c r="GY45" s="66"/>
      <c r="GZ45" s="66"/>
      <c r="HA45" s="66"/>
      <c r="HB45" s="66"/>
      <c r="HC45" s="66"/>
      <c r="HD45" s="66"/>
      <c r="HE45" s="66"/>
      <c r="HF45" s="66"/>
      <c r="HG45" s="66"/>
      <c r="HH45" s="66"/>
      <c r="HI45" s="66"/>
      <c r="HJ45" s="66"/>
      <c r="HK45" s="66"/>
      <c r="HL45" s="66"/>
      <c r="HM45" s="66"/>
      <c r="HN45" s="66"/>
      <c r="HO45" s="66"/>
      <c r="HP45" s="66"/>
      <c r="HQ45" s="66"/>
      <c r="HR45" s="66"/>
      <c r="HS45" s="66"/>
      <c r="HT45" s="66"/>
      <c r="HU45" s="66"/>
      <c r="HV45" s="66"/>
      <c r="HW45" s="66"/>
      <c r="HX45" s="66"/>
      <c r="HY45" s="66"/>
      <c r="HZ45" s="66"/>
      <c r="IA45" s="66"/>
      <c r="IB45" s="66"/>
      <c r="IC45" s="66"/>
      <c r="ID45" s="66"/>
      <c r="IE45" s="66"/>
      <c r="IF45" s="66"/>
      <c r="IG45" s="66"/>
      <c r="IH45" s="66"/>
      <c r="II45" s="66"/>
      <c r="IJ45" s="66"/>
      <c r="IK45" s="66"/>
      <c r="IL45" s="66"/>
      <c r="IM45" s="66"/>
      <c r="IN45" s="66"/>
      <c r="IO45" s="66"/>
      <c r="IP45" s="66"/>
      <c r="IQ45" s="66"/>
      <c r="IR45" s="66"/>
      <c r="IS45" s="66"/>
      <c r="IT45" s="66"/>
    </row>
    <row r="46" spans="1:254" s="45" customFormat="1" ht="13.5">
      <c r="A46" s="417"/>
      <c r="B46" s="145"/>
      <c r="C46" s="419" t="s">
        <v>819</v>
      </c>
      <c r="D46" s="145" t="s">
        <v>818</v>
      </c>
      <c r="E46" s="1">
        <v>0.0258</v>
      </c>
      <c r="F46" s="13">
        <f>F43*E46</f>
        <v>0.516</v>
      </c>
      <c r="G46" s="304"/>
      <c r="H46" s="305"/>
      <c r="I46" s="304"/>
      <c r="J46" s="305"/>
      <c r="K46" s="13">
        <v>31.83</v>
      </c>
      <c r="L46" s="305">
        <f t="shared" si="4"/>
        <v>16.42428</v>
      </c>
      <c r="M46" s="115">
        <f t="shared" si="5"/>
        <v>16.42428</v>
      </c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6"/>
      <c r="DS46" s="66"/>
      <c r="DT46" s="66"/>
      <c r="DU46" s="66"/>
      <c r="DV46" s="66"/>
      <c r="DW46" s="66"/>
      <c r="DX46" s="66"/>
      <c r="DY46" s="66"/>
      <c r="DZ46" s="66"/>
      <c r="EA46" s="66"/>
      <c r="EB46" s="66"/>
      <c r="EC46" s="66"/>
      <c r="ED46" s="66"/>
      <c r="EE46" s="66"/>
      <c r="EF46" s="66"/>
      <c r="EG46" s="66"/>
      <c r="EH46" s="66"/>
      <c r="EI46" s="66"/>
      <c r="EJ46" s="66"/>
      <c r="EK46" s="66"/>
      <c r="EL46" s="66"/>
      <c r="EM46" s="66"/>
      <c r="EN46" s="66"/>
      <c r="EO46" s="66"/>
      <c r="EP46" s="66"/>
      <c r="EQ46" s="66"/>
      <c r="ER46" s="66"/>
      <c r="ES46" s="66"/>
      <c r="ET46" s="66"/>
      <c r="EU46" s="66"/>
      <c r="EV46" s="66"/>
      <c r="EW46" s="66"/>
      <c r="EX46" s="66"/>
      <c r="EY46" s="66"/>
      <c r="EZ46" s="66"/>
      <c r="FA46" s="66"/>
      <c r="FB46" s="66"/>
      <c r="FC46" s="66"/>
      <c r="FD46" s="66"/>
      <c r="FE46" s="66"/>
      <c r="FF46" s="66"/>
      <c r="FG46" s="66"/>
      <c r="FH46" s="66"/>
      <c r="FI46" s="66"/>
      <c r="FJ46" s="66"/>
      <c r="FK46" s="66"/>
      <c r="FL46" s="66"/>
      <c r="FM46" s="66"/>
      <c r="FN46" s="66"/>
      <c r="FO46" s="66"/>
      <c r="FP46" s="66"/>
      <c r="FQ46" s="66"/>
      <c r="FR46" s="66"/>
      <c r="FS46" s="66"/>
      <c r="FT46" s="66"/>
      <c r="FU46" s="66"/>
      <c r="FV46" s="66"/>
      <c r="FW46" s="66"/>
      <c r="FX46" s="66"/>
      <c r="FY46" s="66"/>
      <c r="FZ46" s="66"/>
      <c r="GA46" s="66"/>
      <c r="GB46" s="66"/>
      <c r="GC46" s="66"/>
      <c r="GD46" s="66"/>
      <c r="GE46" s="66"/>
      <c r="GF46" s="66"/>
      <c r="GG46" s="66"/>
      <c r="GH46" s="66"/>
      <c r="GI46" s="66"/>
      <c r="GJ46" s="66"/>
      <c r="GK46" s="66"/>
      <c r="GL46" s="66"/>
      <c r="GM46" s="66"/>
      <c r="GN46" s="66"/>
      <c r="GO46" s="66"/>
      <c r="GP46" s="66"/>
      <c r="GQ46" s="66"/>
      <c r="GR46" s="66"/>
      <c r="GS46" s="66"/>
      <c r="GT46" s="66"/>
      <c r="GU46" s="66"/>
      <c r="GV46" s="66"/>
      <c r="GW46" s="66"/>
      <c r="GX46" s="66"/>
      <c r="GY46" s="66"/>
      <c r="GZ46" s="66"/>
      <c r="HA46" s="66"/>
      <c r="HB46" s="66"/>
      <c r="HC46" s="66"/>
      <c r="HD46" s="66"/>
      <c r="HE46" s="66"/>
      <c r="HF46" s="66"/>
      <c r="HG46" s="66"/>
      <c r="HH46" s="66"/>
      <c r="HI46" s="66"/>
      <c r="HJ46" s="66"/>
      <c r="HK46" s="66"/>
      <c r="HL46" s="66"/>
      <c r="HM46" s="66"/>
      <c r="HN46" s="66"/>
      <c r="HO46" s="66"/>
      <c r="HP46" s="66"/>
      <c r="HQ46" s="66"/>
      <c r="HR46" s="66"/>
      <c r="HS46" s="66"/>
      <c r="HT46" s="66"/>
      <c r="HU46" s="66"/>
      <c r="HV46" s="66"/>
      <c r="HW46" s="66"/>
      <c r="HX46" s="66"/>
      <c r="HY46" s="66"/>
      <c r="HZ46" s="66"/>
      <c r="IA46" s="66"/>
      <c r="IB46" s="66"/>
      <c r="IC46" s="66"/>
      <c r="ID46" s="66"/>
      <c r="IE46" s="66"/>
      <c r="IF46" s="66"/>
      <c r="IG46" s="66"/>
      <c r="IH46" s="66"/>
      <c r="II46" s="66"/>
      <c r="IJ46" s="66"/>
      <c r="IK46" s="66"/>
      <c r="IL46" s="66"/>
      <c r="IM46" s="66"/>
      <c r="IN46" s="66"/>
      <c r="IO46" s="66"/>
      <c r="IP46" s="66"/>
      <c r="IQ46" s="66"/>
      <c r="IR46" s="66"/>
      <c r="IS46" s="66"/>
      <c r="IT46" s="66"/>
    </row>
    <row r="47" spans="1:254" s="45" customFormat="1" ht="13.5">
      <c r="A47" s="417"/>
      <c r="B47" s="66"/>
      <c r="C47" s="19" t="s">
        <v>788</v>
      </c>
      <c r="D47" s="66" t="s">
        <v>818</v>
      </c>
      <c r="E47" s="1">
        <v>0.0041</v>
      </c>
      <c r="F47" s="13">
        <f>F43*E47</f>
        <v>0.082</v>
      </c>
      <c r="G47" s="304"/>
      <c r="H47" s="305"/>
      <c r="I47" s="304"/>
      <c r="J47" s="305"/>
      <c r="K47" s="304">
        <v>37.32</v>
      </c>
      <c r="L47" s="305">
        <f t="shared" si="4"/>
        <v>3.0602400000000003</v>
      </c>
      <c r="M47" s="115">
        <f t="shared" si="5"/>
        <v>3.0602400000000003</v>
      </c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66"/>
      <c r="ED47" s="66"/>
      <c r="EE47" s="66"/>
      <c r="EF47" s="66"/>
      <c r="EG47" s="66"/>
      <c r="EH47" s="66"/>
      <c r="EI47" s="66"/>
      <c r="EJ47" s="66"/>
      <c r="EK47" s="66"/>
      <c r="EL47" s="66"/>
      <c r="EM47" s="66"/>
      <c r="EN47" s="66"/>
      <c r="EO47" s="66"/>
      <c r="EP47" s="66"/>
      <c r="EQ47" s="66"/>
      <c r="ER47" s="66"/>
      <c r="ES47" s="66"/>
      <c r="ET47" s="66"/>
      <c r="EU47" s="66"/>
      <c r="EV47" s="66"/>
      <c r="EW47" s="66"/>
      <c r="EX47" s="66"/>
      <c r="EY47" s="66"/>
      <c r="EZ47" s="66"/>
      <c r="FA47" s="66"/>
      <c r="FB47" s="66"/>
      <c r="FC47" s="66"/>
      <c r="FD47" s="66"/>
      <c r="FE47" s="66"/>
      <c r="FF47" s="66"/>
      <c r="FG47" s="66"/>
      <c r="FH47" s="66"/>
      <c r="FI47" s="66"/>
      <c r="FJ47" s="66"/>
      <c r="FK47" s="66"/>
      <c r="FL47" s="66"/>
      <c r="FM47" s="66"/>
      <c r="FN47" s="66"/>
      <c r="FO47" s="66"/>
      <c r="FP47" s="66"/>
      <c r="FQ47" s="66"/>
      <c r="FR47" s="66"/>
      <c r="FS47" s="66"/>
      <c r="FT47" s="66"/>
      <c r="FU47" s="66"/>
      <c r="FV47" s="66"/>
      <c r="FW47" s="66"/>
      <c r="FX47" s="66"/>
      <c r="FY47" s="66"/>
      <c r="FZ47" s="66"/>
      <c r="GA47" s="66"/>
      <c r="GB47" s="66"/>
      <c r="GC47" s="66"/>
      <c r="GD47" s="66"/>
      <c r="GE47" s="66"/>
      <c r="GF47" s="66"/>
      <c r="GG47" s="66"/>
      <c r="GH47" s="66"/>
      <c r="GI47" s="66"/>
      <c r="GJ47" s="66"/>
      <c r="GK47" s="66"/>
      <c r="GL47" s="66"/>
      <c r="GM47" s="66"/>
      <c r="GN47" s="66"/>
      <c r="GO47" s="66"/>
      <c r="GP47" s="66"/>
      <c r="GQ47" s="66"/>
      <c r="GR47" s="66"/>
      <c r="GS47" s="66"/>
      <c r="GT47" s="66"/>
      <c r="GU47" s="66"/>
      <c r="GV47" s="66"/>
      <c r="GW47" s="66"/>
      <c r="GX47" s="66"/>
      <c r="GY47" s="66"/>
      <c r="GZ47" s="66"/>
      <c r="HA47" s="66"/>
      <c r="HB47" s="66"/>
      <c r="HC47" s="66"/>
      <c r="HD47" s="66"/>
      <c r="HE47" s="66"/>
      <c r="HF47" s="66"/>
      <c r="HG47" s="66"/>
      <c r="HH47" s="66"/>
      <c r="HI47" s="66"/>
      <c r="HJ47" s="66"/>
      <c r="HK47" s="66"/>
      <c r="HL47" s="66"/>
      <c r="HM47" s="66"/>
      <c r="HN47" s="66"/>
      <c r="HO47" s="66"/>
      <c r="HP47" s="66"/>
      <c r="HQ47" s="66"/>
      <c r="HR47" s="66"/>
      <c r="HS47" s="66"/>
      <c r="HT47" s="66"/>
      <c r="HU47" s="66"/>
      <c r="HV47" s="66"/>
      <c r="HW47" s="66"/>
      <c r="HX47" s="66"/>
      <c r="HY47" s="66"/>
      <c r="HZ47" s="66"/>
      <c r="IA47" s="66"/>
      <c r="IB47" s="66"/>
      <c r="IC47" s="66"/>
      <c r="ID47" s="66"/>
      <c r="IE47" s="66"/>
      <c r="IF47" s="66"/>
      <c r="IG47" s="66"/>
      <c r="IH47" s="66"/>
      <c r="II47" s="66"/>
      <c r="IJ47" s="66"/>
      <c r="IK47" s="66"/>
      <c r="IL47" s="66"/>
      <c r="IM47" s="66"/>
      <c r="IN47" s="66"/>
      <c r="IO47" s="66"/>
      <c r="IP47" s="66"/>
      <c r="IQ47" s="66"/>
      <c r="IR47" s="66"/>
      <c r="IS47" s="66"/>
      <c r="IT47" s="66"/>
    </row>
    <row r="48" spans="1:254" s="45" customFormat="1" ht="13.5">
      <c r="A48" s="417"/>
      <c r="B48" s="66"/>
      <c r="C48" s="419" t="s">
        <v>810</v>
      </c>
      <c r="D48" s="66" t="s">
        <v>818</v>
      </c>
      <c r="E48" s="1">
        <v>0.076</v>
      </c>
      <c r="F48" s="13">
        <f>F43*E48</f>
        <v>1.52</v>
      </c>
      <c r="G48" s="304"/>
      <c r="H48" s="305"/>
      <c r="I48" s="304"/>
      <c r="J48" s="305"/>
      <c r="K48" s="304">
        <v>19.54</v>
      </c>
      <c r="L48" s="305">
        <f t="shared" si="4"/>
        <v>29.700799999999997</v>
      </c>
      <c r="M48" s="115">
        <f t="shared" si="5"/>
        <v>29.700799999999997</v>
      </c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6"/>
      <c r="DS48" s="66"/>
      <c r="DT48" s="66"/>
      <c r="DU48" s="66"/>
      <c r="DV48" s="66"/>
      <c r="DW48" s="66"/>
      <c r="DX48" s="66"/>
      <c r="DY48" s="66"/>
      <c r="DZ48" s="66"/>
      <c r="EA48" s="66"/>
      <c r="EB48" s="66"/>
      <c r="EC48" s="66"/>
      <c r="ED48" s="66"/>
      <c r="EE48" s="66"/>
      <c r="EF48" s="66"/>
      <c r="EG48" s="66"/>
      <c r="EH48" s="66"/>
      <c r="EI48" s="66"/>
      <c r="EJ48" s="66"/>
      <c r="EK48" s="66"/>
      <c r="EL48" s="66"/>
      <c r="EM48" s="66"/>
      <c r="EN48" s="66"/>
      <c r="EO48" s="66"/>
      <c r="EP48" s="66"/>
      <c r="EQ48" s="66"/>
      <c r="ER48" s="66"/>
      <c r="ES48" s="66"/>
      <c r="ET48" s="66"/>
      <c r="EU48" s="66"/>
      <c r="EV48" s="66"/>
      <c r="EW48" s="66"/>
      <c r="EX48" s="66"/>
      <c r="EY48" s="66"/>
      <c r="EZ48" s="66"/>
      <c r="FA48" s="66"/>
      <c r="FB48" s="66"/>
      <c r="FC48" s="66"/>
      <c r="FD48" s="66"/>
      <c r="FE48" s="66"/>
      <c r="FF48" s="66"/>
      <c r="FG48" s="66"/>
      <c r="FH48" s="66"/>
      <c r="FI48" s="66"/>
      <c r="FJ48" s="66"/>
      <c r="FK48" s="66"/>
      <c r="FL48" s="66"/>
      <c r="FM48" s="66"/>
      <c r="FN48" s="66"/>
      <c r="FO48" s="66"/>
      <c r="FP48" s="66"/>
      <c r="FQ48" s="66"/>
      <c r="FR48" s="66"/>
      <c r="FS48" s="66"/>
      <c r="FT48" s="66"/>
      <c r="FU48" s="66"/>
      <c r="FV48" s="66"/>
      <c r="FW48" s="66"/>
      <c r="FX48" s="66"/>
      <c r="FY48" s="66"/>
      <c r="FZ48" s="66"/>
      <c r="GA48" s="66"/>
      <c r="GB48" s="66"/>
      <c r="GC48" s="66"/>
      <c r="GD48" s="66"/>
      <c r="GE48" s="66"/>
      <c r="GF48" s="66"/>
      <c r="GG48" s="66"/>
      <c r="GH48" s="66"/>
      <c r="GI48" s="66"/>
      <c r="GJ48" s="66"/>
      <c r="GK48" s="66"/>
      <c r="GL48" s="66"/>
      <c r="GM48" s="66"/>
      <c r="GN48" s="66"/>
      <c r="GO48" s="66"/>
      <c r="GP48" s="66"/>
      <c r="GQ48" s="66"/>
      <c r="GR48" s="66"/>
      <c r="GS48" s="66"/>
      <c r="GT48" s="66"/>
      <c r="GU48" s="66"/>
      <c r="GV48" s="66"/>
      <c r="GW48" s="66"/>
      <c r="GX48" s="66"/>
      <c r="GY48" s="66"/>
      <c r="GZ48" s="66"/>
      <c r="HA48" s="66"/>
      <c r="HB48" s="66"/>
      <c r="HC48" s="66"/>
      <c r="HD48" s="66"/>
      <c r="HE48" s="66"/>
      <c r="HF48" s="66"/>
      <c r="HG48" s="66"/>
      <c r="HH48" s="66"/>
      <c r="HI48" s="66"/>
      <c r="HJ48" s="66"/>
      <c r="HK48" s="66"/>
      <c r="HL48" s="66"/>
      <c r="HM48" s="66"/>
      <c r="HN48" s="66"/>
      <c r="HO48" s="66"/>
      <c r="HP48" s="66"/>
      <c r="HQ48" s="66"/>
      <c r="HR48" s="66"/>
      <c r="HS48" s="66"/>
      <c r="HT48" s="66"/>
      <c r="HU48" s="66"/>
      <c r="HV48" s="66"/>
      <c r="HW48" s="66"/>
      <c r="HX48" s="66"/>
      <c r="HY48" s="66"/>
      <c r="HZ48" s="66"/>
      <c r="IA48" s="66"/>
      <c r="IB48" s="66"/>
      <c r="IC48" s="66"/>
      <c r="ID48" s="66"/>
      <c r="IE48" s="66"/>
      <c r="IF48" s="66"/>
      <c r="IG48" s="66"/>
      <c r="IH48" s="66"/>
      <c r="II48" s="66"/>
      <c r="IJ48" s="66"/>
      <c r="IK48" s="66"/>
      <c r="IL48" s="66"/>
      <c r="IM48" s="66"/>
      <c r="IN48" s="66"/>
      <c r="IO48" s="66"/>
      <c r="IP48" s="66"/>
      <c r="IQ48" s="66"/>
      <c r="IR48" s="66"/>
      <c r="IS48" s="66"/>
      <c r="IT48" s="66"/>
    </row>
    <row r="49" spans="1:254" s="45" customFormat="1" ht="13.5">
      <c r="A49" s="417"/>
      <c r="B49" s="66"/>
      <c r="C49" s="419" t="s">
        <v>811</v>
      </c>
      <c r="D49" s="66" t="s">
        <v>818</v>
      </c>
      <c r="E49" s="1">
        <v>0.151</v>
      </c>
      <c r="F49" s="13">
        <f>F43*E49</f>
        <v>3.02</v>
      </c>
      <c r="G49" s="304"/>
      <c r="H49" s="305"/>
      <c r="I49" s="304"/>
      <c r="J49" s="305"/>
      <c r="K49" s="304">
        <v>23.18</v>
      </c>
      <c r="L49" s="305">
        <f t="shared" si="4"/>
        <v>70.0036</v>
      </c>
      <c r="M49" s="115">
        <f t="shared" si="5"/>
        <v>70.0036</v>
      </c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6"/>
      <c r="EB49" s="66"/>
      <c r="EC49" s="66"/>
      <c r="ED49" s="66"/>
      <c r="EE49" s="66"/>
      <c r="EF49" s="66"/>
      <c r="EG49" s="66"/>
      <c r="EH49" s="66"/>
      <c r="EI49" s="66"/>
      <c r="EJ49" s="66"/>
      <c r="EK49" s="66"/>
      <c r="EL49" s="66"/>
      <c r="EM49" s="66"/>
      <c r="EN49" s="66"/>
      <c r="EO49" s="66"/>
      <c r="EP49" s="66"/>
      <c r="EQ49" s="66"/>
      <c r="ER49" s="66"/>
      <c r="ES49" s="66"/>
      <c r="ET49" s="66"/>
      <c r="EU49" s="66"/>
      <c r="EV49" s="66"/>
      <c r="EW49" s="66"/>
      <c r="EX49" s="66"/>
      <c r="EY49" s="66"/>
      <c r="EZ49" s="66"/>
      <c r="FA49" s="66"/>
      <c r="FB49" s="66"/>
      <c r="FC49" s="66"/>
      <c r="FD49" s="66"/>
      <c r="FE49" s="66"/>
      <c r="FF49" s="66"/>
      <c r="FG49" s="66"/>
      <c r="FH49" s="66"/>
      <c r="FI49" s="66"/>
      <c r="FJ49" s="66"/>
      <c r="FK49" s="66"/>
      <c r="FL49" s="66"/>
      <c r="FM49" s="66"/>
      <c r="FN49" s="66"/>
      <c r="FO49" s="66"/>
      <c r="FP49" s="66"/>
      <c r="FQ49" s="66"/>
      <c r="FR49" s="66"/>
      <c r="FS49" s="66"/>
      <c r="FT49" s="66"/>
      <c r="FU49" s="66"/>
      <c r="FV49" s="66"/>
      <c r="FW49" s="66"/>
      <c r="FX49" s="66"/>
      <c r="FY49" s="66"/>
      <c r="FZ49" s="66"/>
      <c r="GA49" s="66"/>
      <c r="GB49" s="66"/>
      <c r="GC49" s="66"/>
      <c r="GD49" s="66"/>
      <c r="GE49" s="66"/>
      <c r="GF49" s="66"/>
      <c r="GG49" s="66"/>
      <c r="GH49" s="66"/>
      <c r="GI49" s="66"/>
      <c r="GJ49" s="66"/>
      <c r="GK49" s="66"/>
      <c r="GL49" s="66"/>
      <c r="GM49" s="66"/>
      <c r="GN49" s="66"/>
      <c r="GO49" s="66"/>
      <c r="GP49" s="66"/>
      <c r="GQ49" s="66"/>
      <c r="GR49" s="66"/>
      <c r="GS49" s="66"/>
      <c r="GT49" s="66"/>
      <c r="GU49" s="66"/>
      <c r="GV49" s="66"/>
      <c r="GW49" s="66"/>
      <c r="GX49" s="66"/>
      <c r="GY49" s="66"/>
      <c r="GZ49" s="66"/>
      <c r="HA49" s="66"/>
      <c r="HB49" s="66"/>
      <c r="HC49" s="66"/>
      <c r="HD49" s="66"/>
      <c r="HE49" s="66"/>
      <c r="HF49" s="66"/>
      <c r="HG49" s="66"/>
      <c r="HH49" s="66"/>
      <c r="HI49" s="66"/>
      <c r="HJ49" s="66"/>
      <c r="HK49" s="66"/>
      <c r="HL49" s="66"/>
      <c r="HM49" s="66"/>
      <c r="HN49" s="66"/>
      <c r="HO49" s="66"/>
      <c r="HP49" s="66"/>
      <c r="HQ49" s="66"/>
      <c r="HR49" s="66"/>
      <c r="HS49" s="66"/>
      <c r="HT49" s="66"/>
      <c r="HU49" s="66"/>
      <c r="HV49" s="66"/>
      <c r="HW49" s="66"/>
      <c r="HX49" s="66"/>
      <c r="HY49" s="66"/>
      <c r="HZ49" s="66"/>
      <c r="IA49" s="66"/>
      <c r="IB49" s="66"/>
      <c r="IC49" s="66"/>
      <c r="ID49" s="66"/>
      <c r="IE49" s="66"/>
      <c r="IF49" s="66"/>
      <c r="IG49" s="66"/>
      <c r="IH49" s="66"/>
      <c r="II49" s="66"/>
      <c r="IJ49" s="66"/>
      <c r="IK49" s="66"/>
      <c r="IL49" s="66"/>
      <c r="IM49" s="66"/>
      <c r="IN49" s="66"/>
      <c r="IO49" s="66"/>
      <c r="IP49" s="66"/>
      <c r="IQ49" s="66"/>
      <c r="IR49" s="66"/>
      <c r="IS49" s="66"/>
      <c r="IT49" s="66"/>
    </row>
    <row r="50" spans="1:254" s="420" customFormat="1" ht="13.5">
      <c r="A50" s="417"/>
      <c r="B50" s="66"/>
      <c r="C50" s="419" t="s">
        <v>820</v>
      </c>
      <c r="D50" s="145" t="s">
        <v>818</v>
      </c>
      <c r="E50" s="1">
        <v>0.0097</v>
      </c>
      <c r="F50" s="13">
        <f>F43*E50</f>
        <v>0.194</v>
      </c>
      <c r="G50" s="304"/>
      <c r="H50" s="305"/>
      <c r="I50" s="304"/>
      <c r="J50" s="305"/>
      <c r="K50" s="304">
        <v>49.62</v>
      </c>
      <c r="L50" s="305">
        <f t="shared" si="4"/>
        <v>9.62628</v>
      </c>
      <c r="M50" s="115">
        <f t="shared" si="5"/>
        <v>9.62628</v>
      </c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6"/>
      <c r="DF50" s="66"/>
      <c r="DG50" s="66"/>
      <c r="DH50" s="66"/>
      <c r="DI50" s="66"/>
      <c r="DJ50" s="66"/>
      <c r="DK50" s="66"/>
      <c r="DL50" s="66"/>
      <c r="DM50" s="66"/>
      <c r="DN50" s="66"/>
      <c r="DO50" s="66"/>
      <c r="DP50" s="66"/>
      <c r="DQ50" s="66"/>
      <c r="DR50" s="66"/>
      <c r="DS50" s="66"/>
      <c r="DT50" s="66"/>
      <c r="DU50" s="66"/>
      <c r="DV50" s="66"/>
      <c r="DW50" s="66"/>
      <c r="DX50" s="66"/>
      <c r="DY50" s="66"/>
      <c r="DZ50" s="66"/>
      <c r="EA50" s="66"/>
      <c r="EB50" s="66"/>
      <c r="EC50" s="66"/>
      <c r="ED50" s="66"/>
      <c r="EE50" s="66"/>
      <c r="EF50" s="66"/>
      <c r="EG50" s="66"/>
      <c r="EH50" s="66"/>
      <c r="EI50" s="66"/>
      <c r="EJ50" s="66"/>
      <c r="EK50" s="66"/>
      <c r="EL50" s="66"/>
      <c r="EM50" s="66"/>
      <c r="EN50" s="66"/>
      <c r="EO50" s="66"/>
      <c r="EP50" s="66"/>
      <c r="EQ50" s="66"/>
      <c r="ER50" s="66"/>
      <c r="ES50" s="66"/>
      <c r="ET50" s="66"/>
      <c r="EU50" s="66"/>
      <c r="EV50" s="66"/>
      <c r="EW50" s="66"/>
      <c r="EX50" s="66"/>
      <c r="EY50" s="66"/>
      <c r="EZ50" s="66"/>
      <c r="FA50" s="66"/>
      <c r="FB50" s="66"/>
      <c r="FC50" s="66"/>
      <c r="FD50" s="66"/>
      <c r="FE50" s="66"/>
      <c r="FF50" s="66"/>
      <c r="FG50" s="66"/>
      <c r="FH50" s="66"/>
      <c r="FI50" s="66"/>
      <c r="FJ50" s="66"/>
      <c r="FK50" s="66"/>
      <c r="FL50" s="66"/>
      <c r="FM50" s="66"/>
      <c r="FN50" s="66"/>
      <c r="FO50" s="66"/>
      <c r="FP50" s="66"/>
      <c r="FQ50" s="66"/>
      <c r="FR50" s="66"/>
      <c r="FS50" s="66"/>
      <c r="FT50" s="66"/>
      <c r="FU50" s="66"/>
      <c r="FV50" s="66"/>
      <c r="FW50" s="66"/>
      <c r="FX50" s="66"/>
      <c r="FY50" s="66"/>
      <c r="FZ50" s="66"/>
      <c r="GA50" s="66"/>
      <c r="GB50" s="66"/>
      <c r="GC50" s="66"/>
      <c r="GD50" s="66"/>
      <c r="GE50" s="66"/>
      <c r="GF50" s="66"/>
      <c r="GG50" s="66"/>
      <c r="GH50" s="66"/>
      <c r="GI50" s="66"/>
      <c r="GJ50" s="66"/>
      <c r="GK50" s="66"/>
      <c r="GL50" s="66"/>
      <c r="GM50" s="66"/>
      <c r="GN50" s="66"/>
      <c r="GO50" s="66"/>
      <c r="GP50" s="66"/>
      <c r="GQ50" s="66"/>
      <c r="GR50" s="66"/>
      <c r="GS50" s="66"/>
      <c r="GT50" s="66"/>
      <c r="GU50" s="66"/>
      <c r="GV50" s="66"/>
      <c r="GW50" s="66"/>
      <c r="GX50" s="66"/>
      <c r="GY50" s="66"/>
      <c r="GZ50" s="66"/>
      <c r="HA50" s="66"/>
      <c r="HB50" s="66"/>
      <c r="HC50" s="66"/>
      <c r="HD50" s="66"/>
      <c r="HE50" s="66"/>
      <c r="HF50" s="66"/>
      <c r="HG50" s="66"/>
      <c r="HH50" s="66"/>
      <c r="HI50" s="66"/>
      <c r="HJ50" s="66"/>
      <c r="HK50" s="66"/>
      <c r="HL50" s="66"/>
      <c r="HM50" s="66"/>
      <c r="HN50" s="66"/>
      <c r="HO50" s="66"/>
      <c r="HP50" s="66"/>
      <c r="HQ50" s="66"/>
      <c r="HR50" s="66"/>
      <c r="HS50" s="66"/>
      <c r="HT50" s="66"/>
      <c r="HU50" s="66"/>
      <c r="HV50" s="66"/>
      <c r="HW50" s="66"/>
      <c r="HX50" s="66"/>
      <c r="HY50" s="66"/>
      <c r="HZ50" s="66"/>
      <c r="IA50" s="66"/>
      <c r="IB50" s="66"/>
      <c r="IC50" s="66"/>
      <c r="ID50" s="66"/>
      <c r="IE50" s="66"/>
      <c r="IF50" s="66"/>
      <c r="IG50" s="66"/>
      <c r="IH50" s="66"/>
      <c r="II50" s="66"/>
      <c r="IJ50" s="66"/>
      <c r="IK50" s="66"/>
      <c r="IL50" s="66"/>
      <c r="IM50" s="66"/>
      <c r="IN50" s="66"/>
      <c r="IO50" s="66"/>
      <c r="IP50" s="66"/>
      <c r="IQ50" s="66"/>
      <c r="IR50" s="66"/>
      <c r="IS50" s="66"/>
      <c r="IT50" s="66"/>
    </row>
    <row r="51" spans="1:13" ht="13.5">
      <c r="A51" s="125"/>
      <c r="B51" s="341"/>
      <c r="C51" s="19" t="s">
        <v>56</v>
      </c>
      <c r="D51" s="1"/>
      <c r="E51" s="1"/>
      <c r="F51" s="13">
        <f>F43*E51</f>
        <v>0</v>
      </c>
      <c r="G51" s="13"/>
      <c r="H51" s="13"/>
      <c r="I51" s="13"/>
      <c r="J51" s="13"/>
      <c r="K51" s="13"/>
      <c r="L51" s="13"/>
      <c r="M51" s="13"/>
    </row>
    <row r="52" spans="1:254" s="45" customFormat="1" ht="13.5">
      <c r="A52" s="417"/>
      <c r="B52" s="421"/>
      <c r="C52" s="419" t="s">
        <v>12</v>
      </c>
      <c r="D52" s="66" t="s">
        <v>821</v>
      </c>
      <c r="E52" s="1">
        <v>1.26</v>
      </c>
      <c r="F52" s="13">
        <f>F43*E52</f>
        <v>25.2</v>
      </c>
      <c r="G52" s="304">
        <v>15.8</v>
      </c>
      <c r="H52" s="305">
        <f>F52*G52</f>
        <v>398.16</v>
      </c>
      <c r="I52" s="304"/>
      <c r="J52" s="305"/>
      <c r="K52" s="304"/>
      <c r="L52" s="305"/>
      <c r="M52" s="115">
        <f t="shared" si="5"/>
        <v>398.16</v>
      </c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6"/>
      <c r="DC52" s="66"/>
      <c r="DD52" s="66"/>
      <c r="DE52" s="66"/>
      <c r="DF52" s="66"/>
      <c r="DG52" s="66"/>
      <c r="DH52" s="66"/>
      <c r="DI52" s="66"/>
      <c r="DJ52" s="66"/>
      <c r="DK52" s="66"/>
      <c r="DL52" s="66"/>
      <c r="DM52" s="66"/>
      <c r="DN52" s="66"/>
      <c r="DO52" s="66"/>
      <c r="DP52" s="66"/>
      <c r="DQ52" s="66"/>
      <c r="DR52" s="66"/>
      <c r="DS52" s="66"/>
      <c r="DT52" s="66"/>
      <c r="DU52" s="66"/>
      <c r="DV52" s="66"/>
      <c r="DW52" s="66"/>
      <c r="DX52" s="66"/>
      <c r="DY52" s="66"/>
      <c r="DZ52" s="66"/>
      <c r="EA52" s="66"/>
      <c r="EB52" s="66"/>
      <c r="EC52" s="66"/>
      <c r="ED52" s="66"/>
      <c r="EE52" s="66"/>
      <c r="EF52" s="66"/>
      <c r="EG52" s="66"/>
      <c r="EH52" s="66"/>
      <c r="EI52" s="66"/>
      <c r="EJ52" s="66"/>
      <c r="EK52" s="66"/>
      <c r="EL52" s="66"/>
      <c r="EM52" s="66"/>
      <c r="EN52" s="66"/>
      <c r="EO52" s="66"/>
      <c r="EP52" s="66"/>
      <c r="EQ52" s="66"/>
      <c r="ER52" s="66"/>
      <c r="ES52" s="66"/>
      <c r="ET52" s="66"/>
      <c r="EU52" s="66"/>
      <c r="EV52" s="66"/>
      <c r="EW52" s="66"/>
      <c r="EX52" s="66"/>
      <c r="EY52" s="66"/>
      <c r="EZ52" s="66"/>
      <c r="FA52" s="66"/>
      <c r="FB52" s="66"/>
      <c r="FC52" s="66"/>
      <c r="FD52" s="66"/>
      <c r="FE52" s="66"/>
      <c r="FF52" s="66"/>
      <c r="FG52" s="66"/>
      <c r="FH52" s="66"/>
      <c r="FI52" s="66"/>
      <c r="FJ52" s="66"/>
      <c r="FK52" s="66"/>
      <c r="FL52" s="66"/>
      <c r="FM52" s="66"/>
      <c r="FN52" s="66"/>
      <c r="FO52" s="66"/>
      <c r="FP52" s="66"/>
      <c r="FQ52" s="66"/>
      <c r="FR52" s="66"/>
      <c r="FS52" s="66"/>
      <c r="FT52" s="66"/>
      <c r="FU52" s="66"/>
      <c r="FV52" s="66"/>
      <c r="FW52" s="66"/>
      <c r="FX52" s="66"/>
      <c r="FY52" s="66"/>
      <c r="FZ52" s="66"/>
      <c r="GA52" s="66"/>
      <c r="GB52" s="66"/>
      <c r="GC52" s="66"/>
      <c r="GD52" s="66"/>
      <c r="GE52" s="66"/>
      <c r="GF52" s="66"/>
      <c r="GG52" s="66"/>
      <c r="GH52" s="66"/>
      <c r="GI52" s="66"/>
      <c r="GJ52" s="66"/>
      <c r="GK52" s="66"/>
      <c r="GL52" s="66"/>
      <c r="GM52" s="66"/>
      <c r="GN52" s="66"/>
      <c r="GO52" s="66"/>
      <c r="GP52" s="66"/>
      <c r="GQ52" s="66"/>
      <c r="GR52" s="66"/>
      <c r="GS52" s="66"/>
      <c r="GT52" s="66"/>
      <c r="GU52" s="66"/>
      <c r="GV52" s="66"/>
      <c r="GW52" s="66"/>
      <c r="GX52" s="66"/>
      <c r="GY52" s="66"/>
      <c r="GZ52" s="66"/>
      <c r="HA52" s="66"/>
      <c r="HB52" s="66"/>
      <c r="HC52" s="66"/>
      <c r="HD52" s="66"/>
      <c r="HE52" s="66"/>
      <c r="HF52" s="66"/>
      <c r="HG52" s="66"/>
      <c r="HH52" s="66"/>
      <c r="HI52" s="66"/>
      <c r="HJ52" s="66"/>
      <c r="HK52" s="66"/>
      <c r="HL52" s="66"/>
      <c r="HM52" s="66"/>
      <c r="HN52" s="66"/>
      <c r="HO52" s="66"/>
      <c r="HP52" s="66"/>
      <c r="HQ52" s="66"/>
      <c r="HR52" s="66"/>
      <c r="HS52" s="66"/>
      <c r="HT52" s="66"/>
      <c r="HU52" s="66"/>
      <c r="HV52" s="66"/>
      <c r="HW52" s="66"/>
      <c r="HX52" s="66"/>
      <c r="HY52" s="66"/>
      <c r="HZ52" s="66"/>
      <c r="IA52" s="66"/>
      <c r="IB52" s="66"/>
      <c r="IC52" s="66"/>
      <c r="ID52" s="66"/>
      <c r="IE52" s="66"/>
      <c r="IF52" s="66"/>
      <c r="IG52" s="66"/>
      <c r="IH52" s="66"/>
      <c r="II52" s="66"/>
      <c r="IJ52" s="66"/>
      <c r="IK52" s="66"/>
      <c r="IL52" s="66"/>
      <c r="IM52" s="66"/>
      <c r="IN52" s="66"/>
      <c r="IO52" s="66"/>
      <c r="IP52" s="66"/>
      <c r="IQ52" s="66"/>
      <c r="IR52" s="66"/>
      <c r="IS52" s="66"/>
      <c r="IT52" s="66"/>
    </row>
    <row r="53" spans="1:254" s="45" customFormat="1" ht="13.5">
      <c r="A53" s="422"/>
      <c r="B53" s="423"/>
      <c r="C53" s="424" t="s">
        <v>789</v>
      </c>
      <c r="D53" s="423" t="s">
        <v>821</v>
      </c>
      <c r="E53" s="1">
        <v>0.07</v>
      </c>
      <c r="F53" s="13">
        <f>F43*E53</f>
        <v>1.4000000000000001</v>
      </c>
      <c r="G53" s="306">
        <v>3.6</v>
      </c>
      <c r="H53" s="307">
        <f>F53*G53</f>
        <v>5.040000000000001</v>
      </c>
      <c r="I53" s="306"/>
      <c r="J53" s="307"/>
      <c r="K53" s="306"/>
      <c r="L53" s="307"/>
      <c r="M53" s="115">
        <f t="shared" si="5"/>
        <v>5.040000000000001</v>
      </c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  <c r="AZ53" s="146"/>
      <c r="BA53" s="146"/>
      <c r="BB53" s="146"/>
      <c r="BC53" s="146"/>
      <c r="BD53" s="146"/>
      <c r="BE53" s="146"/>
      <c r="BF53" s="146"/>
      <c r="BG53" s="146"/>
      <c r="BH53" s="146"/>
      <c r="BI53" s="146"/>
      <c r="BJ53" s="146"/>
      <c r="BK53" s="146"/>
      <c r="BL53" s="146"/>
      <c r="BM53" s="146"/>
      <c r="BN53" s="146"/>
      <c r="BO53" s="146"/>
      <c r="BP53" s="146"/>
      <c r="BQ53" s="146"/>
      <c r="BR53" s="146"/>
      <c r="BS53" s="146"/>
      <c r="BT53" s="146"/>
      <c r="BU53" s="146"/>
      <c r="BV53" s="146"/>
      <c r="BW53" s="146"/>
      <c r="BX53" s="146"/>
      <c r="BY53" s="146"/>
      <c r="BZ53" s="146"/>
      <c r="CA53" s="146"/>
      <c r="CB53" s="146"/>
      <c r="CC53" s="146"/>
      <c r="CD53" s="146"/>
      <c r="CE53" s="146"/>
      <c r="CF53" s="146"/>
      <c r="CG53" s="146"/>
      <c r="CH53" s="146"/>
      <c r="CI53" s="146"/>
      <c r="CJ53" s="146"/>
      <c r="CK53" s="146"/>
      <c r="CL53" s="146"/>
      <c r="CM53" s="146"/>
      <c r="CN53" s="146"/>
      <c r="CO53" s="146"/>
      <c r="CP53" s="146"/>
      <c r="CQ53" s="146"/>
      <c r="CR53" s="146"/>
      <c r="CS53" s="146"/>
      <c r="CT53" s="146"/>
      <c r="CU53" s="146"/>
      <c r="CV53" s="146"/>
      <c r="CW53" s="146"/>
      <c r="CX53" s="146"/>
      <c r="CY53" s="146"/>
      <c r="CZ53" s="146"/>
      <c r="DA53" s="146"/>
      <c r="DB53" s="146"/>
      <c r="DC53" s="146"/>
      <c r="DD53" s="146"/>
      <c r="DE53" s="146"/>
      <c r="DF53" s="146"/>
      <c r="DG53" s="146"/>
      <c r="DH53" s="146"/>
      <c r="DI53" s="146"/>
      <c r="DJ53" s="146"/>
      <c r="DK53" s="146"/>
      <c r="DL53" s="146"/>
      <c r="DM53" s="146"/>
      <c r="DN53" s="146"/>
      <c r="DO53" s="146"/>
      <c r="DP53" s="146"/>
      <c r="DQ53" s="146"/>
      <c r="DR53" s="146"/>
      <c r="DS53" s="146"/>
      <c r="DT53" s="146"/>
      <c r="DU53" s="146"/>
      <c r="DV53" s="146"/>
      <c r="DW53" s="146"/>
      <c r="DX53" s="146"/>
      <c r="DY53" s="146"/>
      <c r="DZ53" s="146"/>
      <c r="EA53" s="146"/>
      <c r="EB53" s="146"/>
      <c r="EC53" s="146"/>
      <c r="ED53" s="146"/>
      <c r="EE53" s="146"/>
      <c r="EF53" s="146"/>
      <c r="EG53" s="146"/>
      <c r="EH53" s="146"/>
      <c r="EI53" s="146"/>
      <c r="EJ53" s="146"/>
      <c r="EK53" s="146"/>
      <c r="EL53" s="146"/>
      <c r="EM53" s="146"/>
      <c r="EN53" s="146"/>
      <c r="EO53" s="146"/>
      <c r="EP53" s="146"/>
      <c r="EQ53" s="146"/>
      <c r="ER53" s="146"/>
      <c r="ES53" s="146"/>
      <c r="ET53" s="146"/>
      <c r="EU53" s="146"/>
      <c r="EV53" s="146"/>
      <c r="EW53" s="146"/>
      <c r="EX53" s="146"/>
      <c r="EY53" s="146"/>
      <c r="EZ53" s="146"/>
      <c r="FA53" s="146"/>
      <c r="FB53" s="146"/>
      <c r="FC53" s="146"/>
      <c r="FD53" s="146"/>
      <c r="FE53" s="146"/>
      <c r="FF53" s="146"/>
      <c r="FG53" s="146"/>
      <c r="FH53" s="146"/>
      <c r="FI53" s="146"/>
      <c r="FJ53" s="146"/>
      <c r="FK53" s="146"/>
      <c r="FL53" s="146"/>
      <c r="FM53" s="146"/>
      <c r="FN53" s="146"/>
      <c r="FO53" s="146"/>
      <c r="FP53" s="146"/>
      <c r="FQ53" s="146"/>
      <c r="FR53" s="146"/>
      <c r="FS53" s="146"/>
      <c r="FT53" s="146"/>
      <c r="FU53" s="146"/>
      <c r="FV53" s="146"/>
      <c r="FW53" s="146"/>
      <c r="FX53" s="146"/>
      <c r="FY53" s="146"/>
      <c r="FZ53" s="146"/>
      <c r="GA53" s="146"/>
      <c r="GB53" s="146"/>
      <c r="GC53" s="146"/>
      <c r="GD53" s="146"/>
      <c r="GE53" s="146"/>
      <c r="GF53" s="146"/>
      <c r="GG53" s="146"/>
      <c r="GH53" s="146"/>
      <c r="GI53" s="146"/>
      <c r="GJ53" s="146"/>
      <c r="GK53" s="146"/>
      <c r="GL53" s="146"/>
      <c r="GM53" s="146"/>
      <c r="GN53" s="146"/>
      <c r="GO53" s="146"/>
      <c r="GP53" s="146"/>
      <c r="GQ53" s="146"/>
      <c r="GR53" s="146"/>
      <c r="GS53" s="146"/>
      <c r="GT53" s="146"/>
      <c r="GU53" s="146"/>
      <c r="GV53" s="146"/>
      <c r="GW53" s="146"/>
      <c r="GX53" s="146"/>
      <c r="GY53" s="146"/>
      <c r="GZ53" s="146"/>
      <c r="HA53" s="146"/>
      <c r="HB53" s="146"/>
      <c r="HC53" s="146"/>
      <c r="HD53" s="146"/>
      <c r="HE53" s="146"/>
      <c r="HF53" s="146"/>
      <c r="HG53" s="146"/>
      <c r="HH53" s="146"/>
      <c r="HI53" s="146"/>
      <c r="HJ53" s="146"/>
      <c r="HK53" s="146"/>
      <c r="HL53" s="146"/>
      <c r="HM53" s="146"/>
      <c r="HN53" s="146"/>
      <c r="HO53" s="146"/>
      <c r="HP53" s="146"/>
      <c r="HQ53" s="146"/>
      <c r="HR53" s="146"/>
      <c r="HS53" s="146"/>
      <c r="HT53" s="146"/>
      <c r="HU53" s="146"/>
      <c r="HV53" s="146"/>
      <c r="HW53" s="146"/>
      <c r="HX53" s="146"/>
      <c r="HY53" s="146"/>
      <c r="HZ53" s="146"/>
      <c r="IA53" s="146"/>
      <c r="IB53" s="146"/>
      <c r="IC53" s="146"/>
      <c r="ID53" s="146"/>
      <c r="IE53" s="146"/>
      <c r="IF53" s="146"/>
      <c r="IG53" s="146"/>
      <c r="IH53" s="146"/>
      <c r="II53" s="146"/>
      <c r="IJ53" s="146"/>
      <c r="IK53" s="146"/>
      <c r="IL53" s="146"/>
      <c r="IM53" s="146"/>
      <c r="IN53" s="146"/>
      <c r="IO53" s="146"/>
      <c r="IP53" s="146"/>
      <c r="IQ53" s="146"/>
      <c r="IR53" s="146"/>
      <c r="IS53" s="146"/>
      <c r="IT53" s="146"/>
    </row>
    <row r="54" spans="1:13" ht="29.25" customHeight="1">
      <c r="A54" s="28">
        <v>5</v>
      </c>
      <c r="B54" s="149" t="s">
        <v>800</v>
      </c>
      <c r="C54" s="43" t="s">
        <v>822</v>
      </c>
      <c r="D54" s="28" t="s">
        <v>64</v>
      </c>
      <c r="E54" s="28"/>
      <c r="F54" s="164">
        <v>200</v>
      </c>
      <c r="G54" s="30"/>
      <c r="H54" s="30"/>
      <c r="I54" s="30"/>
      <c r="J54" s="30"/>
      <c r="K54" s="30"/>
      <c r="L54" s="30"/>
      <c r="M54" s="30"/>
    </row>
    <row r="55" spans="1:13" ht="16.5" customHeight="1">
      <c r="A55" s="125"/>
      <c r="B55" s="341"/>
      <c r="C55" s="19" t="s">
        <v>823</v>
      </c>
      <c r="D55" s="1" t="s">
        <v>366</v>
      </c>
      <c r="E55" s="1">
        <f>0.405-0.00464*10</f>
        <v>0.35860000000000003</v>
      </c>
      <c r="F55" s="13">
        <f>F54*E55</f>
        <v>71.72</v>
      </c>
      <c r="G55" s="13"/>
      <c r="H55" s="13"/>
      <c r="I55" s="13">
        <v>6</v>
      </c>
      <c r="J55" s="13">
        <f>F55*I55</f>
        <v>430.32</v>
      </c>
      <c r="K55" s="13"/>
      <c r="L55" s="13"/>
      <c r="M55" s="13">
        <f>H55+J55+L55</f>
        <v>430.32</v>
      </c>
    </row>
    <row r="56" spans="1:13" ht="15" customHeight="1">
      <c r="A56" s="125"/>
      <c r="B56" s="341"/>
      <c r="C56" s="19" t="s">
        <v>796</v>
      </c>
      <c r="D56" s="14" t="s">
        <v>365</v>
      </c>
      <c r="E56" s="1">
        <v>0.0226</v>
      </c>
      <c r="F56" s="13">
        <f>F54*E56</f>
        <v>4.52</v>
      </c>
      <c r="G56" s="13"/>
      <c r="H56" s="13"/>
      <c r="I56" s="13"/>
      <c r="J56" s="13"/>
      <c r="K56" s="304">
        <v>49.62</v>
      </c>
      <c r="L56" s="13">
        <f>F56*K56</f>
        <v>224.28239999999997</v>
      </c>
      <c r="M56" s="13">
        <f>H56+J56+L56</f>
        <v>224.28239999999997</v>
      </c>
    </row>
    <row r="57" spans="1:13" ht="13.5" customHeight="1">
      <c r="A57" s="125"/>
      <c r="B57" s="341"/>
      <c r="C57" s="19" t="s">
        <v>824</v>
      </c>
      <c r="D57" s="14" t="s">
        <v>365</v>
      </c>
      <c r="E57" s="1">
        <f>0.0135-0.0001*10</f>
        <v>0.0125</v>
      </c>
      <c r="F57" s="13">
        <f>F54*E57</f>
        <v>2.5</v>
      </c>
      <c r="G57" s="13"/>
      <c r="H57" s="13"/>
      <c r="I57" s="13"/>
      <c r="J57" s="13"/>
      <c r="K57" s="13">
        <v>3.2</v>
      </c>
      <c r="L57" s="13">
        <f>F57*K57</f>
        <v>8</v>
      </c>
      <c r="M57" s="13">
        <f>H57+J57+L57</f>
        <v>8</v>
      </c>
    </row>
    <row r="58" spans="1:13" ht="13.5">
      <c r="A58" s="125"/>
      <c r="B58" s="341"/>
      <c r="C58" s="19" t="s">
        <v>56</v>
      </c>
      <c r="D58" s="1"/>
      <c r="E58" s="1"/>
      <c r="F58" s="13"/>
      <c r="G58" s="13"/>
      <c r="H58" s="13"/>
      <c r="I58" s="13"/>
      <c r="J58" s="13"/>
      <c r="K58" s="13"/>
      <c r="L58" s="13"/>
      <c r="M58" s="13"/>
    </row>
    <row r="59" spans="1:13" ht="13.5">
      <c r="A59" s="125"/>
      <c r="B59" s="341"/>
      <c r="C59" s="19" t="s">
        <v>804</v>
      </c>
      <c r="D59" s="1" t="s">
        <v>66</v>
      </c>
      <c r="E59" s="1">
        <f>0.204-0.0102*10</f>
        <v>0.10199999999999998</v>
      </c>
      <c r="F59" s="13">
        <f>F54*E59</f>
        <v>20.399999999999995</v>
      </c>
      <c r="G59" s="13">
        <v>113</v>
      </c>
      <c r="H59" s="13">
        <f aca="true" t="shared" si="6" ref="H59:H65">F59*G59</f>
        <v>2305.1999999999994</v>
      </c>
      <c r="I59" s="13"/>
      <c r="J59" s="13"/>
      <c r="K59" s="13"/>
      <c r="L59" s="13"/>
      <c r="M59" s="13">
        <f aca="true" t="shared" si="7" ref="M59:M65">H59+J59+L59</f>
        <v>2305.1999999999994</v>
      </c>
    </row>
    <row r="60" spans="1:13" ht="15" customHeight="1">
      <c r="A60" s="125"/>
      <c r="B60" s="341"/>
      <c r="C60" s="19" t="s">
        <v>805</v>
      </c>
      <c r="D60" s="1" t="s">
        <v>65</v>
      </c>
      <c r="E60" s="1">
        <f>0.23-0.01*10</f>
        <v>0.13</v>
      </c>
      <c r="F60" s="13">
        <f>F54*E60</f>
        <v>26</v>
      </c>
      <c r="G60" s="350">
        <v>0.975</v>
      </c>
      <c r="H60" s="13">
        <f t="shared" si="6"/>
        <v>25.349999999999998</v>
      </c>
      <c r="I60" s="13"/>
      <c r="J60" s="13"/>
      <c r="K60" s="13"/>
      <c r="L60" s="13"/>
      <c r="M60" s="13">
        <f t="shared" si="7"/>
        <v>25.349999999999998</v>
      </c>
    </row>
    <row r="61" spans="1:13" ht="15.75" customHeight="1">
      <c r="A61" s="125"/>
      <c r="B61" s="341"/>
      <c r="C61" s="19" t="s">
        <v>806</v>
      </c>
      <c r="D61" s="1" t="s">
        <v>64</v>
      </c>
      <c r="E61" s="1">
        <v>0.11</v>
      </c>
      <c r="F61" s="13">
        <f>F54*E61</f>
        <v>22</v>
      </c>
      <c r="G61" s="13">
        <v>0.8</v>
      </c>
      <c r="H61" s="13">
        <f t="shared" si="6"/>
        <v>17.6</v>
      </c>
      <c r="I61" s="13"/>
      <c r="J61" s="13"/>
      <c r="K61" s="13"/>
      <c r="L61" s="13"/>
      <c r="M61" s="13">
        <f t="shared" si="7"/>
        <v>17.6</v>
      </c>
    </row>
    <row r="62" spans="1:13" ht="15" customHeight="1">
      <c r="A62" s="125"/>
      <c r="B62" s="341"/>
      <c r="C62" s="19" t="s">
        <v>211</v>
      </c>
      <c r="D62" s="1" t="s">
        <v>66</v>
      </c>
      <c r="E62" s="1">
        <v>0.04</v>
      </c>
      <c r="F62" s="13">
        <f>F54*E62</f>
        <v>8</v>
      </c>
      <c r="G62" s="13">
        <v>28</v>
      </c>
      <c r="H62" s="13">
        <f t="shared" si="6"/>
        <v>224</v>
      </c>
      <c r="I62" s="13"/>
      <c r="J62" s="13"/>
      <c r="K62" s="13"/>
      <c r="L62" s="13"/>
      <c r="M62" s="13">
        <f t="shared" si="7"/>
        <v>224</v>
      </c>
    </row>
    <row r="63" spans="1:13" ht="15" customHeight="1">
      <c r="A63" s="125"/>
      <c r="B63" s="341"/>
      <c r="C63" s="19" t="s">
        <v>807</v>
      </c>
      <c r="D63" s="1" t="s">
        <v>64</v>
      </c>
      <c r="E63" s="1">
        <f>0.0117-0.00059*10</f>
        <v>0.0058</v>
      </c>
      <c r="F63" s="13">
        <f>F54*E63</f>
        <v>1.16</v>
      </c>
      <c r="G63" s="13">
        <v>15</v>
      </c>
      <c r="H63" s="13">
        <f t="shared" si="6"/>
        <v>17.4</v>
      </c>
      <c r="I63" s="13"/>
      <c r="J63" s="13"/>
      <c r="K63" s="13"/>
      <c r="L63" s="13"/>
      <c r="M63" s="13">
        <f t="shared" si="7"/>
        <v>17.4</v>
      </c>
    </row>
    <row r="64" spans="1:13" ht="14.25" customHeight="1">
      <c r="A64" s="125"/>
      <c r="B64" s="341"/>
      <c r="C64" s="19" t="s">
        <v>808</v>
      </c>
      <c r="D64" s="1" t="s">
        <v>66</v>
      </c>
      <c r="E64" s="1">
        <v>0.178</v>
      </c>
      <c r="F64" s="13">
        <f>F54*E64</f>
        <v>35.6</v>
      </c>
      <c r="G64" s="13">
        <v>3.6</v>
      </c>
      <c r="H64" s="13">
        <f t="shared" si="6"/>
        <v>128.16</v>
      </c>
      <c r="I64" s="13"/>
      <c r="J64" s="13"/>
      <c r="K64" s="13"/>
      <c r="L64" s="13"/>
      <c r="M64" s="13">
        <f t="shared" si="7"/>
        <v>128.16</v>
      </c>
    </row>
    <row r="65" spans="1:13" ht="15" customHeight="1">
      <c r="A65" s="125"/>
      <c r="B65" s="341"/>
      <c r="C65" s="19" t="s">
        <v>809</v>
      </c>
      <c r="D65" s="1" t="s">
        <v>64</v>
      </c>
      <c r="E65" s="1">
        <f>0.0064-0.00019*10</f>
        <v>0.0045000000000000005</v>
      </c>
      <c r="F65" s="13">
        <f>F54*E65</f>
        <v>0.9000000000000001</v>
      </c>
      <c r="G65" s="13">
        <v>3.2</v>
      </c>
      <c r="H65" s="13">
        <f t="shared" si="6"/>
        <v>2.880000000000001</v>
      </c>
      <c r="I65" s="13"/>
      <c r="J65" s="13"/>
      <c r="K65" s="13"/>
      <c r="L65" s="13"/>
      <c r="M65" s="13">
        <f t="shared" si="7"/>
        <v>2.880000000000001</v>
      </c>
    </row>
    <row r="66" spans="1:13" ht="13.5">
      <c r="A66" s="47"/>
      <c r="B66" s="51"/>
      <c r="C66" s="48" t="s">
        <v>102</v>
      </c>
      <c r="D66" s="52"/>
      <c r="E66" s="140"/>
      <c r="F66" s="161"/>
      <c r="G66" s="161"/>
      <c r="H66" s="161">
        <f>SUM(H10:H65)</f>
        <v>24651.887680000003</v>
      </c>
      <c r="I66" s="161"/>
      <c r="J66" s="161">
        <f>SUM(J10:J65)</f>
        <v>2895.1284000000005</v>
      </c>
      <c r="K66" s="161"/>
      <c r="L66" s="161">
        <f>SUM(L10:L65)</f>
        <v>1667.6514279999997</v>
      </c>
      <c r="M66" s="161">
        <f>SUM(M10:M65)</f>
        <v>29214.667508</v>
      </c>
    </row>
    <row r="67" spans="1:13" s="146" customFormat="1" ht="13.5">
      <c r="A67" s="47"/>
      <c r="B67" s="47"/>
      <c r="C67" s="46" t="s">
        <v>275</v>
      </c>
      <c r="D67" s="81">
        <v>0.1</v>
      </c>
      <c r="E67" s="74"/>
      <c r="F67" s="108"/>
      <c r="G67" s="108"/>
      <c r="H67" s="108">
        <f>H66*D67</f>
        <v>2465.1887680000004</v>
      </c>
      <c r="I67" s="108"/>
      <c r="J67" s="108">
        <f>J66*D67</f>
        <v>289.51284000000004</v>
      </c>
      <c r="K67" s="108"/>
      <c r="L67" s="108">
        <f>L66*D67</f>
        <v>166.76514279999998</v>
      </c>
      <c r="M67" s="108">
        <f>M66*D67</f>
        <v>2921.4667508</v>
      </c>
    </row>
    <row r="68" spans="1:13" s="146" customFormat="1" ht="13.5" customHeight="1">
      <c r="A68" s="47"/>
      <c r="B68" s="47"/>
      <c r="C68" s="80" t="s">
        <v>49</v>
      </c>
      <c r="D68" s="51"/>
      <c r="E68" s="74"/>
      <c r="F68" s="108"/>
      <c r="G68" s="108"/>
      <c r="H68" s="108">
        <f>H66+H67</f>
        <v>27117.076448000003</v>
      </c>
      <c r="I68" s="108"/>
      <c r="J68" s="108">
        <f>J66+J67</f>
        <v>3184.6412400000004</v>
      </c>
      <c r="K68" s="108"/>
      <c r="L68" s="108">
        <f>L66+L67</f>
        <v>1834.4165707999996</v>
      </c>
      <c r="M68" s="108">
        <f>M66+M67</f>
        <v>32136.134258799997</v>
      </c>
    </row>
    <row r="69" spans="1:13" s="146" customFormat="1" ht="13.5">
      <c r="A69" s="47"/>
      <c r="B69" s="47"/>
      <c r="C69" s="46" t="s">
        <v>187</v>
      </c>
      <c r="D69" s="81">
        <v>0.08</v>
      </c>
      <c r="E69" s="74"/>
      <c r="F69" s="108"/>
      <c r="G69" s="108"/>
      <c r="H69" s="108">
        <f>H68*D69</f>
        <v>2169.3661158400005</v>
      </c>
      <c r="I69" s="108"/>
      <c r="J69" s="108">
        <f>J68*D69</f>
        <v>254.77129920000004</v>
      </c>
      <c r="K69" s="108"/>
      <c r="L69" s="108">
        <f>L68*D69</f>
        <v>146.75332566399996</v>
      </c>
      <c r="M69" s="108">
        <f>M68*D69</f>
        <v>2570.8907407039997</v>
      </c>
    </row>
    <row r="70" spans="1:13" s="146" customFormat="1" ht="13.5">
      <c r="A70" s="47"/>
      <c r="B70" s="47"/>
      <c r="C70" s="48" t="s">
        <v>49</v>
      </c>
      <c r="D70" s="47"/>
      <c r="E70" s="74"/>
      <c r="F70" s="108"/>
      <c r="G70" s="181"/>
      <c r="H70" s="187">
        <f>H68+H69</f>
        <v>29286.442563840003</v>
      </c>
      <c r="I70" s="187"/>
      <c r="J70" s="187">
        <f>J68+J69</f>
        <v>3439.4125392000005</v>
      </c>
      <c r="K70" s="187"/>
      <c r="L70" s="187">
        <f>L68+L69</f>
        <v>1981.1698964639995</v>
      </c>
      <c r="M70" s="187">
        <f>M68+M69</f>
        <v>34707.024999504</v>
      </c>
    </row>
    <row r="71" spans="1:13" s="146" customFormat="1" ht="13.5">
      <c r="A71" s="6"/>
      <c r="B71" s="6"/>
      <c r="C71" s="9"/>
      <c r="D71" s="6"/>
      <c r="E71" s="302"/>
      <c r="F71" s="303"/>
      <c r="G71" s="6"/>
      <c r="H71" s="8"/>
      <c r="I71" s="8"/>
      <c r="J71" s="8"/>
      <c r="K71" s="8"/>
      <c r="L71" s="8"/>
      <c r="M71" s="8"/>
    </row>
    <row r="72" spans="1:10" ht="13.5">
      <c r="A72" s="146"/>
      <c r="B72" s="492" t="s">
        <v>58</v>
      </c>
      <c r="C72" s="492"/>
      <c r="E72" s="492" t="s">
        <v>482</v>
      </c>
      <c r="F72" s="492"/>
      <c r="G72" s="492"/>
      <c r="H72" s="492"/>
      <c r="I72" s="492"/>
      <c r="J72" s="492"/>
    </row>
    <row r="73" ht="13.5">
      <c r="A73" s="146"/>
    </row>
    <row r="74" spans="1:13" s="22" customFormat="1" ht="13.5">
      <c r="A74" s="146"/>
      <c r="B74" s="268"/>
      <c r="C74" s="458" t="s">
        <v>891</v>
      </c>
      <c r="D74" s="268"/>
      <c r="E74" s="492" t="s">
        <v>890</v>
      </c>
      <c r="F74" s="492"/>
      <c r="G74" s="492"/>
      <c r="H74" s="492"/>
      <c r="I74" s="492"/>
      <c r="J74" s="492"/>
      <c r="K74" s="268"/>
      <c r="L74" s="268"/>
      <c r="M74" s="268"/>
    </row>
    <row r="75" ht="13.5">
      <c r="A75" s="146"/>
    </row>
    <row r="76" ht="13.5">
      <c r="A76" s="146"/>
    </row>
    <row r="77" ht="13.5">
      <c r="A77" s="146"/>
    </row>
    <row r="78" ht="13.5">
      <c r="A78" s="146"/>
    </row>
    <row r="79" ht="13.5">
      <c r="A79" s="146"/>
    </row>
    <row r="80" ht="13.5">
      <c r="A80" s="146"/>
    </row>
    <row r="81" ht="13.5">
      <c r="A81" s="146"/>
    </row>
  </sheetData>
  <sheetProtection/>
  <mergeCells count="21">
    <mergeCell ref="C5:D5"/>
    <mergeCell ref="D6:D7"/>
    <mergeCell ref="E6:F6"/>
    <mergeCell ref="G6:H6"/>
    <mergeCell ref="K6:L6"/>
    <mergeCell ref="E74:J74"/>
    <mergeCell ref="A1:M1"/>
    <mergeCell ref="A2:M2"/>
    <mergeCell ref="A3:M3"/>
    <mergeCell ref="B4:C4"/>
    <mergeCell ref="F4:I4"/>
    <mergeCell ref="J4:K4"/>
    <mergeCell ref="G5:I5"/>
    <mergeCell ref="J5:K5"/>
    <mergeCell ref="I6:J6"/>
    <mergeCell ref="A6:A7"/>
    <mergeCell ref="B6:B7"/>
    <mergeCell ref="C6:C7"/>
    <mergeCell ref="M6:M7"/>
    <mergeCell ref="B72:C72"/>
    <mergeCell ref="E72:J72"/>
  </mergeCells>
  <printOptions horizontalCentered="1"/>
  <pageMargins left="0.45" right="0" top="0.5" bottom="0.5" header="0.3" footer="0.3"/>
  <pageSetup horizontalDpi="600" verticalDpi="600" orientation="landscape" scale="93" r:id="rId1"/>
  <headerFooter>
    <oddHeader>&amp;Cსაგანმანათლებლო და სამეცნიერო ინფრასტრუქტურის განვითარების სააგენტო</oddHeader>
    <oddFooter>&amp;Lხარჯთაღრიცხვა&amp;R&amp;P/&amp;N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34"/>
  <sheetViews>
    <sheetView showZeros="0" zoomScalePageLayoutView="0" workbookViewId="0" topLeftCell="A1">
      <selection activeCell="G26" sqref="G26"/>
    </sheetView>
  </sheetViews>
  <sheetFormatPr defaultColWidth="9.00390625" defaultRowHeight="12.75"/>
  <cols>
    <col min="1" max="1" width="6.125" style="430" customWidth="1"/>
    <col min="2" max="2" width="11.375" style="430" customWidth="1"/>
    <col min="3" max="3" width="49.375" style="430" customWidth="1"/>
    <col min="4" max="4" width="12.25390625" style="430" customWidth="1"/>
    <col min="5" max="5" width="14.75390625" style="430" customWidth="1"/>
    <col min="6" max="6" width="10.375" style="430" customWidth="1"/>
    <col min="7" max="7" width="10.875" style="430" customWidth="1"/>
    <col min="8" max="8" width="12.75390625" style="430" customWidth="1"/>
    <col min="9" max="16384" width="9.00390625" style="430" customWidth="1"/>
  </cols>
  <sheetData>
    <row r="1" spans="1:8" s="10" customFormat="1" ht="21" customHeight="1">
      <c r="A1" s="479" t="s">
        <v>894</v>
      </c>
      <c r="B1" s="479"/>
      <c r="C1" s="479"/>
      <c r="D1" s="479"/>
      <c r="E1" s="479"/>
      <c r="F1" s="479"/>
      <c r="G1" s="479"/>
      <c r="H1" s="479"/>
    </row>
    <row r="2" spans="1:8" ht="13.5">
      <c r="A2" s="488" t="s">
        <v>104</v>
      </c>
      <c r="B2" s="488"/>
      <c r="C2" s="488"/>
      <c r="D2" s="488"/>
      <c r="E2" s="488"/>
      <c r="F2" s="488"/>
      <c r="G2" s="488"/>
      <c r="H2" s="488"/>
    </row>
    <row r="3" spans="1:8" ht="15.75">
      <c r="A3" s="489" t="s">
        <v>721</v>
      </c>
      <c r="B3" s="489"/>
      <c r="C3" s="489"/>
      <c r="D3" s="489"/>
      <c r="E3" s="489"/>
      <c r="F3" s="489"/>
      <c r="G3" s="489"/>
      <c r="H3" s="489"/>
    </row>
    <row r="4" spans="1:8" ht="22.5" customHeight="1">
      <c r="A4" s="485" t="s">
        <v>760</v>
      </c>
      <c r="B4" s="485"/>
      <c r="C4" s="485"/>
      <c r="D4" s="485"/>
      <c r="E4" s="485"/>
      <c r="F4" s="485"/>
      <c r="G4" s="485"/>
      <c r="H4" s="485"/>
    </row>
    <row r="5" spans="1:8" ht="15.75">
      <c r="A5" s="488" t="s">
        <v>883</v>
      </c>
      <c r="B5" s="490"/>
      <c r="C5" s="490"/>
      <c r="D5" s="491" t="s">
        <v>835</v>
      </c>
      <c r="E5" s="491"/>
      <c r="F5" s="432">
        <f>H16</f>
        <v>1972.5212080845254</v>
      </c>
      <c r="G5" s="484" t="s">
        <v>76</v>
      </c>
      <c r="H5" s="484"/>
    </row>
    <row r="6" spans="1:8" ht="78.75" customHeight="1">
      <c r="A6" s="285" t="s">
        <v>105</v>
      </c>
      <c r="B6" s="285" t="s">
        <v>106</v>
      </c>
      <c r="C6" s="285" t="s">
        <v>80</v>
      </c>
      <c r="D6" s="285" t="s">
        <v>67</v>
      </c>
      <c r="E6" s="285" t="s">
        <v>107</v>
      </c>
      <c r="F6" s="433" t="s">
        <v>362</v>
      </c>
      <c r="G6" s="285" t="s">
        <v>108</v>
      </c>
      <c r="H6" s="285" t="s">
        <v>427</v>
      </c>
    </row>
    <row r="7" spans="1:8" ht="13.5">
      <c r="A7" s="434">
        <v>1</v>
      </c>
      <c r="B7" s="435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9" ht="15" customHeight="1">
      <c r="A8" s="320" t="s">
        <v>53</v>
      </c>
      <c r="B8" s="320" t="s">
        <v>722</v>
      </c>
      <c r="C8" s="436" t="s">
        <v>67</v>
      </c>
      <c r="D8" s="108">
        <f>'სამშ.'!M671/1000</f>
        <v>1700.4914461621636</v>
      </c>
      <c r="E8" s="108"/>
      <c r="F8" s="108"/>
      <c r="G8" s="108"/>
      <c r="H8" s="108">
        <f>D8+E8+F8+G8</f>
        <v>1700.4914461621636</v>
      </c>
      <c r="I8" s="437"/>
    </row>
    <row r="9" spans="1:9" ht="15" customHeight="1">
      <c r="A9" s="320" t="s">
        <v>68</v>
      </c>
      <c r="B9" s="320" t="s">
        <v>723</v>
      </c>
      <c r="C9" s="436" t="s">
        <v>361</v>
      </c>
      <c r="D9" s="108">
        <f>'შიდა წყალს'!M107/1000</f>
        <v>15.485147758080004</v>
      </c>
      <c r="E9" s="108"/>
      <c r="F9" s="108"/>
      <c r="G9" s="108"/>
      <c r="H9" s="108">
        <f>D9+E9+F9+G9</f>
        <v>15.485147758080004</v>
      </c>
      <c r="I9" s="437"/>
    </row>
    <row r="10" spans="1:9" ht="15" customHeight="1">
      <c r="A10" s="320" t="s">
        <v>69</v>
      </c>
      <c r="B10" s="320" t="s">
        <v>724</v>
      </c>
      <c r="C10" s="436" t="s">
        <v>360</v>
      </c>
      <c r="D10" s="108">
        <f>'შიდა კანალიზ'!M82/1000</f>
        <v>29.903078790143997</v>
      </c>
      <c r="E10" s="108"/>
      <c r="F10" s="108"/>
      <c r="G10" s="108"/>
      <c r="H10" s="108">
        <f>D10+E10+F10+G10</f>
        <v>29.903078790143997</v>
      </c>
      <c r="I10" s="437"/>
    </row>
    <row r="11" spans="1:9" ht="15" customHeight="1">
      <c r="A11" s="320" t="s">
        <v>70</v>
      </c>
      <c r="B11" s="320" t="s">
        <v>725</v>
      </c>
      <c r="C11" s="436" t="s">
        <v>233</v>
      </c>
      <c r="D11" s="108">
        <f>ვენტ!M128/1000</f>
        <v>27.536493984768</v>
      </c>
      <c r="E11" s="108">
        <f>ვენტ!M129/1000</f>
        <v>1.5646735872000002</v>
      </c>
      <c r="F11" s="108">
        <f>ვენტ!M130/1000</f>
        <v>24.6</v>
      </c>
      <c r="G11" s="108"/>
      <c r="H11" s="108">
        <f>D11+E11+F11+G11</f>
        <v>53.701167571968</v>
      </c>
      <c r="I11" s="437"/>
    </row>
    <row r="12" spans="1:8" ht="13.5">
      <c r="A12" s="320" t="s">
        <v>71</v>
      </c>
      <c r="B12" s="320" t="s">
        <v>726</v>
      </c>
      <c r="C12" s="436" t="s">
        <v>481</v>
      </c>
      <c r="D12" s="108"/>
      <c r="E12" s="108">
        <f>H12-F12</f>
        <v>24.196965839999997</v>
      </c>
      <c r="F12" s="108">
        <f>ელექტროგათბ!M79/1000</f>
        <v>22.56395</v>
      </c>
      <c r="G12" s="108"/>
      <c r="H12" s="108">
        <f>ელექტროგათბ!M83/1000</f>
        <v>46.760915839999996</v>
      </c>
    </row>
    <row r="13" spans="1:9" ht="27">
      <c r="A13" s="320" t="s">
        <v>72</v>
      </c>
      <c r="B13" s="320" t="s">
        <v>727</v>
      </c>
      <c r="C13" s="436" t="s">
        <v>359</v>
      </c>
      <c r="D13" s="108"/>
      <c r="E13" s="108">
        <f>H13-F13</f>
        <v>41.325581592000006</v>
      </c>
      <c r="F13" s="108">
        <f>ელექტრობა!M145/1000</f>
        <v>4.342</v>
      </c>
      <c r="G13" s="108"/>
      <c r="H13" s="108">
        <f>ელექტრობა!M149/1000</f>
        <v>45.667581592000005</v>
      </c>
      <c r="I13" s="437"/>
    </row>
    <row r="14" spans="1:9" ht="40.5">
      <c r="A14" s="320" t="s">
        <v>60</v>
      </c>
      <c r="B14" s="320" t="s">
        <v>728</v>
      </c>
      <c r="C14" s="436" t="s">
        <v>838</v>
      </c>
      <c r="D14" s="108"/>
      <c r="E14" s="108">
        <f>H14-F14</f>
        <v>29.331473760000012</v>
      </c>
      <c r="F14" s="108">
        <f>სუსტ!M160/1000</f>
        <v>17.2338</v>
      </c>
      <c r="G14" s="108"/>
      <c r="H14" s="108">
        <f>სუსტ!M164/1000</f>
        <v>46.56527376000001</v>
      </c>
      <c r="I14" s="437"/>
    </row>
    <row r="15" spans="1:9" ht="28.5" customHeight="1">
      <c r="A15" s="320" t="s">
        <v>73</v>
      </c>
      <c r="B15" s="320" t="s">
        <v>729</v>
      </c>
      <c r="C15" s="436" t="s">
        <v>853</v>
      </c>
      <c r="D15" s="108"/>
      <c r="E15" s="108">
        <f>ლიფტი!M22/1000</f>
        <v>3.628799999999999</v>
      </c>
      <c r="F15" s="108">
        <f>ლიფტი!M21/1000</f>
        <v>30.317796610169495</v>
      </c>
      <c r="G15" s="108"/>
      <c r="H15" s="108">
        <f>D15+E15+F15+G15</f>
        <v>33.94659661016949</v>
      </c>
      <c r="I15" s="437"/>
    </row>
    <row r="16" spans="1:9" ht="16.5" customHeight="1">
      <c r="A16" s="320"/>
      <c r="B16" s="320"/>
      <c r="C16" s="438" t="s">
        <v>49</v>
      </c>
      <c r="D16" s="161">
        <f>SUM(D8:D15)</f>
        <v>1773.4161666951557</v>
      </c>
      <c r="E16" s="161">
        <f>SUM(E8:E15)</f>
        <v>100.04749477920001</v>
      </c>
      <c r="F16" s="161">
        <f>SUM(F8:F15)</f>
        <v>99.0575466101695</v>
      </c>
      <c r="G16" s="161">
        <f>SUM(G8:G15)</f>
        <v>0</v>
      </c>
      <c r="H16" s="189">
        <f>SUM(H8:H15)</f>
        <v>1972.5212080845254</v>
      </c>
      <c r="I16" s="15">
        <f>SUM(I8:I14)</f>
        <v>0</v>
      </c>
    </row>
    <row r="17" spans="1:9" ht="16.5" customHeight="1">
      <c r="A17" s="439"/>
      <c r="B17" s="439"/>
      <c r="C17" s="440"/>
      <c r="D17" s="15"/>
      <c r="E17" s="15"/>
      <c r="F17" s="15"/>
      <c r="G17" s="15"/>
      <c r="H17" s="15"/>
      <c r="I17" s="15"/>
    </row>
    <row r="18" spans="1:9" ht="16.5" customHeight="1">
      <c r="A18" s="439"/>
      <c r="B18" s="439"/>
      <c r="C18" s="440"/>
      <c r="D18" s="15"/>
      <c r="E18" s="15"/>
      <c r="F18" s="15"/>
      <c r="G18" s="15"/>
      <c r="H18" s="15"/>
      <c r="I18" s="15"/>
    </row>
    <row r="19" spans="1:8" ht="13.5">
      <c r="A19" s="486" t="s">
        <v>34</v>
      </c>
      <c r="B19" s="486"/>
      <c r="C19" s="486"/>
      <c r="E19" s="430" t="s">
        <v>35</v>
      </c>
      <c r="F19" s="487" t="s">
        <v>482</v>
      </c>
      <c r="G19" s="487"/>
      <c r="H19" s="431"/>
    </row>
    <row r="20" spans="1:8" ht="15.75">
      <c r="A20" s="441"/>
      <c r="B20" s="442"/>
      <c r="C20" s="443"/>
      <c r="D20" s="443"/>
      <c r="E20" s="443"/>
      <c r="F20" s="443"/>
      <c r="G20" s="443"/>
      <c r="H20" s="444"/>
    </row>
    <row r="21" spans="1:8" ht="13.5">
      <c r="A21" s="486" t="s">
        <v>892</v>
      </c>
      <c r="B21" s="486"/>
      <c r="C21" s="486"/>
      <c r="E21" s="430" t="s">
        <v>35</v>
      </c>
      <c r="F21" s="487" t="s">
        <v>893</v>
      </c>
      <c r="G21" s="487"/>
      <c r="H21" s="431"/>
    </row>
    <row r="22" spans="1:8" ht="15.75">
      <c r="A22" s="441"/>
      <c r="B22" s="441"/>
      <c r="C22" s="442"/>
      <c r="D22" s="443"/>
      <c r="E22" s="443"/>
      <c r="F22" s="443"/>
      <c r="G22" s="443"/>
      <c r="H22" s="443"/>
    </row>
    <row r="23" spans="1:8" ht="15.75">
      <c r="A23" s="441"/>
      <c r="B23" s="441"/>
      <c r="C23" s="442"/>
      <c r="D23" s="443"/>
      <c r="E23" s="443"/>
      <c r="F23" s="443"/>
      <c r="G23" s="443"/>
      <c r="H23" s="443"/>
    </row>
    <row r="24" spans="1:8" ht="15.75">
      <c r="A24" s="441"/>
      <c r="B24" s="441"/>
      <c r="C24" s="442"/>
      <c r="D24" s="443"/>
      <c r="E24" s="443"/>
      <c r="F24" s="443"/>
      <c r="G24" s="443"/>
      <c r="H24" s="443"/>
    </row>
    <row r="25" spans="1:8" ht="15.75">
      <c r="A25" s="441"/>
      <c r="B25" s="441"/>
      <c r="C25" s="442"/>
      <c r="D25" s="443"/>
      <c r="E25" s="443"/>
      <c r="F25" s="443"/>
      <c r="G25" s="443"/>
      <c r="H25" s="443"/>
    </row>
    <row r="26" spans="1:8" ht="15.75">
      <c r="A26" s="441"/>
      <c r="B26" s="441"/>
      <c r="C26" s="442"/>
      <c r="D26" s="443"/>
      <c r="E26" s="443"/>
      <c r="F26" s="443"/>
      <c r="G26" s="443"/>
      <c r="H26" s="443"/>
    </row>
    <row r="27" spans="1:8" ht="15.75">
      <c r="A27" s="441"/>
      <c r="B27" s="441"/>
      <c r="C27" s="442"/>
      <c r="D27" s="443"/>
      <c r="E27" s="443"/>
      <c r="F27" s="443"/>
      <c r="G27" s="443"/>
      <c r="H27" s="443"/>
    </row>
    <row r="28" spans="2:8" ht="16.5">
      <c r="B28" s="445"/>
      <c r="C28" s="445"/>
      <c r="D28" s="445"/>
      <c r="E28" s="445"/>
      <c r="F28" s="445"/>
      <c r="G28" s="445"/>
      <c r="H28" s="445"/>
    </row>
    <row r="29" spans="2:8" ht="13.5">
      <c r="B29" s="429"/>
      <c r="C29" s="429"/>
      <c r="D29" s="429"/>
      <c r="E29" s="429"/>
      <c r="F29" s="429"/>
      <c r="G29" s="429"/>
      <c r="H29" s="429"/>
    </row>
    <row r="30" spans="2:8" ht="13.5">
      <c r="B30" s="429"/>
      <c r="C30" s="429"/>
      <c r="D30" s="429"/>
      <c r="E30" s="429"/>
      <c r="F30" s="429"/>
      <c r="G30" s="429"/>
      <c r="H30" s="429"/>
    </row>
    <row r="31" spans="2:8" ht="13.5">
      <c r="B31" s="429"/>
      <c r="C31" s="429"/>
      <c r="D31" s="429"/>
      <c r="E31" s="429"/>
      <c r="F31" s="429"/>
      <c r="G31" s="429"/>
      <c r="H31" s="429"/>
    </row>
    <row r="32" spans="2:8" ht="13.5">
      <c r="B32" s="429"/>
      <c r="C32" s="429"/>
      <c r="D32" s="429"/>
      <c r="E32" s="429"/>
      <c r="F32" s="429"/>
      <c r="G32" s="429"/>
      <c r="H32" s="429"/>
    </row>
    <row r="33" spans="2:8" ht="13.5">
      <c r="B33" s="429"/>
      <c r="C33" s="429"/>
      <c r="D33" s="429"/>
      <c r="E33" s="429"/>
      <c r="F33" s="429"/>
      <c r="G33" s="429"/>
      <c r="H33" s="429"/>
    </row>
    <row r="34" spans="2:8" ht="13.5">
      <c r="B34" s="429"/>
      <c r="C34" s="429"/>
      <c r="D34" s="429"/>
      <c r="E34" s="429"/>
      <c r="F34" s="429"/>
      <c r="G34" s="429"/>
      <c r="H34" s="429"/>
    </row>
  </sheetData>
  <sheetProtection/>
  <mergeCells count="11">
    <mergeCell ref="A1:H1"/>
    <mergeCell ref="A2:H2"/>
    <mergeCell ref="A3:H3"/>
    <mergeCell ref="A5:C5"/>
    <mergeCell ref="D5:E5"/>
    <mergeCell ref="G5:H5"/>
    <mergeCell ref="A4:H4"/>
    <mergeCell ref="A21:C21"/>
    <mergeCell ref="F21:G21"/>
    <mergeCell ref="A19:C19"/>
    <mergeCell ref="F19:G19"/>
  </mergeCells>
  <printOptions/>
  <pageMargins left="0.5" right="0" top="0.5" bottom="0.5" header="0.25" footer="0.25"/>
  <pageSetup horizontalDpi="600" verticalDpi="600" orientation="landscape" paperSize="9" r:id="rId1"/>
  <headerFooter alignWithMargins="0">
    <oddHeader>&amp;Cსაგანმანათლებლო და სამეცნიერო ინფრასტრუქტურის განვითარების სააგენტო</oddHeader>
    <oddFooter>&amp;Lხარჯთაღრიცხვა&amp;R&amp;P/&amp;N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M679"/>
  <sheetViews>
    <sheetView showZeros="0" zoomScalePageLayoutView="0" workbookViewId="0" topLeftCell="A1">
      <pane ySplit="7" topLeftCell="A656" activePane="bottomLeft" state="frozen"/>
      <selection pane="topLeft" activeCell="A1" sqref="A1"/>
      <selection pane="bottomLeft" activeCell="I6" sqref="I6:J6"/>
    </sheetView>
  </sheetViews>
  <sheetFormatPr defaultColWidth="9.00390625" defaultRowHeight="12.75"/>
  <cols>
    <col min="1" max="1" width="4.00390625" style="22" customWidth="1"/>
    <col min="2" max="2" width="8.00390625" style="22" customWidth="1"/>
    <col min="3" max="3" width="39.125" style="22" customWidth="1"/>
    <col min="4" max="4" width="7.75390625" style="22" customWidth="1"/>
    <col min="5" max="5" width="7.625" style="22" customWidth="1"/>
    <col min="6" max="6" width="13.75390625" style="22" customWidth="1"/>
    <col min="7" max="7" width="11.625" style="22" customWidth="1"/>
    <col min="8" max="8" width="16.00390625" style="22" customWidth="1"/>
    <col min="9" max="9" width="8.00390625" style="22" customWidth="1"/>
    <col min="10" max="10" width="13.125" style="22" customWidth="1"/>
    <col min="11" max="11" width="11.875" style="22" customWidth="1"/>
    <col min="12" max="12" width="12.875" style="22" customWidth="1"/>
    <col min="13" max="13" width="14.625" style="22" customWidth="1"/>
    <col min="14" max="16384" width="9.125" style="22" customWidth="1"/>
  </cols>
  <sheetData>
    <row r="1" spans="1:13" s="314" customFormat="1" ht="17.25" customHeight="1">
      <c r="A1" s="511" t="s">
        <v>894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</row>
    <row r="2" spans="1:13" s="314" customFormat="1" ht="16.5" customHeight="1">
      <c r="A2" s="518" t="s">
        <v>730</v>
      </c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</row>
    <row r="3" spans="1:13" s="314" customFormat="1" ht="16.5" customHeight="1">
      <c r="A3" s="516" t="s">
        <v>89</v>
      </c>
      <c r="B3" s="517"/>
      <c r="C3" s="517"/>
      <c r="D3" s="517"/>
      <c r="E3" s="517"/>
      <c r="F3" s="517"/>
      <c r="G3" s="517"/>
      <c r="H3" s="517"/>
      <c r="I3" s="517"/>
      <c r="J3" s="517"/>
      <c r="K3" s="517"/>
      <c r="L3" s="517"/>
      <c r="M3" s="517"/>
    </row>
    <row r="4" spans="2:12" s="317" customFormat="1" ht="13.5">
      <c r="B4" s="513" t="s">
        <v>428</v>
      </c>
      <c r="C4" s="514"/>
      <c r="D4" s="24"/>
      <c r="E4" s="24"/>
      <c r="F4" s="520" t="s">
        <v>184</v>
      </c>
      <c r="G4" s="520"/>
      <c r="H4" s="520"/>
      <c r="I4" s="520"/>
      <c r="J4" s="504">
        <f>M671</f>
        <v>1700491.4461621635</v>
      </c>
      <c r="K4" s="512"/>
      <c r="L4" s="25" t="s">
        <v>43</v>
      </c>
    </row>
    <row r="5" spans="1:12" s="317" customFormat="1" ht="13.5">
      <c r="A5" s="319"/>
      <c r="B5" s="513" t="s">
        <v>876</v>
      </c>
      <c r="C5" s="514"/>
      <c r="D5" s="26"/>
      <c r="E5" s="26"/>
      <c r="F5" s="25"/>
      <c r="G5" s="515" t="s">
        <v>185</v>
      </c>
      <c r="H5" s="515"/>
      <c r="I5" s="515"/>
      <c r="J5" s="504">
        <f>J671</f>
        <v>283860.3738661344</v>
      </c>
      <c r="K5" s="504"/>
      <c r="L5" s="25" t="s">
        <v>43</v>
      </c>
    </row>
    <row r="6" spans="1:13" ht="43.5" customHeight="1">
      <c r="A6" s="509" t="s">
        <v>61</v>
      </c>
      <c r="B6" s="497" t="s">
        <v>74</v>
      </c>
      <c r="C6" s="497" t="s">
        <v>63</v>
      </c>
      <c r="D6" s="497" t="s">
        <v>44</v>
      </c>
      <c r="E6" s="475" t="s">
        <v>45</v>
      </c>
      <c r="F6" s="477"/>
      <c r="G6" s="495" t="s">
        <v>46</v>
      </c>
      <c r="H6" s="496"/>
      <c r="I6" s="505" t="s">
        <v>47</v>
      </c>
      <c r="J6" s="506"/>
      <c r="K6" s="505" t="s">
        <v>48</v>
      </c>
      <c r="L6" s="506"/>
      <c r="M6" s="507" t="s">
        <v>49</v>
      </c>
    </row>
    <row r="7" spans="1:13" ht="54">
      <c r="A7" s="510"/>
      <c r="B7" s="498"/>
      <c r="C7" s="498"/>
      <c r="D7" s="498"/>
      <c r="E7" s="74" t="s">
        <v>50</v>
      </c>
      <c r="F7" s="74" t="s">
        <v>51</v>
      </c>
      <c r="G7" s="320" t="s">
        <v>52</v>
      </c>
      <c r="H7" s="108" t="s">
        <v>49</v>
      </c>
      <c r="I7" s="285" t="s">
        <v>52</v>
      </c>
      <c r="J7" s="108" t="s">
        <v>49</v>
      </c>
      <c r="K7" s="285" t="s">
        <v>52</v>
      </c>
      <c r="L7" s="108" t="s">
        <v>49</v>
      </c>
      <c r="M7" s="508"/>
    </row>
    <row r="8" spans="1:13" s="321" customFormat="1" ht="15">
      <c r="A8" s="126" t="s">
        <v>53</v>
      </c>
      <c r="B8" s="126">
        <v>2</v>
      </c>
      <c r="C8" s="126">
        <v>3</v>
      </c>
      <c r="D8" s="126">
        <v>4</v>
      </c>
      <c r="E8" s="126">
        <v>5</v>
      </c>
      <c r="F8" s="274">
        <v>6</v>
      </c>
      <c r="G8" s="275" t="s">
        <v>60</v>
      </c>
      <c r="H8" s="276">
        <v>8</v>
      </c>
      <c r="I8" s="274">
        <v>9</v>
      </c>
      <c r="J8" s="276">
        <v>10</v>
      </c>
      <c r="K8" s="274">
        <v>11</v>
      </c>
      <c r="L8" s="276">
        <v>12</v>
      </c>
      <c r="M8" s="276">
        <v>13</v>
      </c>
    </row>
    <row r="9" spans="1:13" s="324" customFormat="1" ht="18" customHeight="1">
      <c r="A9" s="322"/>
      <c r="B9" s="323"/>
      <c r="C9" s="200" t="s">
        <v>5</v>
      </c>
      <c r="D9" s="14"/>
      <c r="E9" s="14"/>
      <c r="F9" s="16"/>
      <c r="G9" s="14"/>
      <c r="H9" s="13"/>
      <c r="I9" s="16"/>
      <c r="J9" s="13"/>
      <c r="K9" s="16"/>
      <c r="L9" s="13"/>
      <c r="M9" s="13"/>
    </row>
    <row r="10" spans="1:13" s="121" customFormat="1" ht="29.25" customHeight="1">
      <c r="A10" s="28">
        <v>1</v>
      </c>
      <c r="B10" s="149" t="s">
        <v>229</v>
      </c>
      <c r="C10" s="43" t="s">
        <v>390</v>
      </c>
      <c r="D10" s="28" t="s">
        <v>66</v>
      </c>
      <c r="E10" s="28"/>
      <c r="F10" s="164">
        <v>200</v>
      </c>
      <c r="G10" s="30"/>
      <c r="H10" s="30"/>
      <c r="I10" s="30"/>
      <c r="J10" s="30"/>
      <c r="K10" s="30"/>
      <c r="L10" s="30"/>
      <c r="M10" s="30"/>
    </row>
    <row r="11" spans="1:13" s="121" customFormat="1" ht="15" customHeight="1">
      <c r="A11" s="1"/>
      <c r="B11" s="120"/>
      <c r="C11" s="19" t="s">
        <v>54</v>
      </c>
      <c r="D11" s="1" t="s">
        <v>366</v>
      </c>
      <c r="E11" s="1">
        <v>0.0165</v>
      </c>
      <c r="F11" s="13">
        <f>F10*E11</f>
        <v>3.3000000000000003</v>
      </c>
      <c r="G11" s="13"/>
      <c r="H11" s="13"/>
      <c r="I11" s="13">
        <v>6</v>
      </c>
      <c r="J11" s="13">
        <f>F11*I11</f>
        <v>19.8</v>
      </c>
      <c r="K11" s="13"/>
      <c r="L11" s="13"/>
      <c r="M11" s="13">
        <f>H11+J11+L11</f>
        <v>19.8</v>
      </c>
    </row>
    <row r="12" spans="1:13" s="121" customFormat="1" ht="29.25" customHeight="1">
      <c r="A12" s="1"/>
      <c r="B12" s="120"/>
      <c r="C12" s="19" t="s">
        <v>237</v>
      </c>
      <c r="D12" s="14" t="s">
        <v>365</v>
      </c>
      <c r="E12" s="1">
        <v>0.037</v>
      </c>
      <c r="F12" s="13">
        <f>F10*E12</f>
        <v>7.3999999999999995</v>
      </c>
      <c r="G12" s="13"/>
      <c r="H12" s="13"/>
      <c r="I12" s="13"/>
      <c r="J12" s="13"/>
      <c r="K12" s="13">
        <v>40.19</v>
      </c>
      <c r="L12" s="13">
        <f>F12*K12</f>
        <v>297.40599999999995</v>
      </c>
      <c r="M12" s="13">
        <f>H12+J12+L12</f>
        <v>297.40599999999995</v>
      </c>
    </row>
    <row r="13" spans="1:13" s="121" customFormat="1" ht="42.75" customHeight="1">
      <c r="A13" s="28">
        <v>2</v>
      </c>
      <c r="B13" s="149" t="s">
        <v>198</v>
      </c>
      <c r="C13" s="43" t="s">
        <v>417</v>
      </c>
      <c r="D13" s="28" t="s">
        <v>66</v>
      </c>
      <c r="E13" s="28"/>
      <c r="F13" s="164">
        <f>300-F10</f>
        <v>100</v>
      </c>
      <c r="G13" s="30"/>
      <c r="H13" s="30"/>
      <c r="I13" s="30"/>
      <c r="J13" s="30"/>
      <c r="K13" s="30"/>
      <c r="L13" s="30"/>
      <c r="M13" s="30"/>
    </row>
    <row r="14" spans="1:13" s="121" customFormat="1" ht="15.75" customHeight="1">
      <c r="A14" s="1"/>
      <c r="B14" s="120"/>
      <c r="C14" s="19" t="s">
        <v>54</v>
      </c>
      <c r="D14" s="1" t="s">
        <v>366</v>
      </c>
      <c r="E14" s="5">
        <v>0.02</v>
      </c>
      <c r="F14" s="13">
        <f>F13*E14</f>
        <v>2</v>
      </c>
      <c r="G14" s="13"/>
      <c r="H14" s="13"/>
      <c r="I14" s="13">
        <v>6</v>
      </c>
      <c r="J14" s="13">
        <f>F14*I14</f>
        <v>12</v>
      </c>
      <c r="K14" s="13"/>
      <c r="L14" s="13"/>
      <c r="M14" s="13">
        <f>H14+J14+L14</f>
        <v>12</v>
      </c>
    </row>
    <row r="15" spans="1:13" s="121" customFormat="1" ht="27.75" customHeight="1">
      <c r="A15" s="1"/>
      <c r="B15" s="120"/>
      <c r="C15" s="19" t="s">
        <v>237</v>
      </c>
      <c r="D15" s="14" t="s">
        <v>365</v>
      </c>
      <c r="E15" s="1">
        <v>0.0448</v>
      </c>
      <c r="F15" s="13">
        <f>F13*E15</f>
        <v>4.4799999999999995</v>
      </c>
      <c r="G15" s="13"/>
      <c r="H15" s="13"/>
      <c r="I15" s="13"/>
      <c r="J15" s="13"/>
      <c r="K15" s="13">
        <v>40.19</v>
      </c>
      <c r="L15" s="13">
        <f>F15*K15</f>
        <v>180.05119999999997</v>
      </c>
      <c r="M15" s="13">
        <f>H15+J15+L15</f>
        <v>180.05119999999997</v>
      </c>
    </row>
    <row r="16" spans="1:13" s="121" customFormat="1" ht="13.5">
      <c r="A16" s="1"/>
      <c r="B16" s="120"/>
      <c r="C16" s="19" t="s">
        <v>62</v>
      </c>
      <c r="D16" s="1" t="s">
        <v>43</v>
      </c>
      <c r="E16" s="1">
        <v>0.0021</v>
      </c>
      <c r="F16" s="13">
        <f>F13*E16</f>
        <v>0.21</v>
      </c>
      <c r="G16" s="13"/>
      <c r="H16" s="13"/>
      <c r="I16" s="13"/>
      <c r="J16" s="13"/>
      <c r="K16" s="13">
        <v>3.2</v>
      </c>
      <c r="L16" s="13">
        <f>F16*K16</f>
        <v>0.672</v>
      </c>
      <c r="M16" s="13">
        <f>H16+J16+L16</f>
        <v>0.672</v>
      </c>
    </row>
    <row r="17" spans="1:13" s="121" customFormat="1" ht="13.5">
      <c r="A17" s="1"/>
      <c r="B17" s="120"/>
      <c r="C17" s="19" t="s">
        <v>56</v>
      </c>
      <c r="D17" s="1"/>
      <c r="E17" s="1"/>
      <c r="F17" s="13"/>
      <c r="G17" s="13"/>
      <c r="H17" s="13"/>
      <c r="I17" s="13"/>
      <c r="J17" s="13"/>
      <c r="K17" s="13"/>
      <c r="L17" s="13"/>
      <c r="M17" s="13"/>
    </row>
    <row r="18" spans="1:13" s="121" customFormat="1" ht="13.5" customHeight="1">
      <c r="A18" s="1"/>
      <c r="B18" s="120"/>
      <c r="C18" s="19" t="s">
        <v>159</v>
      </c>
      <c r="D18" s="1" t="s">
        <v>66</v>
      </c>
      <c r="E18" s="1">
        <v>5E-05</v>
      </c>
      <c r="F18" s="13">
        <f>F13*E18</f>
        <v>0.005</v>
      </c>
      <c r="G18" s="13">
        <v>15.7</v>
      </c>
      <c r="H18" s="13">
        <f>F18*G18</f>
        <v>0.0785</v>
      </c>
      <c r="I18" s="13"/>
      <c r="J18" s="13"/>
      <c r="K18" s="13"/>
      <c r="L18" s="13"/>
      <c r="M18" s="13">
        <f>H18+J18+L18</f>
        <v>0.0785</v>
      </c>
    </row>
    <row r="19" spans="1:13" s="121" customFormat="1" ht="42.75" customHeight="1">
      <c r="A19" s="28">
        <v>3</v>
      </c>
      <c r="B19" s="149" t="s">
        <v>665</v>
      </c>
      <c r="C19" s="43" t="s">
        <v>664</v>
      </c>
      <c r="D19" s="28" t="s">
        <v>66</v>
      </c>
      <c r="E19" s="28"/>
      <c r="F19" s="164">
        <f>2010-300</f>
        <v>1710</v>
      </c>
      <c r="G19" s="30"/>
      <c r="H19" s="30"/>
      <c r="I19" s="30"/>
      <c r="J19" s="30"/>
      <c r="K19" s="30"/>
      <c r="L19" s="30"/>
      <c r="M19" s="30"/>
    </row>
    <row r="20" spans="1:13" s="121" customFormat="1" ht="15.75" customHeight="1">
      <c r="A20" s="1"/>
      <c r="B20" s="120"/>
      <c r="C20" s="19" t="s">
        <v>54</v>
      </c>
      <c r="D20" s="1" t="s">
        <v>366</v>
      </c>
      <c r="E20" s="5">
        <v>0.027</v>
      </c>
      <c r="F20" s="13">
        <f>F19*E20</f>
        <v>46.17</v>
      </c>
      <c r="G20" s="13"/>
      <c r="H20" s="13"/>
      <c r="I20" s="13">
        <v>6</v>
      </c>
      <c r="J20" s="13">
        <f>F20*I20</f>
        <v>277.02</v>
      </c>
      <c r="K20" s="13"/>
      <c r="L20" s="13"/>
      <c r="M20" s="13">
        <f>H20+J20+L20</f>
        <v>277.02</v>
      </c>
    </row>
    <row r="21" spans="1:13" s="121" customFormat="1" ht="27.75" customHeight="1">
      <c r="A21" s="1"/>
      <c r="B21" s="120"/>
      <c r="C21" s="19" t="s">
        <v>237</v>
      </c>
      <c r="D21" s="14" t="s">
        <v>365</v>
      </c>
      <c r="E21" s="1">
        <v>0.0605</v>
      </c>
      <c r="F21" s="13">
        <f>F19*E21</f>
        <v>103.455</v>
      </c>
      <c r="G21" s="13"/>
      <c r="H21" s="13"/>
      <c r="I21" s="13"/>
      <c r="J21" s="13"/>
      <c r="K21" s="13">
        <v>40.19</v>
      </c>
      <c r="L21" s="13">
        <f>F21*K21</f>
        <v>4157.856449999999</v>
      </c>
      <c r="M21" s="13">
        <f>H21+J21+L21</f>
        <v>4157.856449999999</v>
      </c>
    </row>
    <row r="22" spans="1:13" s="121" customFormat="1" ht="13.5">
      <c r="A22" s="1"/>
      <c r="B22" s="120"/>
      <c r="C22" s="19" t="s">
        <v>62</v>
      </c>
      <c r="D22" s="1" t="s">
        <v>43</v>
      </c>
      <c r="E22" s="1">
        <v>0.00221</v>
      </c>
      <c r="F22" s="13">
        <f>F19*E22</f>
        <v>3.7791</v>
      </c>
      <c r="G22" s="13"/>
      <c r="H22" s="13"/>
      <c r="I22" s="13"/>
      <c r="J22" s="13"/>
      <c r="K22" s="13">
        <v>3.2</v>
      </c>
      <c r="L22" s="13">
        <f>F22*K22</f>
        <v>12.09312</v>
      </c>
      <c r="M22" s="13">
        <f>H22+J22+L22</f>
        <v>12.09312</v>
      </c>
    </row>
    <row r="23" spans="1:13" s="121" customFormat="1" ht="13.5">
      <c r="A23" s="1"/>
      <c r="B23" s="120"/>
      <c r="C23" s="19" t="s">
        <v>56</v>
      </c>
      <c r="D23" s="1"/>
      <c r="E23" s="1"/>
      <c r="F23" s="13"/>
      <c r="G23" s="13"/>
      <c r="H23" s="13"/>
      <c r="I23" s="13"/>
      <c r="J23" s="13"/>
      <c r="K23" s="13"/>
      <c r="L23" s="13"/>
      <c r="M23" s="13"/>
    </row>
    <row r="24" spans="1:13" s="121" customFormat="1" ht="13.5" customHeight="1">
      <c r="A24" s="1"/>
      <c r="B24" s="120"/>
      <c r="C24" s="19" t="s">
        <v>159</v>
      </c>
      <c r="D24" s="1" t="s">
        <v>66</v>
      </c>
      <c r="E24" s="1">
        <v>6E-05</v>
      </c>
      <c r="F24" s="13">
        <f>F19*E24</f>
        <v>0.1026</v>
      </c>
      <c r="G24" s="13">
        <v>15.7</v>
      </c>
      <c r="H24" s="13">
        <f>F24*G24</f>
        <v>1.61082</v>
      </c>
      <c r="I24" s="13"/>
      <c r="J24" s="13"/>
      <c r="K24" s="13"/>
      <c r="L24" s="13"/>
      <c r="M24" s="13">
        <f>H24+J24+L24</f>
        <v>1.61082</v>
      </c>
    </row>
    <row r="25" spans="1:13" s="135" customFormat="1" ht="18" customHeight="1">
      <c r="A25" s="47">
        <v>4</v>
      </c>
      <c r="B25" s="126"/>
      <c r="C25" s="46" t="s">
        <v>380</v>
      </c>
      <c r="D25" s="47" t="s">
        <v>75</v>
      </c>
      <c r="E25" s="47"/>
      <c r="F25" s="161">
        <f>F13*1.91+F19*2.15</f>
        <v>3867.5</v>
      </c>
      <c r="G25" s="108"/>
      <c r="H25" s="108"/>
      <c r="I25" s="108"/>
      <c r="J25" s="108"/>
      <c r="K25" s="108">
        <v>3.32</v>
      </c>
      <c r="L25" s="108">
        <f>F25*K25</f>
        <v>12840.099999999999</v>
      </c>
      <c r="M25" s="108">
        <f>H25+J25+L25</f>
        <v>12840.099999999999</v>
      </c>
    </row>
    <row r="26" spans="1:13" s="268" customFormat="1" ht="13.5" customHeight="1">
      <c r="A26" s="28">
        <v>5</v>
      </c>
      <c r="B26" s="149" t="s">
        <v>6</v>
      </c>
      <c r="C26" s="43" t="s">
        <v>425</v>
      </c>
      <c r="D26" s="28" t="s">
        <v>66</v>
      </c>
      <c r="E26" s="28"/>
      <c r="F26" s="312">
        <f>F13+F19</f>
        <v>1810</v>
      </c>
      <c r="G26" s="30"/>
      <c r="H26" s="30"/>
      <c r="I26" s="30"/>
      <c r="J26" s="30"/>
      <c r="K26" s="30"/>
      <c r="L26" s="30"/>
      <c r="M26" s="30"/>
    </row>
    <row r="27" spans="1:13" s="268" customFormat="1" ht="13.5">
      <c r="A27" s="1"/>
      <c r="B27" s="120"/>
      <c r="C27" s="19" t="s">
        <v>54</v>
      </c>
      <c r="D27" s="1" t="s">
        <v>366</v>
      </c>
      <c r="E27" s="1">
        <v>0.00323</v>
      </c>
      <c r="F27" s="2">
        <f>F26*E27</f>
        <v>5.846299999999999</v>
      </c>
      <c r="G27" s="13"/>
      <c r="H27" s="13"/>
      <c r="I27" s="13">
        <v>6</v>
      </c>
      <c r="J27" s="13">
        <f>F27*I27</f>
        <v>35.077799999999996</v>
      </c>
      <c r="K27" s="13"/>
      <c r="L27" s="13"/>
      <c r="M27" s="13">
        <f>H27+J27+L27</f>
        <v>35.077799999999996</v>
      </c>
    </row>
    <row r="28" spans="1:13" s="268" customFormat="1" ht="14.25" customHeight="1">
      <c r="A28" s="1"/>
      <c r="B28" s="120"/>
      <c r="C28" s="19" t="s">
        <v>7</v>
      </c>
      <c r="D28" s="14" t="s">
        <v>365</v>
      </c>
      <c r="E28" s="1">
        <v>0.00362</v>
      </c>
      <c r="F28" s="2">
        <f>F26*E28</f>
        <v>6.5522</v>
      </c>
      <c r="G28" s="13"/>
      <c r="H28" s="13"/>
      <c r="I28" s="13"/>
      <c r="J28" s="13"/>
      <c r="K28" s="13">
        <v>31.83</v>
      </c>
      <c r="L28" s="13">
        <f>F28*K28</f>
        <v>208.556526</v>
      </c>
      <c r="M28" s="13">
        <f>H28+J28+L28</f>
        <v>208.556526</v>
      </c>
    </row>
    <row r="29" spans="1:13" s="268" customFormat="1" ht="13.5" customHeight="1">
      <c r="A29" s="1"/>
      <c r="B29" s="120"/>
      <c r="C29" s="19" t="s">
        <v>62</v>
      </c>
      <c r="D29" s="1" t="s">
        <v>43</v>
      </c>
      <c r="E29" s="1">
        <v>0.00018</v>
      </c>
      <c r="F29" s="2">
        <f>F26*E29</f>
        <v>0.32580000000000003</v>
      </c>
      <c r="G29" s="13"/>
      <c r="H29" s="13"/>
      <c r="I29" s="13"/>
      <c r="J29" s="13"/>
      <c r="K29" s="13">
        <v>3.2</v>
      </c>
      <c r="L29" s="13">
        <f>F29*K29</f>
        <v>1.0425600000000002</v>
      </c>
      <c r="M29" s="13">
        <f>H29+J29+L29</f>
        <v>1.0425600000000002</v>
      </c>
    </row>
    <row r="30" spans="1:13" s="268" customFormat="1" ht="16.5" customHeight="1">
      <c r="A30" s="1"/>
      <c r="B30" s="120"/>
      <c r="C30" s="19" t="s">
        <v>56</v>
      </c>
      <c r="D30" s="1"/>
      <c r="E30" s="1"/>
      <c r="F30" s="2"/>
      <c r="G30" s="13"/>
      <c r="H30" s="13"/>
      <c r="I30" s="13"/>
      <c r="J30" s="13"/>
      <c r="K30" s="13"/>
      <c r="L30" s="13"/>
      <c r="M30" s="13"/>
    </row>
    <row r="31" spans="1:13" s="268" customFormat="1" ht="14.25" customHeight="1">
      <c r="A31" s="1"/>
      <c r="B31" s="120"/>
      <c r="C31" s="19" t="s">
        <v>159</v>
      </c>
      <c r="D31" s="1" t="s">
        <v>66</v>
      </c>
      <c r="E31" s="1">
        <v>4E-05</v>
      </c>
      <c r="F31" s="2">
        <f>F26*E31</f>
        <v>0.0724</v>
      </c>
      <c r="G31" s="13">
        <v>15.7</v>
      </c>
      <c r="H31" s="13">
        <f>F31*G31</f>
        <v>1.1366800000000001</v>
      </c>
      <c r="I31" s="13"/>
      <c r="J31" s="13"/>
      <c r="K31" s="13"/>
      <c r="L31" s="13"/>
      <c r="M31" s="13">
        <f>H31+J31+L31</f>
        <v>1.1366800000000001</v>
      </c>
    </row>
    <row r="32" spans="1:13" s="121" customFormat="1" ht="27" customHeight="1">
      <c r="A32" s="28">
        <v>6</v>
      </c>
      <c r="B32" s="149" t="s">
        <v>357</v>
      </c>
      <c r="C32" s="43" t="s">
        <v>344</v>
      </c>
      <c r="D32" s="28" t="s">
        <v>66</v>
      </c>
      <c r="E32" s="28"/>
      <c r="F32" s="164">
        <f>F10</f>
        <v>200</v>
      </c>
      <c r="G32" s="30"/>
      <c r="H32" s="30"/>
      <c r="I32" s="30"/>
      <c r="J32" s="30"/>
      <c r="K32" s="30"/>
      <c r="L32" s="30"/>
      <c r="M32" s="30"/>
    </row>
    <row r="33" spans="1:13" s="121" customFormat="1" ht="15.75" customHeight="1">
      <c r="A33" s="1"/>
      <c r="B33" s="120"/>
      <c r="C33" s="19" t="s">
        <v>199</v>
      </c>
      <c r="D33" s="14" t="s">
        <v>365</v>
      </c>
      <c r="E33" s="1">
        <v>0.00749</v>
      </c>
      <c r="F33" s="13">
        <f>F32*E33</f>
        <v>1.498</v>
      </c>
      <c r="G33" s="13"/>
      <c r="H33" s="13"/>
      <c r="I33" s="13"/>
      <c r="J33" s="13"/>
      <c r="K33" s="13">
        <v>24.9</v>
      </c>
      <c r="L33" s="13">
        <f>F33*K33</f>
        <v>37.3002</v>
      </c>
      <c r="M33" s="13">
        <f>H33+J33+L33</f>
        <v>37.3002</v>
      </c>
    </row>
    <row r="34" spans="1:13" s="121" customFormat="1" ht="16.5" customHeight="1">
      <c r="A34" s="28">
        <v>7</v>
      </c>
      <c r="B34" s="149" t="s">
        <v>196</v>
      </c>
      <c r="C34" s="43" t="s">
        <v>197</v>
      </c>
      <c r="D34" s="28" t="s">
        <v>66</v>
      </c>
      <c r="E34" s="28"/>
      <c r="F34" s="164">
        <f>F32</f>
        <v>200</v>
      </c>
      <c r="G34" s="30"/>
      <c r="H34" s="30"/>
      <c r="I34" s="30"/>
      <c r="J34" s="30"/>
      <c r="K34" s="30"/>
      <c r="L34" s="30"/>
      <c r="M34" s="30"/>
    </row>
    <row r="35" spans="1:13" s="121" customFormat="1" ht="14.25" customHeight="1">
      <c r="A35" s="1"/>
      <c r="B35" s="120"/>
      <c r="C35" s="19" t="s">
        <v>54</v>
      </c>
      <c r="D35" s="1" t="s">
        <v>366</v>
      </c>
      <c r="E35" s="1">
        <v>0.134</v>
      </c>
      <c r="F35" s="13">
        <f>F34*E35</f>
        <v>26.8</v>
      </c>
      <c r="G35" s="13"/>
      <c r="H35" s="13"/>
      <c r="I35" s="13">
        <v>6</v>
      </c>
      <c r="J35" s="13">
        <f>F35*I35</f>
        <v>160.8</v>
      </c>
      <c r="K35" s="13"/>
      <c r="L35" s="13"/>
      <c r="M35" s="13">
        <f>H35+J35+L35</f>
        <v>160.8</v>
      </c>
    </row>
    <row r="36" spans="1:13" s="121" customFormat="1" ht="15" customHeight="1">
      <c r="A36" s="1"/>
      <c r="B36" s="120"/>
      <c r="C36" s="19" t="s">
        <v>162</v>
      </c>
      <c r="D36" s="14" t="s">
        <v>365</v>
      </c>
      <c r="E36" s="1">
        <v>0.13</v>
      </c>
      <c r="F36" s="13">
        <f>F34*E36</f>
        <v>26</v>
      </c>
      <c r="G36" s="13"/>
      <c r="H36" s="13"/>
      <c r="I36" s="13"/>
      <c r="J36" s="13"/>
      <c r="K36" s="13">
        <v>2.06</v>
      </c>
      <c r="L36" s="13">
        <f>F36*K36</f>
        <v>53.56</v>
      </c>
      <c r="M36" s="13">
        <f>H36+J36+L36</f>
        <v>53.56</v>
      </c>
    </row>
    <row r="37" spans="1:13" s="135" customFormat="1" ht="13.5">
      <c r="A37" s="52"/>
      <c r="B37" s="325"/>
      <c r="C37" s="277" t="s">
        <v>87</v>
      </c>
      <c r="D37" s="52"/>
      <c r="E37" s="52"/>
      <c r="F37" s="161"/>
      <c r="G37" s="161"/>
      <c r="H37" s="161">
        <f>SUM(H10:H36)</f>
        <v>2.826</v>
      </c>
      <c r="I37" s="161"/>
      <c r="J37" s="161">
        <f>SUM(J10:J36)</f>
        <v>504.6978</v>
      </c>
      <c r="K37" s="161"/>
      <c r="L37" s="161">
        <f>SUM(L10:L36)</f>
        <v>17788.638056000003</v>
      </c>
      <c r="M37" s="161">
        <f>SUM(M10:M36)</f>
        <v>18296.161856</v>
      </c>
    </row>
    <row r="38" spans="1:13" s="328" customFormat="1" ht="18.75" customHeight="1">
      <c r="A38" s="74"/>
      <c r="B38" s="326"/>
      <c r="C38" s="327" t="s">
        <v>11</v>
      </c>
      <c r="D38" s="74"/>
      <c r="E38" s="74"/>
      <c r="F38" s="108"/>
      <c r="G38" s="108"/>
      <c r="H38" s="108"/>
      <c r="I38" s="108"/>
      <c r="J38" s="108"/>
      <c r="K38" s="108"/>
      <c r="L38" s="108"/>
      <c r="M38" s="108"/>
    </row>
    <row r="39" spans="1:13" s="135" customFormat="1" ht="27">
      <c r="A39" s="28">
        <v>8</v>
      </c>
      <c r="B39" s="149" t="s">
        <v>31</v>
      </c>
      <c r="C39" s="43" t="s">
        <v>192</v>
      </c>
      <c r="D39" s="28" t="s">
        <v>66</v>
      </c>
      <c r="E39" s="28"/>
      <c r="F39" s="164">
        <v>88</v>
      </c>
      <c r="G39" s="30"/>
      <c r="H39" s="30"/>
      <c r="I39" s="30"/>
      <c r="J39" s="30"/>
      <c r="K39" s="30"/>
      <c r="L39" s="30"/>
      <c r="M39" s="30"/>
    </row>
    <row r="40" spans="1:13" s="135" customFormat="1" ht="15.75" customHeight="1">
      <c r="A40" s="1"/>
      <c r="B40" s="120"/>
      <c r="C40" s="4" t="s">
        <v>54</v>
      </c>
      <c r="D40" s="1" t="s">
        <v>366</v>
      </c>
      <c r="E40" s="1">
        <v>0.89</v>
      </c>
      <c r="F40" s="13">
        <f>F39*E40</f>
        <v>78.32000000000001</v>
      </c>
      <c r="G40" s="13"/>
      <c r="H40" s="13"/>
      <c r="I40" s="13">
        <v>7.8</v>
      </c>
      <c r="J40" s="13">
        <f>F40*I40</f>
        <v>610.8960000000001</v>
      </c>
      <c r="K40" s="13"/>
      <c r="L40" s="13"/>
      <c r="M40" s="13">
        <f>H40+J40+L40</f>
        <v>610.8960000000001</v>
      </c>
    </row>
    <row r="41" spans="1:13" s="135" customFormat="1" ht="13.5">
      <c r="A41" s="1"/>
      <c r="B41" s="120"/>
      <c r="C41" s="4" t="s">
        <v>62</v>
      </c>
      <c r="D41" s="1" t="s">
        <v>43</v>
      </c>
      <c r="E41" s="1">
        <v>0.37</v>
      </c>
      <c r="F41" s="13">
        <f>F39*E41</f>
        <v>32.56</v>
      </c>
      <c r="G41" s="13"/>
      <c r="H41" s="13"/>
      <c r="I41" s="13"/>
      <c r="J41" s="13"/>
      <c r="K41" s="13">
        <v>3.2</v>
      </c>
      <c r="L41" s="13">
        <f>F41*K41</f>
        <v>104.19200000000001</v>
      </c>
      <c r="M41" s="13">
        <f>H41+J41+L41</f>
        <v>104.19200000000001</v>
      </c>
    </row>
    <row r="42" spans="1:13" s="135" customFormat="1" ht="13.5">
      <c r="A42" s="1"/>
      <c r="B42" s="120"/>
      <c r="C42" s="4" t="s">
        <v>56</v>
      </c>
      <c r="D42" s="1"/>
      <c r="E42" s="1"/>
      <c r="F42" s="13">
        <f>E42*2353</f>
        <v>0</v>
      </c>
      <c r="G42" s="13"/>
      <c r="H42" s="13"/>
      <c r="I42" s="13"/>
      <c r="J42" s="13"/>
      <c r="K42" s="13"/>
      <c r="L42" s="13"/>
      <c r="M42" s="13"/>
    </row>
    <row r="43" spans="1:13" s="135" customFormat="1" ht="13.5">
      <c r="A43" s="1"/>
      <c r="B43" s="120"/>
      <c r="C43" s="4" t="s">
        <v>12</v>
      </c>
      <c r="D43" s="1" t="s">
        <v>66</v>
      </c>
      <c r="E43" s="1">
        <v>1.15</v>
      </c>
      <c r="F43" s="13">
        <f>F39*E43</f>
        <v>101.19999999999999</v>
      </c>
      <c r="G43" s="13">
        <v>14.8</v>
      </c>
      <c r="H43" s="13">
        <f>F43*G43</f>
        <v>1497.76</v>
      </c>
      <c r="I43" s="13"/>
      <c r="J43" s="13"/>
      <c r="K43" s="13"/>
      <c r="L43" s="13"/>
      <c r="M43" s="13">
        <f>H43+J43+L43</f>
        <v>1497.76</v>
      </c>
    </row>
    <row r="44" spans="1:13" s="135" customFormat="1" ht="13.5">
      <c r="A44" s="1"/>
      <c r="B44" s="120"/>
      <c r="C44" s="4" t="s">
        <v>57</v>
      </c>
      <c r="D44" s="1" t="s">
        <v>43</v>
      </c>
      <c r="E44" s="1">
        <v>0.02</v>
      </c>
      <c r="F44" s="13">
        <f>F39*E44</f>
        <v>1.76</v>
      </c>
      <c r="G44" s="13">
        <v>3.2</v>
      </c>
      <c r="H44" s="13">
        <f>F44*G44</f>
        <v>5.632000000000001</v>
      </c>
      <c r="I44" s="13"/>
      <c r="J44" s="13"/>
      <c r="K44" s="13"/>
      <c r="L44" s="13"/>
      <c r="M44" s="13">
        <f>H44+J44+L44</f>
        <v>5.632000000000001</v>
      </c>
    </row>
    <row r="45" spans="1:13" s="121" customFormat="1" ht="15" customHeight="1">
      <c r="A45" s="28">
        <v>9</v>
      </c>
      <c r="B45" s="149" t="s">
        <v>149</v>
      </c>
      <c r="C45" s="43" t="s">
        <v>429</v>
      </c>
      <c r="D45" s="28" t="s">
        <v>66</v>
      </c>
      <c r="E45" s="28"/>
      <c r="F45" s="164">
        <v>86</v>
      </c>
      <c r="G45" s="30"/>
      <c r="H45" s="30"/>
      <c r="I45" s="30"/>
      <c r="J45" s="30"/>
      <c r="K45" s="30"/>
      <c r="L45" s="30"/>
      <c r="M45" s="30"/>
    </row>
    <row r="46" spans="1:13" s="121" customFormat="1" ht="15" customHeight="1">
      <c r="A46" s="1"/>
      <c r="B46" s="125"/>
      <c r="C46" s="4" t="s">
        <v>54</v>
      </c>
      <c r="D46" s="1" t="s">
        <v>366</v>
      </c>
      <c r="E46" s="1">
        <v>1.37</v>
      </c>
      <c r="F46" s="13">
        <f>F45*E46</f>
        <v>117.82000000000001</v>
      </c>
      <c r="G46" s="13"/>
      <c r="H46" s="13"/>
      <c r="I46" s="13">
        <v>6</v>
      </c>
      <c r="J46" s="13">
        <f>F46*I46</f>
        <v>706.9200000000001</v>
      </c>
      <c r="K46" s="13"/>
      <c r="L46" s="13"/>
      <c r="M46" s="13">
        <f>H46+J46+L46</f>
        <v>706.9200000000001</v>
      </c>
    </row>
    <row r="47" spans="1:13" s="121" customFormat="1" ht="13.5">
      <c r="A47" s="1"/>
      <c r="B47" s="125"/>
      <c r="C47" s="4" t="s">
        <v>62</v>
      </c>
      <c r="D47" s="1" t="s">
        <v>43</v>
      </c>
      <c r="E47" s="1">
        <v>0.283</v>
      </c>
      <c r="F47" s="13">
        <f>F45*E47</f>
        <v>24.337999999999997</v>
      </c>
      <c r="G47" s="13"/>
      <c r="H47" s="13"/>
      <c r="I47" s="13"/>
      <c r="J47" s="13"/>
      <c r="K47" s="13">
        <v>3.2</v>
      </c>
      <c r="L47" s="13">
        <f>F47*K47</f>
        <v>77.88159999999999</v>
      </c>
      <c r="M47" s="13">
        <f>H47+J47+L47</f>
        <v>77.88159999999999</v>
      </c>
    </row>
    <row r="48" spans="1:13" s="121" customFormat="1" ht="13.5">
      <c r="A48" s="1"/>
      <c r="B48" s="125"/>
      <c r="C48" s="4" t="s">
        <v>56</v>
      </c>
      <c r="D48" s="1"/>
      <c r="E48" s="1"/>
      <c r="F48" s="13">
        <f>E48*2353</f>
        <v>0</v>
      </c>
      <c r="G48" s="13"/>
      <c r="H48" s="13"/>
      <c r="I48" s="13"/>
      <c r="J48" s="13"/>
      <c r="K48" s="13"/>
      <c r="L48" s="13"/>
      <c r="M48" s="13"/>
    </row>
    <row r="49" spans="1:13" s="121" customFormat="1" ht="13.5">
      <c r="A49" s="1"/>
      <c r="B49" s="125"/>
      <c r="C49" s="4" t="s">
        <v>430</v>
      </c>
      <c r="D49" s="1" t="s">
        <v>66</v>
      </c>
      <c r="E49" s="1">
        <v>1.02</v>
      </c>
      <c r="F49" s="13">
        <f>F45*E49</f>
        <v>87.72</v>
      </c>
      <c r="G49" s="13">
        <v>97</v>
      </c>
      <c r="H49" s="13">
        <f>F49*G49</f>
        <v>8508.84</v>
      </c>
      <c r="I49" s="13"/>
      <c r="J49" s="13"/>
      <c r="K49" s="13"/>
      <c r="L49" s="13"/>
      <c r="M49" s="13">
        <f>H49+J49+L49</f>
        <v>8508.84</v>
      </c>
    </row>
    <row r="50" spans="1:13" s="121" customFormat="1" ht="13.5">
      <c r="A50" s="1"/>
      <c r="B50" s="125"/>
      <c r="C50" s="4" t="s">
        <v>57</v>
      </c>
      <c r="D50" s="1" t="s">
        <v>43</v>
      </c>
      <c r="E50" s="1">
        <v>0.62</v>
      </c>
      <c r="F50" s="13">
        <f>F45*E50</f>
        <v>53.32</v>
      </c>
      <c r="G50" s="13">
        <v>3.2</v>
      </c>
      <c r="H50" s="13">
        <f>F50*G50</f>
        <v>170.62400000000002</v>
      </c>
      <c r="I50" s="13"/>
      <c r="J50" s="13"/>
      <c r="K50" s="13"/>
      <c r="L50" s="13"/>
      <c r="M50" s="13">
        <f>H50+J50+L50</f>
        <v>170.62400000000002</v>
      </c>
    </row>
    <row r="51" spans="1:13" s="121" customFormat="1" ht="29.25" customHeight="1">
      <c r="A51" s="28">
        <v>10</v>
      </c>
      <c r="B51" s="149" t="s">
        <v>432</v>
      </c>
      <c r="C51" s="43" t="s">
        <v>431</v>
      </c>
      <c r="D51" s="28" t="s">
        <v>66</v>
      </c>
      <c r="E51" s="28"/>
      <c r="F51" s="164">
        <v>421.2</v>
      </c>
      <c r="G51" s="30"/>
      <c r="H51" s="30"/>
      <c r="I51" s="30"/>
      <c r="J51" s="30"/>
      <c r="K51" s="30"/>
      <c r="L51" s="30"/>
      <c r="M51" s="30"/>
    </row>
    <row r="52" spans="1:13" s="121" customFormat="1" ht="15" customHeight="1">
      <c r="A52" s="1"/>
      <c r="B52" s="120"/>
      <c r="C52" s="4" t="s">
        <v>54</v>
      </c>
      <c r="D52" s="1" t="s">
        <v>366</v>
      </c>
      <c r="E52" s="1">
        <v>1.87</v>
      </c>
      <c r="F52" s="13">
        <f>F51*E52</f>
        <v>787.644</v>
      </c>
      <c r="G52" s="13"/>
      <c r="H52" s="13"/>
      <c r="I52" s="13">
        <v>6</v>
      </c>
      <c r="J52" s="13">
        <f>F52*I52</f>
        <v>4725.864</v>
      </c>
      <c r="K52" s="13"/>
      <c r="L52" s="13"/>
      <c r="M52" s="13">
        <f>H52+J52+L52</f>
        <v>4725.864</v>
      </c>
    </row>
    <row r="53" spans="1:13" s="121" customFormat="1" ht="13.5">
      <c r="A53" s="1"/>
      <c r="B53" s="120"/>
      <c r="C53" s="4" t="s">
        <v>62</v>
      </c>
      <c r="D53" s="1" t="s">
        <v>43</v>
      </c>
      <c r="E53" s="1">
        <v>0.77</v>
      </c>
      <c r="F53" s="13">
        <f>F51*E53</f>
        <v>324.324</v>
      </c>
      <c r="G53" s="13"/>
      <c r="H53" s="13"/>
      <c r="I53" s="13"/>
      <c r="J53" s="13"/>
      <c r="K53" s="13">
        <v>3.2</v>
      </c>
      <c r="L53" s="13">
        <f>F53*K53</f>
        <v>1037.8368</v>
      </c>
      <c r="M53" s="13">
        <f>H53+J53+L53</f>
        <v>1037.8368</v>
      </c>
    </row>
    <row r="54" spans="1:13" s="121" customFormat="1" ht="13.5">
      <c r="A54" s="1"/>
      <c r="B54" s="120"/>
      <c r="C54" s="4" t="s">
        <v>56</v>
      </c>
      <c r="D54" s="1"/>
      <c r="E54" s="1"/>
      <c r="F54" s="13">
        <f>E54*2353</f>
        <v>0</v>
      </c>
      <c r="G54" s="13"/>
      <c r="H54" s="13"/>
      <c r="I54" s="13"/>
      <c r="J54" s="13"/>
      <c r="K54" s="13"/>
      <c r="L54" s="13"/>
      <c r="M54" s="13"/>
    </row>
    <row r="55" spans="1:13" s="121" customFormat="1" ht="13.5">
      <c r="A55" s="1"/>
      <c r="B55" s="120"/>
      <c r="C55" s="4" t="s">
        <v>433</v>
      </c>
      <c r="D55" s="1" t="s">
        <v>66</v>
      </c>
      <c r="E55" s="1">
        <v>1.015</v>
      </c>
      <c r="F55" s="13">
        <f>F51*E55</f>
        <v>427.518</v>
      </c>
      <c r="G55" s="13">
        <v>123</v>
      </c>
      <c r="H55" s="13">
        <f>F55*G55</f>
        <v>52584.714</v>
      </c>
      <c r="I55" s="13"/>
      <c r="J55" s="13"/>
      <c r="K55" s="13"/>
      <c r="L55" s="13"/>
      <c r="M55" s="13">
        <f>H55+J55+L55</f>
        <v>52584.714</v>
      </c>
    </row>
    <row r="56" spans="1:13" s="121" customFormat="1" ht="13.5">
      <c r="A56" s="1"/>
      <c r="B56" s="120"/>
      <c r="C56" s="4" t="s">
        <v>144</v>
      </c>
      <c r="D56" s="1" t="s">
        <v>64</v>
      </c>
      <c r="E56" s="1">
        <v>0.0754</v>
      </c>
      <c r="F56" s="13">
        <f>F51*E56</f>
        <v>31.75848</v>
      </c>
      <c r="G56" s="13">
        <v>15</v>
      </c>
      <c r="H56" s="13">
        <f>F56*G56</f>
        <v>476.37719999999996</v>
      </c>
      <c r="I56" s="13"/>
      <c r="J56" s="13"/>
      <c r="K56" s="13"/>
      <c r="L56" s="13"/>
      <c r="M56" s="13">
        <f>H56+J56+L56</f>
        <v>476.37719999999996</v>
      </c>
    </row>
    <row r="57" spans="1:13" s="121" customFormat="1" ht="13.5">
      <c r="A57" s="1"/>
      <c r="B57" s="120"/>
      <c r="C57" s="4" t="s">
        <v>145</v>
      </c>
      <c r="D57" s="1" t="s">
        <v>66</v>
      </c>
      <c r="E57" s="1">
        <v>0.0008</v>
      </c>
      <c r="F57" s="13">
        <f>F51*E57</f>
        <v>0.33696</v>
      </c>
      <c r="G57" s="13">
        <v>475</v>
      </c>
      <c r="H57" s="13">
        <f>F57*G57</f>
        <v>160.05599999999998</v>
      </c>
      <c r="I57" s="13"/>
      <c r="J57" s="13"/>
      <c r="K57" s="13"/>
      <c r="L57" s="13"/>
      <c r="M57" s="13">
        <f>H57+J57+L57</f>
        <v>160.05599999999998</v>
      </c>
    </row>
    <row r="58" spans="1:13" s="121" customFormat="1" ht="13.5">
      <c r="A58" s="1"/>
      <c r="B58" s="120"/>
      <c r="C58" s="4" t="s">
        <v>57</v>
      </c>
      <c r="D58" s="1" t="s">
        <v>43</v>
      </c>
      <c r="E58" s="1">
        <v>0.07</v>
      </c>
      <c r="F58" s="13">
        <f>F51*E58</f>
        <v>29.484</v>
      </c>
      <c r="G58" s="13">
        <v>3.2</v>
      </c>
      <c r="H58" s="13">
        <f>F58*G58</f>
        <v>94.34880000000001</v>
      </c>
      <c r="I58" s="13"/>
      <c r="J58" s="13"/>
      <c r="K58" s="13"/>
      <c r="L58" s="13"/>
      <c r="M58" s="13">
        <f>H58+J58+L58</f>
        <v>94.34880000000001</v>
      </c>
    </row>
    <row r="59" spans="1:13" s="268" customFormat="1" ht="14.25" customHeight="1">
      <c r="A59" s="47">
        <v>11</v>
      </c>
      <c r="B59" s="126"/>
      <c r="C59" s="38" t="s">
        <v>148</v>
      </c>
      <c r="D59" s="47" t="s">
        <v>75</v>
      </c>
      <c r="E59" s="47"/>
      <c r="F59" s="189">
        <f>28.3795+0.5</f>
        <v>28.8795</v>
      </c>
      <c r="G59" s="108">
        <v>1542</v>
      </c>
      <c r="H59" s="108">
        <f>F59*G59</f>
        <v>44532.189</v>
      </c>
      <c r="I59" s="108"/>
      <c r="J59" s="108"/>
      <c r="K59" s="108"/>
      <c r="L59" s="108"/>
      <c r="M59" s="108">
        <f>H59+J59+L59</f>
        <v>44532.189</v>
      </c>
    </row>
    <row r="60" spans="1:13" s="121" customFormat="1" ht="27.75" customHeight="1">
      <c r="A60" s="28">
        <v>12</v>
      </c>
      <c r="B60" s="149" t="s">
        <v>191</v>
      </c>
      <c r="C60" s="43" t="s">
        <v>441</v>
      </c>
      <c r="D60" s="28" t="s">
        <v>64</v>
      </c>
      <c r="E60" s="28"/>
      <c r="F60" s="312">
        <v>843</v>
      </c>
      <c r="G60" s="30"/>
      <c r="H60" s="30"/>
      <c r="I60" s="30"/>
      <c r="J60" s="30"/>
      <c r="K60" s="30"/>
      <c r="L60" s="30"/>
      <c r="M60" s="30"/>
    </row>
    <row r="61" spans="1:13" s="121" customFormat="1" ht="15.75" customHeight="1">
      <c r="A61" s="1"/>
      <c r="B61" s="120"/>
      <c r="C61" s="4" t="s">
        <v>54</v>
      </c>
      <c r="D61" s="1" t="s">
        <v>366</v>
      </c>
      <c r="E61" s="1">
        <v>0.197</v>
      </c>
      <c r="F61" s="13">
        <f>F60*E61</f>
        <v>166.071</v>
      </c>
      <c r="G61" s="13"/>
      <c r="H61" s="13"/>
      <c r="I61" s="13">
        <v>7.8</v>
      </c>
      <c r="J61" s="13">
        <f>F61*I61</f>
        <v>1295.3537999999999</v>
      </c>
      <c r="K61" s="13"/>
      <c r="L61" s="13"/>
      <c r="M61" s="13">
        <f>H61+J61+L61</f>
        <v>1295.3537999999999</v>
      </c>
    </row>
    <row r="62" spans="1:13" s="121" customFormat="1" ht="13.5">
      <c r="A62" s="1"/>
      <c r="B62" s="120"/>
      <c r="C62" s="4" t="s">
        <v>62</v>
      </c>
      <c r="D62" s="1" t="s">
        <v>43</v>
      </c>
      <c r="E62" s="1">
        <v>0.0437</v>
      </c>
      <c r="F62" s="13">
        <f>F60*E62</f>
        <v>36.8391</v>
      </c>
      <c r="G62" s="13"/>
      <c r="H62" s="13"/>
      <c r="I62" s="13"/>
      <c r="J62" s="13"/>
      <c r="K62" s="13">
        <v>3.2</v>
      </c>
      <c r="L62" s="13">
        <f>F62*K62</f>
        <v>117.88512000000001</v>
      </c>
      <c r="M62" s="13">
        <f>H62+J62+L62</f>
        <v>117.88512000000001</v>
      </c>
    </row>
    <row r="63" spans="1:13" s="121" customFormat="1" ht="13.5">
      <c r="A63" s="1"/>
      <c r="B63" s="120"/>
      <c r="C63" s="4" t="s">
        <v>56</v>
      </c>
      <c r="D63" s="1"/>
      <c r="E63" s="1"/>
      <c r="F63" s="13"/>
      <c r="G63" s="13"/>
      <c r="H63" s="13"/>
      <c r="I63" s="13"/>
      <c r="J63" s="13"/>
      <c r="K63" s="13"/>
      <c r="L63" s="13"/>
      <c r="M63" s="13"/>
    </row>
    <row r="64" spans="1:13" s="121" customFormat="1" ht="13.5">
      <c r="A64" s="1"/>
      <c r="B64" s="120"/>
      <c r="C64" s="4" t="s">
        <v>150</v>
      </c>
      <c r="D64" s="1" t="s">
        <v>66</v>
      </c>
      <c r="E64" s="1">
        <v>0.025</v>
      </c>
      <c r="F64" s="13">
        <f>F60*E64</f>
        <v>21.075000000000003</v>
      </c>
      <c r="G64" s="13">
        <v>70</v>
      </c>
      <c r="H64" s="13">
        <f>F64*G64</f>
        <v>1475.2500000000002</v>
      </c>
      <c r="I64" s="13"/>
      <c r="J64" s="13"/>
      <c r="K64" s="13"/>
      <c r="L64" s="13"/>
      <c r="M64" s="13">
        <f>H64+J64+L64</f>
        <v>1475.2500000000002</v>
      </c>
    </row>
    <row r="65" spans="1:13" s="121" customFormat="1" ht="13.5">
      <c r="A65" s="1"/>
      <c r="B65" s="120"/>
      <c r="C65" s="4" t="s">
        <v>177</v>
      </c>
      <c r="D65" s="1" t="s">
        <v>64</v>
      </c>
      <c r="E65" s="1">
        <v>2.2</v>
      </c>
      <c r="F65" s="13">
        <f>F60*E65</f>
        <v>1854.6000000000001</v>
      </c>
      <c r="G65" s="13">
        <v>4.1</v>
      </c>
      <c r="H65" s="13">
        <f>F65*G65</f>
        <v>7603.86</v>
      </c>
      <c r="I65" s="13"/>
      <c r="J65" s="13"/>
      <c r="K65" s="13"/>
      <c r="L65" s="13"/>
      <c r="M65" s="13">
        <f>H65+J65+L65</f>
        <v>7603.86</v>
      </c>
    </row>
    <row r="66" spans="1:13" s="121" customFormat="1" ht="13.5">
      <c r="A66" s="1"/>
      <c r="B66" s="120"/>
      <c r="C66" s="4" t="s">
        <v>368</v>
      </c>
      <c r="D66" s="1" t="s">
        <v>75</v>
      </c>
      <c r="E66" s="1">
        <v>0.0042</v>
      </c>
      <c r="F66" s="13">
        <f>F60*E66</f>
        <v>3.5406</v>
      </c>
      <c r="G66" s="13">
        <v>975</v>
      </c>
      <c r="H66" s="13">
        <f>F66*G66</f>
        <v>3452.085</v>
      </c>
      <c r="I66" s="13"/>
      <c r="J66" s="13"/>
      <c r="K66" s="13"/>
      <c r="L66" s="13"/>
      <c r="M66" s="13">
        <f>H66+J66+L66</f>
        <v>3452.085</v>
      </c>
    </row>
    <row r="67" spans="1:13" s="121" customFormat="1" ht="13.5">
      <c r="A67" s="1"/>
      <c r="B67" s="120"/>
      <c r="C67" s="4" t="s">
        <v>57</v>
      </c>
      <c r="D67" s="1" t="s">
        <v>43</v>
      </c>
      <c r="E67" s="1">
        <v>0.072</v>
      </c>
      <c r="F67" s="13">
        <f>F60*E67</f>
        <v>60.696</v>
      </c>
      <c r="G67" s="13">
        <v>3.2</v>
      </c>
      <c r="H67" s="13">
        <f>F67*G67</f>
        <v>194.2272</v>
      </c>
      <c r="I67" s="13"/>
      <c r="J67" s="13"/>
      <c r="K67" s="13"/>
      <c r="L67" s="13"/>
      <c r="M67" s="13">
        <f>H67+J67+L67</f>
        <v>194.2272</v>
      </c>
    </row>
    <row r="68" spans="1:13" ht="13.5">
      <c r="A68" s="52"/>
      <c r="B68" s="325"/>
      <c r="C68" s="277" t="s">
        <v>88</v>
      </c>
      <c r="D68" s="52"/>
      <c r="E68" s="52"/>
      <c r="F68" s="161"/>
      <c r="G68" s="161"/>
      <c r="H68" s="161">
        <f>SUM(H40:H67)</f>
        <v>120755.9632</v>
      </c>
      <c r="I68" s="161"/>
      <c r="J68" s="161">
        <f>SUM(J40:J67)</f>
        <v>7339.0338</v>
      </c>
      <c r="K68" s="161"/>
      <c r="L68" s="161">
        <f>SUM(L40:L67)</f>
        <v>1337.79552</v>
      </c>
      <c r="M68" s="161">
        <f>SUM(M39:M67)</f>
        <v>129432.79252</v>
      </c>
    </row>
    <row r="69" spans="1:13" s="329" customFormat="1" ht="33">
      <c r="A69" s="74"/>
      <c r="B69" s="326"/>
      <c r="C69" s="327" t="s">
        <v>163</v>
      </c>
      <c r="D69" s="74"/>
      <c r="E69" s="74"/>
      <c r="F69" s="108"/>
      <c r="G69" s="108"/>
      <c r="H69" s="108"/>
      <c r="I69" s="108"/>
      <c r="J69" s="108"/>
      <c r="K69" s="108"/>
      <c r="L69" s="108"/>
      <c r="M69" s="108"/>
    </row>
    <row r="70" spans="1:13" s="121" customFormat="1" ht="28.5" customHeight="1">
      <c r="A70" s="1">
        <v>13</v>
      </c>
      <c r="B70" s="120" t="s">
        <v>236</v>
      </c>
      <c r="C70" s="43" t="s">
        <v>863</v>
      </c>
      <c r="D70" s="1" t="s">
        <v>66</v>
      </c>
      <c r="E70" s="1"/>
      <c r="F70" s="165">
        <v>163.6</v>
      </c>
      <c r="G70" s="13"/>
      <c r="H70" s="13"/>
      <c r="I70" s="13"/>
      <c r="J70" s="13"/>
      <c r="K70" s="13"/>
      <c r="L70" s="13"/>
      <c r="M70" s="13"/>
    </row>
    <row r="71" spans="1:13" s="121" customFormat="1" ht="15.75" customHeight="1">
      <c r="A71" s="1"/>
      <c r="B71" s="120"/>
      <c r="C71" s="4" t="s">
        <v>54</v>
      </c>
      <c r="D71" s="1" t="s">
        <v>366</v>
      </c>
      <c r="E71" s="1">
        <v>8.44</v>
      </c>
      <c r="F71" s="13">
        <f>F70*E71</f>
        <v>1380.7839999999999</v>
      </c>
      <c r="G71" s="13"/>
      <c r="H71" s="13"/>
      <c r="I71" s="13">
        <v>6</v>
      </c>
      <c r="J71" s="13">
        <f>F71*I71</f>
        <v>8284.704</v>
      </c>
      <c r="K71" s="13"/>
      <c r="L71" s="13"/>
      <c r="M71" s="13">
        <f>H71+J71+L71</f>
        <v>8284.704</v>
      </c>
    </row>
    <row r="72" spans="1:13" s="121" customFormat="1" ht="13.5">
      <c r="A72" s="1"/>
      <c r="B72" s="120"/>
      <c r="C72" s="4" t="s">
        <v>62</v>
      </c>
      <c r="D72" s="1" t="s">
        <v>43</v>
      </c>
      <c r="E72" s="1">
        <v>1.1</v>
      </c>
      <c r="F72" s="13">
        <f>F70*E72</f>
        <v>179.96</v>
      </c>
      <c r="G72" s="13"/>
      <c r="H72" s="13"/>
      <c r="I72" s="13"/>
      <c r="J72" s="13"/>
      <c r="K72" s="13">
        <v>3.2</v>
      </c>
      <c r="L72" s="13">
        <f>F72*K72</f>
        <v>575.8720000000001</v>
      </c>
      <c r="M72" s="13">
        <f>H72+J72+L72</f>
        <v>575.8720000000001</v>
      </c>
    </row>
    <row r="73" spans="1:13" s="121" customFormat="1" ht="13.5">
      <c r="A73" s="1"/>
      <c r="B73" s="120"/>
      <c r="C73" s="4" t="s">
        <v>56</v>
      </c>
      <c r="D73" s="1"/>
      <c r="E73" s="1"/>
      <c r="F73" s="13">
        <f>E73*2353</f>
        <v>0</v>
      </c>
      <c r="G73" s="13"/>
      <c r="H73" s="13"/>
      <c r="I73" s="13"/>
      <c r="J73" s="13"/>
      <c r="K73" s="13"/>
      <c r="L73" s="13"/>
      <c r="M73" s="13"/>
    </row>
    <row r="74" spans="1:13" s="121" customFormat="1" ht="13.5">
      <c r="A74" s="1"/>
      <c r="B74" s="120"/>
      <c r="C74" s="4" t="s">
        <v>433</v>
      </c>
      <c r="D74" s="1" t="s">
        <v>66</v>
      </c>
      <c r="E74" s="1">
        <v>1.015</v>
      </c>
      <c r="F74" s="13">
        <f>F70*E74</f>
        <v>166.05399999999997</v>
      </c>
      <c r="G74" s="13">
        <v>123</v>
      </c>
      <c r="H74" s="13">
        <f aca="true" t="shared" si="0" ref="H74:H80">F74*G74</f>
        <v>20424.641999999996</v>
      </c>
      <c r="I74" s="13"/>
      <c r="J74" s="13"/>
      <c r="K74" s="13"/>
      <c r="L74" s="13"/>
      <c r="M74" s="13">
        <f aca="true" t="shared" si="1" ref="M74:M80">H74+J74+L74</f>
        <v>20424.641999999996</v>
      </c>
    </row>
    <row r="75" spans="1:13" s="121" customFormat="1" ht="13.5">
      <c r="A75" s="1"/>
      <c r="B75" s="120"/>
      <c r="C75" s="4" t="s">
        <v>144</v>
      </c>
      <c r="D75" s="1" t="s">
        <v>64</v>
      </c>
      <c r="E75" s="1">
        <v>1.84</v>
      </c>
      <c r="F75" s="13">
        <f>F70*E75</f>
        <v>301.024</v>
      </c>
      <c r="G75" s="13">
        <v>15</v>
      </c>
      <c r="H75" s="13">
        <f t="shared" si="0"/>
        <v>4515.36</v>
      </c>
      <c r="I75" s="13"/>
      <c r="J75" s="13"/>
      <c r="K75" s="13"/>
      <c r="L75" s="13"/>
      <c r="M75" s="13">
        <f t="shared" si="1"/>
        <v>4515.36</v>
      </c>
    </row>
    <row r="76" spans="1:13" s="121" customFormat="1" ht="13.5">
      <c r="A76" s="1"/>
      <c r="B76" s="120"/>
      <c r="C76" s="4" t="s">
        <v>84</v>
      </c>
      <c r="D76" s="1" t="s">
        <v>66</v>
      </c>
      <c r="E76" s="1">
        <v>0.0034</v>
      </c>
      <c r="F76" s="13">
        <f>F70*E76</f>
        <v>0.55624</v>
      </c>
      <c r="G76" s="13">
        <v>590</v>
      </c>
      <c r="H76" s="13">
        <f t="shared" si="0"/>
        <v>328.18159999999995</v>
      </c>
      <c r="I76" s="13"/>
      <c r="J76" s="13"/>
      <c r="K76" s="13"/>
      <c r="L76" s="13"/>
      <c r="M76" s="13">
        <f t="shared" si="1"/>
        <v>328.18159999999995</v>
      </c>
    </row>
    <row r="77" spans="1:13" s="121" customFormat="1" ht="13.5">
      <c r="A77" s="1"/>
      <c r="B77" s="120"/>
      <c r="C77" s="4" t="s">
        <v>147</v>
      </c>
      <c r="D77" s="1" t="s">
        <v>66</v>
      </c>
      <c r="E77" s="1">
        <v>0.0391</v>
      </c>
      <c r="F77" s="13">
        <f>F70*E77</f>
        <v>6.3967600000000004</v>
      </c>
      <c r="G77" s="13">
        <v>475</v>
      </c>
      <c r="H77" s="13">
        <f t="shared" si="0"/>
        <v>3038.4610000000002</v>
      </c>
      <c r="I77" s="13"/>
      <c r="J77" s="13"/>
      <c r="K77" s="13"/>
      <c r="L77" s="13"/>
      <c r="M77" s="13">
        <f t="shared" si="1"/>
        <v>3038.4610000000002</v>
      </c>
    </row>
    <row r="78" spans="1:13" s="121" customFormat="1" ht="13.5">
      <c r="A78" s="1"/>
      <c r="B78" s="120"/>
      <c r="C78" s="4" t="s">
        <v>1</v>
      </c>
      <c r="D78" s="1" t="s">
        <v>65</v>
      </c>
      <c r="E78" s="1">
        <v>2.2</v>
      </c>
      <c r="F78" s="13">
        <f>F70*E78</f>
        <v>359.92</v>
      </c>
      <c r="G78" s="13">
        <v>2.9</v>
      </c>
      <c r="H78" s="13">
        <f t="shared" si="0"/>
        <v>1043.768</v>
      </c>
      <c r="I78" s="13"/>
      <c r="J78" s="13"/>
      <c r="K78" s="13"/>
      <c r="L78" s="13"/>
      <c r="M78" s="13">
        <f t="shared" si="1"/>
        <v>1043.768</v>
      </c>
    </row>
    <row r="79" spans="1:13" s="121" customFormat="1" ht="13.5">
      <c r="A79" s="1"/>
      <c r="B79" s="120"/>
      <c r="C79" s="4" t="s">
        <v>103</v>
      </c>
      <c r="D79" s="1" t="s">
        <v>65</v>
      </c>
      <c r="E79" s="1">
        <v>1</v>
      </c>
      <c r="F79" s="13">
        <f>F70*E79</f>
        <v>163.6</v>
      </c>
      <c r="G79" s="13">
        <v>3.8</v>
      </c>
      <c r="H79" s="13">
        <f t="shared" si="0"/>
        <v>621.68</v>
      </c>
      <c r="I79" s="13"/>
      <c r="J79" s="13"/>
      <c r="K79" s="13"/>
      <c r="L79" s="13"/>
      <c r="M79" s="13">
        <f t="shared" si="1"/>
        <v>621.68</v>
      </c>
    </row>
    <row r="80" spans="1:13" s="121" customFormat="1" ht="13.5">
      <c r="A80" s="1"/>
      <c r="B80" s="120"/>
      <c r="C80" s="4" t="s">
        <v>57</v>
      </c>
      <c r="D80" s="1" t="s">
        <v>43</v>
      </c>
      <c r="E80" s="1">
        <v>0.46</v>
      </c>
      <c r="F80" s="13">
        <f>F70*E80</f>
        <v>75.256</v>
      </c>
      <c r="G80" s="13">
        <v>3.2</v>
      </c>
      <c r="H80" s="13">
        <f t="shared" si="0"/>
        <v>240.81920000000002</v>
      </c>
      <c r="I80" s="13"/>
      <c r="J80" s="13"/>
      <c r="K80" s="13"/>
      <c r="L80" s="13"/>
      <c r="M80" s="13">
        <f t="shared" si="1"/>
        <v>240.81920000000002</v>
      </c>
    </row>
    <row r="81" spans="1:13" ht="13.5">
      <c r="A81" s="47">
        <v>14</v>
      </c>
      <c r="B81" s="126"/>
      <c r="C81" s="38" t="s">
        <v>189</v>
      </c>
      <c r="D81" s="47" t="s">
        <v>75</v>
      </c>
      <c r="E81" s="47"/>
      <c r="F81" s="189">
        <v>0.1458</v>
      </c>
      <c r="G81" s="108">
        <v>1600</v>
      </c>
      <c r="H81" s="108">
        <f>F81*G81</f>
        <v>233.28000000000003</v>
      </c>
      <c r="I81" s="108"/>
      <c r="J81" s="108"/>
      <c r="K81" s="108"/>
      <c r="L81" s="108"/>
      <c r="M81" s="108">
        <f>H81+J81+L81</f>
        <v>233.28000000000003</v>
      </c>
    </row>
    <row r="82" spans="1:13" ht="13.5">
      <c r="A82" s="47">
        <v>15</v>
      </c>
      <c r="B82" s="126"/>
      <c r="C82" s="38" t="s">
        <v>148</v>
      </c>
      <c r="D82" s="47" t="s">
        <v>75</v>
      </c>
      <c r="E82" s="47"/>
      <c r="F82" s="189">
        <f>4.7142+0.973</f>
        <v>5.6872</v>
      </c>
      <c r="G82" s="108">
        <v>1542</v>
      </c>
      <c r="H82" s="108">
        <f>F82*G82</f>
        <v>8769.6624</v>
      </c>
      <c r="I82" s="108"/>
      <c r="J82" s="108"/>
      <c r="K82" s="108"/>
      <c r="L82" s="108"/>
      <c r="M82" s="108">
        <f>H82+J82+L82</f>
        <v>8769.6624</v>
      </c>
    </row>
    <row r="83" spans="1:13" s="121" customFormat="1" ht="27.75" customHeight="1">
      <c r="A83" s="1">
        <v>16</v>
      </c>
      <c r="B83" s="120" t="s">
        <v>343</v>
      </c>
      <c r="C83" s="4" t="s">
        <v>369</v>
      </c>
      <c r="D83" s="1" t="s">
        <v>64</v>
      </c>
      <c r="E83" s="1"/>
      <c r="F83" s="165">
        <v>217</v>
      </c>
      <c r="G83" s="13"/>
      <c r="H83" s="13"/>
      <c r="I83" s="13"/>
      <c r="J83" s="13"/>
      <c r="K83" s="13"/>
      <c r="L83" s="13"/>
      <c r="M83" s="13"/>
    </row>
    <row r="84" spans="1:13" s="121" customFormat="1" ht="15.75" customHeight="1">
      <c r="A84" s="1"/>
      <c r="B84" s="120"/>
      <c r="C84" s="4" t="s">
        <v>54</v>
      </c>
      <c r="D84" s="1" t="s">
        <v>366</v>
      </c>
      <c r="E84" s="1">
        <v>0.478</v>
      </c>
      <c r="F84" s="13">
        <f>F83*E84</f>
        <v>103.726</v>
      </c>
      <c r="G84" s="13"/>
      <c r="H84" s="13"/>
      <c r="I84" s="13">
        <v>7.8</v>
      </c>
      <c r="J84" s="13">
        <f>F84*I84</f>
        <v>809.0627999999999</v>
      </c>
      <c r="K84" s="13"/>
      <c r="L84" s="13"/>
      <c r="M84" s="13">
        <f>H84+J84+L84</f>
        <v>809.0627999999999</v>
      </c>
    </row>
    <row r="85" spans="1:13" s="121" customFormat="1" ht="13.5">
      <c r="A85" s="1"/>
      <c r="B85" s="120"/>
      <c r="C85" s="4" t="s">
        <v>62</v>
      </c>
      <c r="D85" s="1" t="s">
        <v>43</v>
      </c>
      <c r="E85" s="1">
        <v>0.0333</v>
      </c>
      <c r="F85" s="13">
        <f>F83*E85</f>
        <v>7.226100000000001</v>
      </c>
      <c r="G85" s="13"/>
      <c r="H85" s="13"/>
      <c r="I85" s="13"/>
      <c r="J85" s="13"/>
      <c r="K85" s="13">
        <v>3.2</v>
      </c>
      <c r="L85" s="13">
        <f>F85*K85</f>
        <v>23.123520000000003</v>
      </c>
      <c r="M85" s="13">
        <f>H85+J85+L85</f>
        <v>23.123520000000003</v>
      </c>
    </row>
    <row r="86" spans="1:13" s="121" customFormat="1" ht="13.5">
      <c r="A86" s="1"/>
      <c r="B86" s="120"/>
      <c r="C86" s="4" t="s">
        <v>56</v>
      </c>
      <c r="D86" s="1"/>
      <c r="E86" s="1"/>
      <c r="F86" s="13">
        <f>E86*2353</f>
        <v>0</v>
      </c>
      <c r="G86" s="13"/>
      <c r="H86" s="13"/>
      <c r="I86" s="13"/>
      <c r="J86" s="13"/>
      <c r="K86" s="13"/>
      <c r="L86" s="13"/>
      <c r="M86" s="13"/>
    </row>
    <row r="87" spans="1:13" s="121" customFormat="1" ht="13.5">
      <c r="A87" s="1"/>
      <c r="B87" s="120"/>
      <c r="C87" s="4" t="s">
        <v>177</v>
      </c>
      <c r="D87" s="1" t="s">
        <v>64</v>
      </c>
      <c r="E87" s="1">
        <v>2.3</v>
      </c>
      <c r="F87" s="13">
        <f>F83*E87</f>
        <v>499.09999999999997</v>
      </c>
      <c r="G87" s="13">
        <v>4.1</v>
      </c>
      <c r="H87" s="13">
        <f>F87*G87</f>
        <v>2046.3099999999997</v>
      </c>
      <c r="I87" s="13"/>
      <c r="J87" s="13"/>
      <c r="K87" s="13"/>
      <c r="L87" s="13"/>
      <c r="M87" s="13">
        <f>H87+J87+L87</f>
        <v>2046.3099999999997</v>
      </c>
    </row>
    <row r="88" spans="1:13" s="121" customFormat="1" ht="13.5">
      <c r="A88" s="1"/>
      <c r="B88" s="120"/>
      <c r="C88" s="4" t="s">
        <v>368</v>
      </c>
      <c r="D88" s="1" t="s">
        <v>75</v>
      </c>
      <c r="E88" s="1">
        <v>0.0044</v>
      </c>
      <c r="F88" s="13">
        <f>F83*E88</f>
        <v>0.9548000000000001</v>
      </c>
      <c r="G88" s="13">
        <v>975</v>
      </c>
      <c r="H88" s="13">
        <f>F88*G88</f>
        <v>930.9300000000001</v>
      </c>
      <c r="I88" s="13"/>
      <c r="J88" s="13"/>
      <c r="K88" s="13"/>
      <c r="L88" s="13"/>
      <c r="M88" s="13">
        <f>H88+J88+L88</f>
        <v>930.9300000000001</v>
      </c>
    </row>
    <row r="89" spans="1:13" s="121" customFormat="1" ht="13.5">
      <c r="A89" s="1"/>
      <c r="B89" s="120"/>
      <c r="C89" s="4" t="s">
        <v>57</v>
      </c>
      <c r="D89" s="1" t="s">
        <v>43</v>
      </c>
      <c r="E89" s="1">
        <v>0.0768</v>
      </c>
      <c r="F89" s="13">
        <f>F83*E89</f>
        <v>16.665599999999998</v>
      </c>
      <c r="G89" s="13">
        <v>3.2</v>
      </c>
      <c r="H89" s="13">
        <f>F89*G89</f>
        <v>53.329919999999994</v>
      </c>
      <c r="I89" s="13"/>
      <c r="J89" s="13"/>
      <c r="K89" s="13"/>
      <c r="L89" s="13"/>
      <c r="M89" s="13">
        <f>H89+J89+L89</f>
        <v>53.329919999999994</v>
      </c>
    </row>
    <row r="90" spans="1:13" ht="40.5">
      <c r="A90" s="28">
        <v>17</v>
      </c>
      <c r="B90" s="149" t="s">
        <v>318</v>
      </c>
      <c r="C90" s="43" t="s">
        <v>864</v>
      </c>
      <c r="D90" s="28" t="s">
        <v>66</v>
      </c>
      <c r="E90" s="28"/>
      <c r="F90" s="164">
        <v>26.9</v>
      </c>
      <c r="G90" s="30"/>
      <c r="H90" s="30"/>
      <c r="I90" s="30"/>
      <c r="J90" s="30"/>
      <c r="K90" s="30"/>
      <c r="L90" s="30"/>
      <c r="M90" s="30"/>
    </row>
    <row r="91" spans="1:13" ht="13.5">
      <c r="A91" s="1"/>
      <c r="B91" s="120"/>
      <c r="C91" s="19" t="s">
        <v>54</v>
      </c>
      <c r="D91" s="1" t="s">
        <v>366</v>
      </c>
      <c r="E91" s="1">
        <v>13.3</v>
      </c>
      <c r="F91" s="13">
        <f>F90*E91</f>
        <v>357.77</v>
      </c>
      <c r="G91" s="13"/>
      <c r="H91" s="13"/>
      <c r="I91" s="13">
        <v>6</v>
      </c>
      <c r="J91" s="13">
        <f>F91*I91</f>
        <v>2146.62</v>
      </c>
      <c r="K91" s="13"/>
      <c r="L91" s="13"/>
      <c r="M91" s="13">
        <f>H91+J91+L91</f>
        <v>2146.62</v>
      </c>
    </row>
    <row r="92" spans="1:13" ht="13.5">
      <c r="A92" s="1"/>
      <c r="B92" s="120"/>
      <c r="C92" s="19" t="s">
        <v>62</v>
      </c>
      <c r="D92" s="1" t="s">
        <v>43</v>
      </c>
      <c r="E92" s="1">
        <v>3.36</v>
      </c>
      <c r="F92" s="13">
        <f>F90*E92</f>
        <v>90.38399999999999</v>
      </c>
      <c r="G92" s="13"/>
      <c r="H92" s="13"/>
      <c r="I92" s="13"/>
      <c r="J92" s="13"/>
      <c r="K92" s="13">
        <v>3.2</v>
      </c>
      <c r="L92" s="13">
        <f>F92*K92</f>
        <v>289.2288</v>
      </c>
      <c r="M92" s="13">
        <f>H92+J92+L92</f>
        <v>289.2288</v>
      </c>
    </row>
    <row r="93" spans="1:13" ht="13.5">
      <c r="A93" s="1"/>
      <c r="B93" s="120"/>
      <c r="C93" s="19" t="s">
        <v>56</v>
      </c>
      <c r="D93" s="1"/>
      <c r="E93" s="1"/>
      <c r="F93" s="13"/>
      <c r="G93" s="13"/>
      <c r="H93" s="13"/>
      <c r="I93" s="13"/>
      <c r="J93" s="13"/>
      <c r="K93" s="13"/>
      <c r="L93" s="13"/>
      <c r="M93" s="13"/>
    </row>
    <row r="94" spans="1:13" ht="13.5">
      <c r="A94" s="1"/>
      <c r="B94" s="120"/>
      <c r="C94" s="4" t="s">
        <v>433</v>
      </c>
      <c r="D94" s="1" t="s">
        <v>66</v>
      </c>
      <c r="E94" s="1">
        <v>1.015</v>
      </c>
      <c r="F94" s="13">
        <f>F90*E94</f>
        <v>27.303499999999996</v>
      </c>
      <c r="G94" s="13">
        <v>123</v>
      </c>
      <c r="H94" s="13">
        <f aca="true" t="shared" si="2" ref="H94:H99">F94*G94</f>
        <v>3358.3304999999996</v>
      </c>
      <c r="I94" s="13"/>
      <c r="J94" s="13"/>
      <c r="K94" s="13"/>
      <c r="L94" s="13"/>
      <c r="M94" s="13">
        <f aca="true" t="shared" si="3" ref="M94:M99">H94+J94+L94</f>
        <v>3358.3304999999996</v>
      </c>
    </row>
    <row r="95" spans="1:13" ht="13.5">
      <c r="A95" s="1"/>
      <c r="B95" s="120"/>
      <c r="C95" s="19" t="s">
        <v>144</v>
      </c>
      <c r="D95" s="1" t="s">
        <v>64</v>
      </c>
      <c r="E95" s="1">
        <v>2.42</v>
      </c>
      <c r="F95" s="13">
        <f>F90*E95</f>
        <v>65.098</v>
      </c>
      <c r="G95" s="13">
        <v>15</v>
      </c>
      <c r="H95" s="13">
        <f t="shared" si="2"/>
        <v>976.47</v>
      </c>
      <c r="I95" s="13"/>
      <c r="J95" s="13"/>
      <c r="K95" s="13"/>
      <c r="L95" s="13"/>
      <c r="M95" s="13">
        <f t="shared" si="3"/>
        <v>976.47</v>
      </c>
    </row>
    <row r="96" spans="1:13" ht="13.5">
      <c r="A96" s="1"/>
      <c r="B96" s="120"/>
      <c r="C96" s="19" t="s">
        <v>146</v>
      </c>
      <c r="D96" s="1" t="s">
        <v>66</v>
      </c>
      <c r="E96" s="1">
        <v>0.0581</v>
      </c>
      <c r="F96" s="13">
        <f>F90*E96</f>
        <v>1.56289</v>
      </c>
      <c r="G96" s="13">
        <v>535</v>
      </c>
      <c r="H96" s="13">
        <f t="shared" si="2"/>
        <v>836.1461499999999</v>
      </c>
      <c r="I96" s="13"/>
      <c r="J96" s="13"/>
      <c r="K96" s="13"/>
      <c r="L96" s="13"/>
      <c r="M96" s="13">
        <f t="shared" si="3"/>
        <v>836.1461499999999</v>
      </c>
    </row>
    <row r="97" spans="1:13" ht="13.5">
      <c r="A97" s="1"/>
      <c r="B97" s="120"/>
      <c r="C97" s="19" t="s">
        <v>147</v>
      </c>
      <c r="D97" s="1" t="s">
        <v>66</v>
      </c>
      <c r="E97" s="1">
        <v>0.0067</v>
      </c>
      <c r="F97" s="13">
        <f>F90*E97</f>
        <v>0.18023</v>
      </c>
      <c r="G97" s="13">
        <v>475</v>
      </c>
      <c r="H97" s="13">
        <f t="shared" si="2"/>
        <v>85.60925</v>
      </c>
      <c r="I97" s="13"/>
      <c r="J97" s="13"/>
      <c r="K97" s="13"/>
      <c r="L97" s="13"/>
      <c r="M97" s="13">
        <f t="shared" si="3"/>
        <v>85.60925</v>
      </c>
    </row>
    <row r="98" spans="1:13" ht="13.5">
      <c r="A98" s="1"/>
      <c r="B98" s="120"/>
      <c r="C98" s="19" t="s">
        <v>103</v>
      </c>
      <c r="D98" s="1" t="s">
        <v>65</v>
      </c>
      <c r="E98" s="1">
        <v>1.5</v>
      </c>
      <c r="F98" s="13">
        <f>F90*E98</f>
        <v>40.349999999999994</v>
      </c>
      <c r="G98" s="13">
        <v>3.8</v>
      </c>
      <c r="H98" s="13">
        <f t="shared" si="2"/>
        <v>153.32999999999998</v>
      </c>
      <c r="I98" s="13"/>
      <c r="J98" s="13"/>
      <c r="K98" s="13"/>
      <c r="L98" s="13"/>
      <c r="M98" s="13">
        <f t="shared" si="3"/>
        <v>153.32999999999998</v>
      </c>
    </row>
    <row r="99" spans="1:13" ht="13.5">
      <c r="A99" s="1"/>
      <c r="B99" s="120"/>
      <c r="C99" s="19" t="s">
        <v>57</v>
      </c>
      <c r="D99" s="1" t="s">
        <v>43</v>
      </c>
      <c r="E99" s="1">
        <v>0.6</v>
      </c>
      <c r="F99" s="13">
        <f>F90*E99</f>
        <v>16.139999999999997</v>
      </c>
      <c r="G99" s="13">
        <v>3.2</v>
      </c>
      <c r="H99" s="13">
        <f t="shared" si="2"/>
        <v>51.647999999999996</v>
      </c>
      <c r="I99" s="13"/>
      <c r="J99" s="13"/>
      <c r="K99" s="13"/>
      <c r="L99" s="13"/>
      <c r="M99" s="13">
        <f t="shared" si="3"/>
        <v>51.647999999999996</v>
      </c>
    </row>
    <row r="100" spans="1:13" ht="13.5">
      <c r="A100" s="47">
        <v>18</v>
      </c>
      <c r="B100" s="126"/>
      <c r="C100" s="38" t="s">
        <v>189</v>
      </c>
      <c r="D100" s="47" t="s">
        <v>75</v>
      </c>
      <c r="E100" s="47"/>
      <c r="F100" s="189">
        <v>1.2964</v>
      </c>
      <c r="G100" s="108">
        <v>1600</v>
      </c>
      <c r="H100" s="108">
        <f>F100*G100</f>
        <v>2074.24</v>
      </c>
      <c r="I100" s="108"/>
      <c r="J100" s="108"/>
      <c r="K100" s="108"/>
      <c r="L100" s="108"/>
      <c r="M100" s="108">
        <f>H100+J100+L100</f>
        <v>2074.24</v>
      </c>
    </row>
    <row r="101" spans="1:13" ht="13.5">
      <c r="A101" s="47">
        <v>19</v>
      </c>
      <c r="B101" s="126"/>
      <c r="C101" s="38" t="s">
        <v>148</v>
      </c>
      <c r="D101" s="47" t="s">
        <v>75</v>
      </c>
      <c r="E101" s="47"/>
      <c r="F101" s="189">
        <v>7.7052</v>
      </c>
      <c r="G101" s="108">
        <v>1542</v>
      </c>
      <c r="H101" s="108">
        <f>F101*G101</f>
        <v>11881.418399999999</v>
      </c>
      <c r="I101" s="108"/>
      <c r="J101" s="108"/>
      <c r="K101" s="108"/>
      <c r="L101" s="108"/>
      <c r="M101" s="108">
        <f>H101+J101+L101</f>
        <v>11881.418399999999</v>
      </c>
    </row>
    <row r="102" spans="1:13" ht="27">
      <c r="A102" s="1">
        <v>20</v>
      </c>
      <c r="B102" s="120" t="s">
        <v>13</v>
      </c>
      <c r="C102" s="43" t="s">
        <v>434</v>
      </c>
      <c r="D102" s="1" t="s">
        <v>66</v>
      </c>
      <c r="E102" s="1"/>
      <c r="F102" s="165">
        <f>29.7+26.1</f>
        <v>55.8</v>
      </c>
      <c r="G102" s="13"/>
      <c r="H102" s="13"/>
      <c r="I102" s="13"/>
      <c r="J102" s="13"/>
      <c r="K102" s="13"/>
      <c r="L102" s="13"/>
      <c r="M102" s="13"/>
    </row>
    <row r="103" spans="1:13" ht="13.5">
      <c r="A103" s="1"/>
      <c r="B103" s="120"/>
      <c r="C103" s="19" t="s">
        <v>54</v>
      </c>
      <c r="D103" s="1" t="s">
        <v>366</v>
      </c>
      <c r="E103" s="1">
        <v>19.5</v>
      </c>
      <c r="F103" s="13">
        <f>F102*E103</f>
        <v>1088.1</v>
      </c>
      <c r="G103" s="13"/>
      <c r="H103" s="13"/>
      <c r="I103" s="13">
        <v>6</v>
      </c>
      <c r="J103" s="13">
        <f>F103*I103</f>
        <v>6528.599999999999</v>
      </c>
      <c r="K103" s="13"/>
      <c r="L103" s="13"/>
      <c r="M103" s="13">
        <f>H103+J103+L103</f>
        <v>6528.599999999999</v>
      </c>
    </row>
    <row r="104" spans="1:13" ht="13.5">
      <c r="A104" s="1"/>
      <c r="B104" s="120"/>
      <c r="C104" s="19" t="s">
        <v>62</v>
      </c>
      <c r="D104" s="1" t="s">
        <v>43</v>
      </c>
      <c r="E104" s="1">
        <v>3.21</v>
      </c>
      <c r="F104" s="13">
        <f>F102*E104</f>
        <v>179.118</v>
      </c>
      <c r="G104" s="13"/>
      <c r="H104" s="13"/>
      <c r="I104" s="13"/>
      <c r="J104" s="13"/>
      <c r="K104" s="13">
        <v>3.2</v>
      </c>
      <c r="L104" s="13">
        <f>F104*K104</f>
        <v>573.1776</v>
      </c>
      <c r="M104" s="13">
        <f>H104+J104+L104</f>
        <v>573.1776</v>
      </c>
    </row>
    <row r="105" spans="1:13" ht="13.5">
      <c r="A105" s="1"/>
      <c r="B105" s="120"/>
      <c r="C105" s="19" t="s">
        <v>56</v>
      </c>
      <c r="D105" s="1"/>
      <c r="E105" s="1"/>
      <c r="F105" s="13"/>
      <c r="G105" s="13"/>
      <c r="H105" s="13"/>
      <c r="I105" s="13"/>
      <c r="J105" s="13"/>
      <c r="K105" s="13"/>
      <c r="L105" s="13"/>
      <c r="M105" s="13"/>
    </row>
    <row r="106" spans="1:13" ht="13.5">
      <c r="A106" s="1"/>
      <c r="B106" s="120"/>
      <c r="C106" s="4" t="s">
        <v>367</v>
      </c>
      <c r="D106" s="1" t="s">
        <v>66</v>
      </c>
      <c r="E106" s="1">
        <v>1.015</v>
      </c>
      <c r="F106" s="13">
        <f>F102*E106</f>
        <v>56.63699999999999</v>
      </c>
      <c r="G106" s="13">
        <v>108</v>
      </c>
      <c r="H106" s="13">
        <f aca="true" t="shared" si="4" ref="H106:H111">F106*G106</f>
        <v>6116.795999999999</v>
      </c>
      <c r="I106" s="13"/>
      <c r="J106" s="13"/>
      <c r="K106" s="13"/>
      <c r="L106" s="13"/>
      <c r="M106" s="13">
        <f aca="true" t="shared" si="5" ref="M106:M111">H106+J106+L106</f>
        <v>6116.795999999999</v>
      </c>
    </row>
    <row r="107" spans="1:13" ht="13.5">
      <c r="A107" s="1"/>
      <c r="B107" s="120"/>
      <c r="C107" s="19" t="s">
        <v>144</v>
      </c>
      <c r="D107" s="1" t="s">
        <v>64</v>
      </c>
      <c r="E107" s="1">
        <v>2.42</v>
      </c>
      <c r="F107" s="13">
        <f>F102*E107</f>
        <v>135.036</v>
      </c>
      <c r="G107" s="13">
        <v>15</v>
      </c>
      <c r="H107" s="13">
        <f t="shared" si="4"/>
        <v>2025.54</v>
      </c>
      <c r="I107" s="13"/>
      <c r="J107" s="13"/>
      <c r="K107" s="13"/>
      <c r="L107" s="13"/>
      <c r="M107" s="13">
        <f t="shared" si="5"/>
        <v>2025.54</v>
      </c>
    </row>
    <row r="108" spans="1:13" ht="13.5">
      <c r="A108" s="1"/>
      <c r="B108" s="120"/>
      <c r="C108" s="19" t="s">
        <v>146</v>
      </c>
      <c r="D108" s="1" t="s">
        <v>66</v>
      </c>
      <c r="E108" s="1">
        <v>0.0576</v>
      </c>
      <c r="F108" s="13">
        <f>F102*E108</f>
        <v>3.2140799999999996</v>
      </c>
      <c r="G108" s="13">
        <v>535</v>
      </c>
      <c r="H108" s="13">
        <f t="shared" si="4"/>
        <v>1719.5327999999997</v>
      </c>
      <c r="I108" s="13"/>
      <c r="J108" s="13"/>
      <c r="K108" s="13"/>
      <c r="L108" s="13"/>
      <c r="M108" s="13">
        <f t="shared" si="5"/>
        <v>1719.5327999999997</v>
      </c>
    </row>
    <row r="109" spans="1:13" ht="13.5">
      <c r="A109" s="1"/>
      <c r="B109" s="120"/>
      <c r="C109" s="19" t="s">
        <v>147</v>
      </c>
      <c r="D109" s="1" t="s">
        <v>66</v>
      </c>
      <c r="E109" s="1">
        <v>0.016</v>
      </c>
      <c r="F109" s="13">
        <f>F102*E109</f>
        <v>0.8927999999999999</v>
      </c>
      <c r="G109" s="13">
        <v>475</v>
      </c>
      <c r="H109" s="13">
        <f t="shared" si="4"/>
        <v>424.08</v>
      </c>
      <c r="I109" s="13"/>
      <c r="J109" s="13"/>
      <c r="K109" s="13"/>
      <c r="L109" s="13"/>
      <c r="M109" s="13">
        <f t="shared" si="5"/>
        <v>424.08</v>
      </c>
    </row>
    <row r="110" spans="1:13" ht="13.5">
      <c r="A110" s="1"/>
      <c r="B110" s="120"/>
      <c r="C110" s="19" t="s">
        <v>103</v>
      </c>
      <c r="D110" s="1" t="s">
        <v>65</v>
      </c>
      <c r="E110" s="1">
        <v>2.5</v>
      </c>
      <c r="F110" s="13">
        <f>F102*E110</f>
        <v>139.5</v>
      </c>
      <c r="G110" s="13">
        <v>3.8</v>
      </c>
      <c r="H110" s="13">
        <f t="shared" si="4"/>
        <v>530.1</v>
      </c>
      <c r="I110" s="13"/>
      <c r="J110" s="13"/>
      <c r="K110" s="13"/>
      <c r="L110" s="13"/>
      <c r="M110" s="13">
        <f t="shared" si="5"/>
        <v>530.1</v>
      </c>
    </row>
    <row r="111" spans="1:13" ht="13.5">
      <c r="A111" s="1"/>
      <c r="B111" s="120"/>
      <c r="C111" s="19" t="s">
        <v>57</v>
      </c>
      <c r="D111" s="1" t="s">
        <v>43</v>
      </c>
      <c r="E111" s="1">
        <v>0.6</v>
      </c>
      <c r="F111" s="13">
        <f>F102*E111</f>
        <v>33.48</v>
      </c>
      <c r="G111" s="13">
        <v>3.2</v>
      </c>
      <c r="H111" s="13">
        <f t="shared" si="4"/>
        <v>107.136</v>
      </c>
      <c r="I111" s="13"/>
      <c r="J111" s="13"/>
      <c r="K111" s="13"/>
      <c r="L111" s="13"/>
      <c r="M111" s="13">
        <f t="shared" si="5"/>
        <v>107.136</v>
      </c>
    </row>
    <row r="112" spans="1:13" ht="13.5">
      <c r="A112" s="47">
        <v>21</v>
      </c>
      <c r="B112" s="126"/>
      <c r="C112" s="38" t="s">
        <v>189</v>
      </c>
      <c r="D112" s="47" t="s">
        <v>75</v>
      </c>
      <c r="E112" s="47"/>
      <c r="F112" s="189">
        <f>1.368+1.5392</f>
        <v>2.9072</v>
      </c>
      <c r="G112" s="108">
        <v>1600</v>
      </c>
      <c r="H112" s="108">
        <f>F112*G112</f>
        <v>4651.52</v>
      </c>
      <c r="I112" s="108"/>
      <c r="J112" s="108"/>
      <c r="K112" s="108"/>
      <c r="L112" s="108"/>
      <c r="M112" s="108">
        <f>H112+J112+L112</f>
        <v>4651.52</v>
      </c>
    </row>
    <row r="113" spans="1:13" ht="13.5">
      <c r="A113" s="47">
        <v>22</v>
      </c>
      <c r="B113" s="126"/>
      <c r="C113" s="117" t="s">
        <v>148</v>
      </c>
      <c r="D113" s="47" t="s">
        <v>75</v>
      </c>
      <c r="E113" s="47"/>
      <c r="F113" s="189">
        <f>5.3232+4.6176</f>
        <v>9.9408</v>
      </c>
      <c r="G113" s="108">
        <v>1542</v>
      </c>
      <c r="H113" s="108">
        <f>F113*G113</f>
        <v>15328.7136</v>
      </c>
      <c r="I113" s="108"/>
      <c r="J113" s="108"/>
      <c r="K113" s="108"/>
      <c r="L113" s="108"/>
      <c r="M113" s="108">
        <f>H113+J113+L113</f>
        <v>15328.7136</v>
      </c>
    </row>
    <row r="114" spans="1:13" s="121" customFormat="1" ht="40.5">
      <c r="A114" s="28">
        <v>23</v>
      </c>
      <c r="B114" s="330" t="s">
        <v>190</v>
      </c>
      <c r="C114" s="43" t="s">
        <v>436</v>
      </c>
      <c r="D114" s="201" t="s">
        <v>66</v>
      </c>
      <c r="E114" s="28"/>
      <c r="F114" s="165">
        <f>70.8+70.8+70.8+139.9+143.3+144.3</f>
        <v>639.9</v>
      </c>
      <c r="G114" s="13"/>
      <c r="H114" s="13"/>
      <c r="I114" s="13"/>
      <c r="J114" s="13"/>
      <c r="K114" s="13"/>
      <c r="L114" s="13"/>
      <c r="M114" s="13"/>
    </row>
    <row r="115" spans="1:13" s="121" customFormat="1" ht="15.75" customHeight="1">
      <c r="A115" s="1"/>
      <c r="B115" s="120"/>
      <c r="C115" s="4" t="s">
        <v>54</v>
      </c>
      <c r="D115" s="1" t="s">
        <v>55</v>
      </c>
      <c r="E115" s="1">
        <v>13.9</v>
      </c>
      <c r="F115" s="13">
        <f>F114*E115</f>
        <v>8894.61</v>
      </c>
      <c r="G115" s="13"/>
      <c r="H115" s="13"/>
      <c r="I115" s="13">
        <v>6</v>
      </c>
      <c r="J115" s="13">
        <f>F115*I115</f>
        <v>53367.66</v>
      </c>
      <c r="K115" s="13"/>
      <c r="L115" s="13"/>
      <c r="M115" s="13">
        <f>H115+J115+L115</f>
        <v>53367.66</v>
      </c>
    </row>
    <row r="116" spans="1:13" s="121" customFormat="1" ht="13.5">
      <c r="A116" s="1"/>
      <c r="B116" s="120"/>
      <c r="C116" s="4" t="s">
        <v>62</v>
      </c>
      <c r="D116" s="1" t="s">
        <v>43</v>
      </c>
      <c r="E116" s="1">
        <v>1.28</v>
      </c>
      <c r="F116" s="13">
        <f>F114*E116</f>
        <v>819.072</v>
      </c>
      <c r="G116" s="13"/>
      <c r="H116" s="13"/>
      <c r="I116" s="13"/>
      <c r="J116" s="13"/>
      <c r="K116" s="13">
        <v>3.2</v>
      </c>
      <c r="L116" s="13">
        <f>F116*K116</f>
        <v>2621.0304</v>
      </c>
      <c r="M116" s="13">
        <f>H116+J116+L116</f>
        <v>2621.0304</v>
      </c>
    </row>
    <row r="117" spans="1:13" s="121" customFormat="1" ht="13.5">
      <c r="A117" s="1"/>
      <c r="B117" s="120"/>
      <c r="C117" s="4" t="s">
        <v>56</v>
      </c>
      <c r="D117" s="1"/>
      <c r="E117" s="1"/>
      <c r="F117" s="13"/>
      <c r="G117" s="13"/>
      <c r="H117" s="13"/>
      <c r="I117" s="13"/>
      <c r="J117" s="13"/>
      <c r="K117" s="13"/>
      <c r="L117" s="13"/>
      <c r="M117" s="13"/>
    </row>
    <row r="118" spans="1:13" s="121" customFormat="1" ht="13.5">
      <c r="A118" s="1"/>
      <c r="B118" s="120"/>
      <c r="C118" s="4" t="s">
        <v>367</v>
      </c>
      <c r="D118" s="1" t="s">
        <v>66</v>
      </c>
      <c r="E118" s="1">
        <v>1.015</v>
      </c>
      <c r="F118" s="13">
        <f>F114*E118</f>
        <v>649.4984999999999</v>
      </c>
      <c r="G118" s="13">
        <v>108</v>
      </c>
      <c r="H118" s="13">
        <f aca="true" t="shared" si="6" ref="H118:H125">F118*G118</f>
        <v>70145.83799999999</v>
      </c>
      <c r="I118" s="13"/>
      <c r="J118" s="13"/>
      <c r="K118" s="13"/>
      <c r="L118" s="13"/>
      <c r="M118" s="13">
        <f aca="true" t="shared" si="7" ref="M118:M125">H118+J118+L118</f>
        <v>70145.83799999999</v>
      </c>
    </row>
    <row r="119" spans="1:13" s="121" customFormat="1" ht="13.5">
      <c r="A119" s="1"/>
      <c r="B119" s="120"/>
      <c r="C119" s="4" t="s">
        <v>144</v>
      </c>
      <c r="D119" s="1" t="s">
        <v>64</v>
      </c>
      <c r="E119" s="1">
        <v>2.29</v>
      </c>
      <c r="F119" s="13">
        <f>F114*E119</f>
        <v>1465.3709999999999</v>
      </c>
      <c r="G119" s="13">
        <v>15</v>
      </c>
      <c r="H119" s="13">
        <f t="shared" si="6"/>
        <v>21980.565</v>
      </c>
      <c r="I119" s="13"/>
      <c r="J119" s="13"/>
      <c r="K119" s="13"/>
      <c r="L119" s="13"/>
      <c r="M119" s="13">
        <f t="shared" si="7"/>
        <v>21980.565</v>
      </c>
    </row>
    <row r="120" spans="1:13" s="121" customFormat="1" ht="13.5">
      <c r="A120" s="1"/>
      <c r="B120" s="120"/>
      <c r="C120" s="4" t="s">
        <v>0</v>
      </c>
      <c r="D120" s="1" t="s">
        <v>66</v>
      </c>
      <c r="E120" s="1">
        <v>0.014</v>
      </c>
      <c r="F120" s="13">
        <f>F114*E120</f>
        <v>8.9586</v>
      </c>
      <c r="G120" s="13">
        <v>545</v>
      </c>
      <c r="H120" s="13">
        <f t="shared" si="6"/>
        <v>4882.437</v>
      </c>
      <c r="I120" s="13"/>
      <c r="J120" s="13"/>
      <c r="K120" s="13"/>
      <c r="L120" s="13"/>
      <c r="M120" s="13">
        <f t="shared" si="7"/>
        <v>4882.437</v>
      </c>
    </row>
    <row r="121" spans="1:13" s="121" customFormat="1" ht="13.5">
      <c r="A121" s="1"/>
      <c r="B121" s="120"/>
      <c r="C121" s="4" t="s">
        <v>146</v>
      </c>
      <c r="D121" s="1" t="s">
        <v>66</v>
      </c>
      <c r="E121" s="1">
        <v>0.0429</v>
      </c>
      <c r="F121" s="13">
        <f>F114*E121</f>
        <v>27.45171</v>
      </c>
      <c r="G121" s="13">
        <v>535</v>
      </c>
      <c r="H121" s="13">
        <f t="shared" si="6"/>
        <v>14686.66485</v>
      </c>
      <c r="I121" s="13"/>
      <c r="J121" s="13"/>
      <c r="K121" s="13"/>
      <c r="L121" s="13"/>
      <c r="M121" s="13">
        <f t="shared" si="7"/>
        <v>14686.66485</v>
      </c>
    </row>
    <row r="122" spans="1:13" s="121" customFormat="1" ht="13.5">
      <c r="A122" s="1"/>
      <c r="B122" s="120"/>
      <c r="C122" s="4" t="s">
        <v>147</v>
      </c>
      <c r="D122" s="1" t="s">
        <v>66</v>
      </c>
      <c r="E122" s="1">
        <v>0.002</v>
      </c>
      <c r="F122" s="13">
        <f>F114*E122</f>
        <v>1.2798</v>
      </c>
      <c r="G122" s="13">
        <v>475</v>
      </c>
      <c r="H122" s="13">
        <f t="shared" si="6"/>
        <v>607.905</v>
      </c>
      <c r="I122" s="13"/>
      <c r="J122" s="13"/>
      <c r="K122" s="13"/>
      <c r="L122" s="13"/>
      <c r="M122" s="13">
        <f t="shared" si="7"/>
        <v>607.905</v>
      </c>
    </row>
    <row r="123" spans="1:13" s="121" customFormat="1" ht="13.5">
      <c r="A123" s="1"/>
      <c r="B123" s="120"/>
      <c r="C123" s="4" t="s">
        <v>57</v>
      </c>
      <c r="D123" s="1" t="s">
        <v>43</v>
      </c>
      <c r="E123" s="1">
        <v>0.93</v>
      </c>
      <c r="F123" s="13">
        <f>F114*E123</f>
        <v>595.107</v>
      </c>
      <c r="G123" s="13">
        <v>3.2</v>
      </c>
      <c r="H123" s="13">
        <f t="shared" si="6"/>
        <v>1904.3424</v>
      </c>
      <c r="I123" s="13"/>
      <c r="J123" s="13"/>
      <c r="K123" s="13"/>
      <c r="L123" s="13"/>
      <c r="M123" s="13">
        <f t="shared" si="7"/>
        <v>1904.3424</v>
      </c>
    </row>
    <row r="124" spans="1:13" ht="13.5">
      <c r="A124" s="47">
        <v>24</v>
      </c>
      <c r="B124" s="126"/>
      <c r="C124" s="38" t="s">
        <v>189</v>
      </c>
      <c r="D124" s="47" t="s">
        <v>75</v>
      </c>
      <c r="E124" s="47"/>
      <c r="F124" s="161">
        <f>3.1246+3.1257+3.1257+0.0551+0.0551+0.0551</f>
        <v>9.5413</v>
      </c>
      <c r="G124" s="108">
        <v>1600</v>
      </c>
      <c r="H124" s="108">
        <f t="shared" si="6"/>
        <v>15266.08</v>
      </c>
      <c r="I124" s="108"/>
      <c r="J124" s="108"/>
      <c r="K124" s="108"/>
      <c r="L124" s="108"/>
      <c r="M124" s="108">
        <f t="shared" si="7"/>
        <v>15266.08</v>
      </c>
    </row>
    <row r="125" spans="1:13" ht="13.5">
      <c r="A125" s="47">
        <v>25</v>
      </c>
      <c r="B125" s="126"/>
      <c r="C125" s="38" t="s">
        <v>148</v>
      </c>
      <c r="D125" s="47" t="s">
        <v>75</v>
      </c>
      <c r="E125" s="47"/>
      <c r="F125" s="161">
        <f>9.7378+9.7354+9.7354+17.1171+12.979+13.2756+1.2</f>
        <v>73.7803</v>
      </c>
      <c r="G125" s="108">
        <v>1542</v>
      </c>
      <c r="H125" s="108">
        <f t="shared" si="6"/>
        <v>113769.2226</v>
      </c>
      <c r="I125" s="108"/>
      <c r="J125" s="108"/>
      <c r="K125" s="108"/>
      <c r="L125" s="108"/>
      <c r="M125" s="108">
        <f t="shared" si="7"/>
        <v>113769.2226</v>
      </c>
    </row>
    <row r="126" spans="1:13" s="135" customFormat="1" ht="40.5">
      <c r="A126" s="1">
        <v>26</v>
      </c>
      <c r="B126" s="120" t="s">
        <v>435</v>
      </c>
      <c r="C126" s="43" t="s">
        <v>862</v>
      </c>
      <c r="D126" s="1" t="s">
        <v>66</v>
      </c>
      <c r="E126" s="1"/>
      <c r="F126" s="165">
        <f>20.1+22.6+22.6</f>
        <v>65.30000000000001</v>
      </c>
      <c r="G126" s="13"/>
      <c r="H126" s="13"/>
      <c r="I126" s="13"/>
      <c r="J126" s="13"/>
      <c r="K126" s="13"/>
      <c r="L126" s="13"/>
      <c r="M126" s="13"/>
    </row>
    <row r="127" spans="1:13" s="135" customFormat="1" ht="15.75" customHeight="1">
      <c r="A127" s="1"/>
      <c r="B127" s="120"/>
      <c r="C127" s="4" t="s">
        <v>54</v>
      </c>
      <c r="D127" s="1" t="s">
        <v>366</v>
      </c>
      <c r="E127" s="1">
        <v>9.25</v>
      </c>
      <c r="F127" s="13">
        <f>F126*E127</f>
        <v>604.0250000000001</v>
      </c>
      <c r="G127" s="13"/>
      <c r="H127" s="13"/>
      <c r="I127" s="13">
        <v>6</v>
      </c>
      <c r="J127" s="13">
        <f>F127*I127</f>
        <v>3624.1500000000005</v>
      </c>
      <c r="K127" s="13"/>
      <c r="L127" s="13"/>
      <c r="M127" s="13">
        <f>H127+J127+L127</f>
        <v>3624.1500000000005</v>
      </c>
    </row>
    <row r="128" spans="1:13" s="135" customFormat="1" ht="13.5">
      <c r="A128" s="1"/>
      <c r="B128" s="120"/>
      <c r="C128" s="4" t="s">
        <v>62</v>
      </c>
      <c r="D128" s="1" t="s">
        <v>43</v>
      </c>
      <c r="E128" s="1">
        <v>1.14</v>
      </c>
      <c r="F128" s="13">
        <f>F126*E128</f>
        <v>74.44200000000001</v>
      </c>
      <c r="G128" s="13"/>
      <c r="H128" s="13"/>
      <c r="I128" s="13"/>
      <c r="J128" s="13"/>
      <c r="K128" s="13">
        <v>3.2</v>
      </c>
      <c r="L128" s="13">
        <f>F128*K128</f>
        <v>238.21440000000004</v>
      </c>
      <c r="M128" s="13">
        <f>H128+J128+L128</f>
        <v>238.21440000000004</v>
      </c>
    </row>
    <row r="129" spans="1:13" s="135" customFormat="1" ht="13.5">
      <c r="A129" s="1"/>
      <c r="B129" s="120"/>
      <c r="C129" s="4" t="s">
        <v>56</v>
      </c>
      <c r="D129" s="1"/>
      <c r="E129" s="1"/>
      <c r="F129" s="13">
        <f>E129*2353</f>
        <v>0</v>
      </c>
      <c r="G129" s="13"/>
      <c r="H129" s="13"/>
      <c r="I129" s="13"/>
      <c r="J129" s="13"/>
      <c r="K129" s="13"/>
      <c r="L129" s="13"/>
      <c r="M129" s="13"/>
    </row>
    <row r="130" spans="1:13" s="135" customFormat="1" ht="13.5">
      <c r="A130" s="1"/>
      <c r="B130" s="120"/>
      <c r="C130" s="4" t="s">
        <v>367</v>
      </c>
      <c r="D130" s="1" t="s">
        <v>66</v>
      </c>
      <c r="E130" s="1">
        <v>1</v>
      </c>
      <c r="F130" s="13">
        <f>F126*E130</f>
        <v>65.30000000000001</v>
      </c>
      <c r="G130" s="13">
        <v>108</v>
      </c>
      <c r="H130" s="13">
        <f aca="true" t="shared" si="8" ref="H130:H136">F130*G130</f>
        <v>7052.4000000000015</v>
      </c>
      <c r="I130" s="13"/>
      <c r="J130" s="13"/>
      <c r="K130" s="13"/>
      <c r="L130" s="13"/>
      <c r="M130" s="13">
        <f aca="true" t="shared" si="9" ref="M130:M136">H130+J130+L130</f>
        <v>7052.4000000000015</v>
      </c>
    </row>
    <row r="131" spans="1:13" s="135" customFormat="1" ht="13.5">
      <c r="A131" s="1"/>
      <c r="B131" s="120"/>
      <c r="C131" s="4" t="s">
        <v>144</v>
      </c>
      <c r="D131" s="1" t="s">
        <v>64</v>
      </c>
      <c r="E131" s="1">
        <v>1.76</v>
      </c>
      <c r="F131" s="13">
        <f>F126*E131</f>
        <v>114.92800000000003</v>
      </c>
      <c r="G131" s="13">
        <v>15</v>
      </c>
      <c r="H131" s="13">
        <f t="shared" si="8"/>
        <v>1723.9200000000003</v>
      </c>
      <c r="I131" s="13"/>
      <c r="J131" s="13"/>
      <c r="K131" s="13"/>
      <c r="L131" s="13"/>
      <c r="M131" s="13">
        <f t="shared" si="9"/>
        <v>1723.9200000000003</v>
      </c>
    </row>
    <row r="132" spans="1:13" s="135" customFormat="1" ht="13.5">
      <c r="A132" s="1"/>
      <c r="B132" s="120"/>
      <c r="C132" s="4" t="s">
        <v>84</v>
      </c>
      <c r="D132" s="1" t="s">
        <v>66</v>
      </c>
      <c r="E132" s="1">
        <v>0.0033</v>
      </c>
      <c r="F132" s="13">
        <f>F126*E132</f>
        <v>0.21549000000000004</v>
      </c>
      <c r="G132" s="13">
        <v>590</v>
      </c>
      <c r="H132" s="13">
        <f t="shared" si="8"/>
        <v>127.13910000000003</v>
      </c>
      <c r="I132" s="13"/>
      <c r="J132" s="13"/>
      <c r="K132" s="13"/>
      <c r="L132" s="13"/>
      <c r="M132" s="13">
        <f t="shared" si="9"/>
        <v>127.13910000000003</v>
      </c>
    </row>
    <row r="133" spans="1:13" s="135" customFormat="1" ht="13.5">
      <c r="A133" s="1"/>
      <c r="B133" s="120"/>
      <c r="C133" s="4" t="s">
        <v>147</v>
      </c>
      <c r="D133" s="1" t="s">
        <v>66</v>
      </c>
      <c r="E133" s="1">
        <v>0.0366</v>
      </c>
      <c r="F133" s="13">
        <f>F126*E133</f>
        <v>2.3899800000000004</v>
      </c>
      <c r="G133" s="13">
        <v>475</v>
      </c>
      <c r="H133" s="13">
        <f t="shared" si="8"/>
        <v>1135.2405</v>
      </c>
      <c r="I133" s="13"/>
      <c r="J133" s="13"/>
      <c r="K133" s="13"/>
      <c r="L133" s="13"/>
      <c r="M133" s="13">
        <f t="shared" si="9"/>
        <v>1135.2405</v>
      </c>
    </row>
    <row r="134" spans="1:13" s="135" customFormat="1" ht="13.5">
      <c r="A134" s="1"/>
      <c r="B134" s="120"/>
      <c r="C134" s="4" t="s">
        <v>1</v>
      </c>
      <c r="D134" s="1" t="s">
        <v>65</v>
      </c>
      <c r="E134" s="1">
        <v>2.1</v>
      </c>
      <c r="F134" s="13">
        <f>F126*E134</f>
        <v>137.13000000000002</v>
      </c>
      <c r="G134" s="13">
        <v>2.9</v>
      </c>
      <c r="H134" s="13">
        <f t="shared" si="8"/>
        <v>397.6770000000001</v>
      </c>
      <c r="I134" s="13"/>
      <c r="J134" s="13"/>
      <c r="K134" s="13"/>
      <c r="L134" s="13"/>
      <c r="M134" s="13">
        <f t="shared" si="9"/>
        <v>397.6770000000001</v>
      </c>
    </row>
    <row r="135" spans="1:13" s="135" customFormat="1" ht="13.5">
      <c r="A135" s="1"/>
      <c r="B135" s="120"/>
      <c r="C135" s="4" t="s">
        <v>103</v>
      </c>
      <c r="D135" s="1" t="s">
        <v>65</v>
      </c>
      <c r="E135" s="1">
        <v>2.7</v>
      </c>
      <c r="F135" s="13">
        <f>F126*E135</f>
        <v>176.31000000000003</v>
      </c>
      <c r="G135" s="13">
        <v>3.8</v>
      </c>
      <c r="H135" s="13">
        <f t="shared" si="8"/>
        <v>669.9780000000001</v>
      </c>
      <c r="I135" s="13"/>
      <c r="J135" s="13"/>
      <c r="K135" s="13"/>
      <c r="L135" s="13"/>
      <c r="M135" s="13">
        <f t="shared" si="9"/>
        <v>669.9780000000001</v>
      </c>
    </row>
    <row r="136" spans="1:13" s="135" customFormat="1" ht="13.5">
      <c r="A136" s="1"/>
      <c r="B136" s="120"/>
      <c r="C136" s="4" t="s">
        <v>57</v>
      </c>
      <c r="D136" s="1" t="s">
        <v>43</v>
      </c>
      <c r="E136" s="1">
        <v>0.32</v>
      </c>
      <c r="F136" s="13">
        <f>F126*E136</f>
        <v>20.896000000000004</v>
      </c>
      <c r="G136" s="13">
        <v>3.2</v>
      </c>
      <c r="H136" s="13">
        <f t="shared" si="8"/>
        <v>66.86720000000001</v>
      </c>
      <c r="I136" s="13"/>
      <c r="J136" s="13"/>
      <c r="K136" s="13"/>
      <c r="L136" s="13"/>
      <c r="M136" s="13">
        <f t="shared" si="9"/>
        <v>66.86720000000001</v>
      </c>
    </row>
    <row r="137" spans="1:13" ht="13.5">
      <c r="A137" s="47">
        <v>27</v>
      </c>
      <c r="B137" s="126"/>
      <c r="C137" s="38" t="s">
        <v>189</v>
      </c>
      <c r="D137" s="47" t="s">
        <v>75</v>
      </c>
      <c r="E137" s="47"/>
      <c r="F137" s="189">
        <f>0.0921+0.113+0.113</f>
        <v>0.3181</v>
      </c>
      <c r="G137" s="108">
        <v>1600</v>
      </c>
      <c r="H137" s="108">
        <f>F137*G137</f>
        <v>508.96</v>
      </c>
      <c r="I137" s="108"/>
      <c r="J137" s="108"/>
      <c r="K137" s="108"/>
      <c r="L137" s="108"/>
      <c r="M137" s="108">
        <f>H137+J137+L137</f>
        <v>508.96</v>
      </c>
    </row>
    <row r="138" spans="1:13" ht="13.5">
      <c r="A138" s="47">
        <v>28</v>
      </c>
      <c r="B138" s="126"/>
      <c r="C138" s="38" t="s">
        <v>148</v>
      </c>
      <c r="D138" s="47" t="s">
        <v>75</v>
      </c>
      <c r="E138" s="47"/>
      <c r="F138" s="313">
        <f>1.9331+1.7418+1.563+1.5</f>
        <v>6.7379</v>
      </c>
      <c r="G138" s="108">
        <v>1542</v>
      </c>
      <c r="H138" s="108">
        <f>F138*G138</f>
        <v>10389.8418</v>
      </c>
      <c r="I138" s="108"/>
      <c r="J138" s="108"/>
      <c r="K138" s="108"/>
      <c r="L138" s="108"/>
      <c r="M138" s="108">
        <f>H138+J138+L138</f>
        <v>10389.8418</v>
      </c>
    </row>
    <row r="139" spans="1:13" s="121" customFormat="1" ht="30.75" customHeight="1">
      <c r="A139" s="1">
        <v>29</v>
      </c>
      <c r="B139" s="120" t="s">
        <v>319</v>
      </c>
      <c r="C139" s="43" t="s">
        <v>438</v>
      </c>
      <c r="D139" s="1" t="s">
        <v>66</v>
      </c>
      <c r="E139" s="18"/>
      <c r="F139" s="202">
        <v>11.1</v>
      </c>
      <c r="G139" s="203"/>
      <c r="H139" s="2"/>
      <c r="I139" s="3"/>
      <c r="J139" s="2"/>
      <c r="K139" s="3"/>
      <c r="L139" s="2"/>
      <c r="M139" s="2"/>
    </row>
    <row r="140" spans="1:13" s="121" customFormat="1" ht="16.5" customHeight="1">
      <c r="A140" s="1"/>
      <c r="B140" s="120"/>
      <c r="C140" s="4" t="s">
        <v>54</v>
      </c>
      <c r="D140" s="1" t="s">
        <v>55</v>
      </c>
      <c r="E140" s="1">
        <v>8.54</v>
      </c>
      <c r="F140" s="2">
        <f>F139*E140</f>
        <v>94.79399999999998</v>
      </c>
      <c r="G140" s="13"/>
      <c r="H140" s="13"/>
      <c r="I140" s="13">
        <v>6</v>
      </c>
      <c r="J140" s="13">
        <f>F140*I140</f>
        <v>568.7639999999999</v>
      </c>
      <c r="K140" s="13"/>
      <c r="L140" s="13"/>
      <c r="M140" s="13">
        <f>H140+J140+L140</f>
        <v>568.7639999999999</v>
      </c>
    </row>
    <row r="141" spans="1:13" s="121" customFormat="1" ht="13.5">
      <c r="A141" s="1"/>
      <c r="B141" s="120"/>
      <c r="C141" s="4" t="s">
        <v>62</v>
      </c>
      <c r="D141" s="1" t="s">
        <v>43</v>
      </c>
      <c r="E141" s="1">
        <v>1.06</v>
      </c>
      <c r="F141" s="2">
        <f>F139*E141</f>
        <v>11.766</v>
      </c>
      <c r="G141" s="13"/>
      <c r="H141" s="13"/>
      <c r="I141" s="13"/>
      <c r="J141" s="13"/>
      <c r="K141" s="13">
        <v>3.2</v>
      </c>
      <c r="L141" s="13">
        <f>F141*K141</f>
        <v>37.6512</v>
      </c>
      <c r="M141" s="13">
        <f>H141+J141+L141</f>
        <v>37.6512</v>
      </c>
    </row>
    <row r="142" spans="1:13" s="121" customFormat="1" ht="13.5">
      <c r="A142" s="1"/>
      <c r="B142" s="120"/>
      <c r="C142" s="4" t="s">
        <v>56</v>
      </c>
      <c r="D142" s="1"/>
      <c r="E142" s="1"/>
      <c r="F142" s="2">
        <f>E142*2353</f>
        <v>0</v>
      </c>
      <c r="G142" s="13"/>
      <c r="H142" s="13"/>
      <c r="I142" s="13"/>
      <c r="J142" s="13"/>
      <c r="K142" s="13"/>
      <c r="L142" s="13"/>
      <c r="M142" s="13"/>
    </row>
    <row r="143" spans="1:13" s="121" customFormat="1" ht="13.5">
      <c r="A143" s="1"/>
      <c r="B143" s="120"/>
      <c r="C143" s="4" t="s">
        <v>439</v>
      </c>
      <c r="D143" s="1" t="s">
        <v>66</v>
      </c>
      <c r="E143" s="1">
        <v>1.015</v>
      </c>
      <c r="F143" s="2">
        <f>F139*E143</f>
        <v>11.266499999999999</v>
      </c>
      <c r="G143" s="13">
        <v>108</v>
      </c>
      <c r="H143" s="13">
        <f aca="true" t="shared" si="10" ref="H143:H149">F143*G143</f>
        <v>1216.782</v>
      </c>
      <c r="I143" s="13"/>
      <c r="J143" s="13"/>
      <c r="K143" s="13"/>
      <c r="L143" s="13"/>
      <c r="M143" s="13">
        <f aca="true" t="shared" si="11" ref="M143:M149">H143+J143+L143</f>
        <v>1216.782</v>
      </c>
    </row>
    <row r="144" spans="1:13" s="121" customFormat="1" ht="13.5">
      <c r="A144" s="1"/>
      <c r="B144" s="120"/>
      <c r="C144" s="4" t="s">
        <v>144</v>
      </c>
      <c r="D144" s="1" t="s">
        <v>64</v>
      </c>
      <c r="E144" s="1">
        <v>1.4</v>
      </c>
      <c r="F144" s="2">
        <f>F139*E144</f>
        <v>15.54</v>
      </c>
      <c r="G144" s="13">
        <v>15</v>
      </c>
      <c r="H144" s="13">
        <f t="shared" si="10"/>
        <v>233.1</v>
      </c>
      <c r="I144" s="13"/>
      <c r="J144" s="13"/>
      <c r="K144" s="13"/>
      <c r="L144" s="13"/>
      <c r="M144" s="13">
        <f t="shared" si="11"/>
        <v>233.1</v>
      </c>
    </row>
    <row r="145" spans="1:13" s="121" customFormat="1" ht="13.5">
      <c r="A145" s="1"/>
      <c r="B145" s="120"/>
      <c r="C145" s="4" t="s">
        <v>146</v>
      </c>
      <c r="D145" s="1" t="s">
        <v>66</v>
      </c>
      <c r="E145" s="1">
        <v>0.0145</v>
      </c>
      <c r="F145" s="2">
        <f>F139*E145</f>
        <v>0.16095</v>
      </c>
      <c r="G145" s="13">
        <v>535</v>
      </c>
      <c r="H145" s="13">
        <f t="shared" si="10"/>
        <v>86.10825</v>
      </c>
      <c r="I145" s="13"/>
      <c r="J145" s="13"/>
      <c r="K145" s="13"/>
      <c r="L145" s="13"/>
      <c r="M145" s="13">
        <f t="shared" si="11"/>
        <v>86.10825</v>
      </c>
    </row>
    <row r="146" spans="1:13" s="121" customFormat="1" ht="13.5">
      <c r="A146" s="1"/>
      <c r="B146" s="120"/>
      <c r="C146" s="4" t="s">
        <v>103</v>
      </c>
      <c r="D146" s="1" t="s">
        <v>65</v>
      </c>
      <c r="E146" s="1">
        <v>2.5</v>
      </c>
      <c r="F146" s="2">
        <f>F139*E146</f>
        <v>27.75</v>
      </c>
      <c r="G146" s="13">
        <v>3.8</v>
      </c>
      <c r="H146" s="13">
        <f t="shared" si="10"/>
        <v>105.44999999999999</v>
      </c>
      <c r="I146" s="13"/>
      <c r="J146" s="13"/>
      <c r="K146" s="13"/>
      <c r="L146" s="13"/>
      <c r="M146" s="13">
        <f t="shared" si="11"/>
        <v>105.44999999999999</v>
      </c>
    </row>
    <row r="147" spans="1:13" s="121" customFormat="1" ht="13.5">
      <c r="A147" s="1"/>
      <c r="B147" s="120"/>
      <c r="C147" s="4" t="s">
        <v>57</v>
      </c>
      <c r="D147" s="1" t="s">
        <v>43</v>
      </c>
      <c r="E147" s="1">
        <v>0.74</v>
      </c>
      <c r="F147" s="2">
        <f>F139*E147</f>
        <v>8.214</v>
      </c>
      <c r="G147" s="13">
        <v>3.2</v>
      </c>
      <c r="H147" s="13">
        <f t="shared" si="10"/>
        <v>26.284800000000004</v>
      </c>
      <c r="I147" s="13"/>
      <c r="J147" s="13"/>
      <c r="K147" s="13"/>
      <c r="L147" s="13"/>
      <c r="M147" s="13">
        <f t="shared" si="11"/>
        <v>26.284800000000004</v>
      </c>
    </row>
    <row r="148" spans="1:13" ht="13.5">
      <c r="A148" s="47">
        <v>30</v>
      </c>
      <c r="B148" s="126"/>
      <c r="C148" s="38" t="s">
        <v>189</v>
      </c>
      <c r="D148" s="47" t="s">
        <v>75</v>
      </c>
      <c r="E148" s="47"/>
      <c r="F148" s="189">
        <v>0.2641</v>
      </c>
      <c r="G148" s="108">
        <v>1600</v>
      </c>
      <c r="H148" s="108">
        <f t="shared" si="10"/>
        <v>422.56</v>
      </c>
      <c r="I148" s="108"/>
      <c r="J148" s="108"/>
      <c r="K148" s="108"/>
      <c r="L148" s="108"/>
      <c r="M148" s="108">
        <f t="shared" si="11"/>
        <v>422.56</v>
      </c>
    </row>
    <row r="149" spans="1:13" ht="13.5">
      <c r="A149" s="47">
        <v>31</v>
      </c>
      <c r="B149" s="126"/>
      <c r="C149" s="38" t="s">
        <v>148</v>
      </c>
      <c r="D149" s="47" t="s">
        <v>75</v>
      </c>
      <c r="E149" s="47"/>
      <c r="F149" s="189">
        <v>0.6394</v>
      </c>
      <c r="G149" s="108">
        <v>1542</v>
      </c>
      <c r="H149" s="108">
        <f t="shared" si="10"/>
        <v>985.9548</v>
      </c>
      <c r="I149" s="108"/>
      <c r="J149" s="108"/>
      <c r="K149" s="108"/>
      <c r="L149" s="108"/>
      <c r="M149" s="108">
        <f t="shared" si="11"/>
        <v>985.9548</v>
      </c>
    </row>
    <row r="150" spans="1:13" s="135" customFormat="1" ht="27">
      <c r="A150" s="1">
        <v>32</v>
      </c>
      <c r="B150" s="120" t="s">
        <v>440</v>
      </c>
      <c r="C150" s="43" t="s">
        <v>743</v>
      </c>
      <c r="D150" s="1" t="s">
        <v>66</v>
      </c>
      <c r="E150" s="1"/>
      <c r="F150" s="202">
        <v>2.8</v>
      </c>
      <c r="G150" s="13"/>
      <c r="H150" s="13"/>
      <c r="I150" s="13"/>
      <c r="J150" s="13"/>
      <c r="K150" s="13"/>
      <c r="L150" s="13"/>
      <c r="M150" s="13"/>
    </row>
    <row r="151" spans="1:13" s="135" customFormat="1" ht="15" customHeight="1">
      <c r="A151" s="1"/>
      <c r="B151" s="120"/>
      <c r="C151" s="4" t="s">
        <v>54</v>
      </c>
      <c r="D151" s="1" t="s">
        <v>55</v>
      </c>
      <c r="E151" s="1">
        <v>13.5</v>
      </c>
      <c r="F151" s="2">
        <f>F150*E151</f>
        <v>37.8</v>
      </c>
      <c r="G151" s="13"/>
      <c r="H151" s="13"/>
      <c r="I151" s="115">
        <v>6</v>
      </c>
      <c r="J151" s="13">
        <f>F151*I151</f>
        <v>226.79999999999998</v>
      </c>
      <c r="K151" s="13"/>
      <c r="L151" s="13"/>
      <c r="M151" s="13">
        <f>H151+J151+L151</f>
        <v>226.79999999999998</v>
      </c>
    </row>
    <row r="152" spans="1:13" s="135" customFormat="1" ht="13.5">
      <c r="A152" s="1"/>
      <c r="B152" s="120"/>
      <c r="C152" s="4" t="s">
        <v>62</v>
      </c>
      <c r="D152" s="1" t="s">
        <v>43</v>
      </c>
      <c r="E152" s="1">
        <v>1.12</v>
      </c>
      <c r="F152" s="2">
        <f>F150*E152</f>
        <v>3.136</v>
      </c>
      <c r="G152" s="13"/>
      <c r="H152" s="13"/>
      <c r="I152" s="13"/>
      <c r="J152" s="13"/>
      <c r="K152" s="13">
        <v>3.2</v>
      </c>
      <c r="L152" s="13">
        <f>F152*K152</f>
        <v>10.035200000000001</v>
      </c>
      <c r="M152" s="13">
        <f>H152+J152+L152</f>
        <v>10.035200000000001</v>
      </c>
    </row>
    <row r="153" spans="1:13" s="135" customFormat="1" ht="13.5" customHeight="1">
      <c r="A153" s="1"/>
      <c r="B153" s="120"/>
      <c r="C153" s="4" t="s">
        <v>56</v>
      </c>
      <c r="D153" s="1"/>
      <c r="E153" s="1"/>
      <c r="F153" s="2">
        <f>E153*2353</f>
        <v>0</v>
      </c>
      <c r="G153" s="13"/>
      <c r="H153" s="13"/>
      <c r="I153" s="13"/>
      <c r="J153" s="13"/>
      <c r="K153" s="13"/>
      <c r="L153" s="13"/>
      <c r="M153" s="13"/>
    </row>
    <row r="154" spans="1:13" s="135" customFormat="1" ht="13.5">
      <c r="A154" s="1"/>
      <c r="B154" s="120"/>
      <c r="C154" s="4" t="s">
        <v>439</v>
      </c>
      <c r="D154" s="1" t="s">
        <v>66</v>
      </c>
      <c r="E154" s="1">
        <v>1.015</v>
      </c>
      <c r="F154" s="2">
        <f>F150*E154</f>
        <v>2.8419999999999996</v>
      </c>
      <c r="G154" s="13">
        <v>108</v>
      </c>
      <c r="H154" s="13">
        <f aca="true" t="shared" si="12" ref="H154:H160">F154*G154</f>
        <v>306.936</v>
      </c>
      <c r="I154" s="13"/>
      <c r="J154" s="13"/>
      <c r="K154" s="13"/>
      <c r="L154" s="13"/>
      <c r="M154" s="13">
        <f aca="true" t="shared" si="13" ref="M154:M160">H154+J154+L154</f>
        <v>306.936</v>
      </c>
    </row>
    <row r="155" spans="1:13" s="135" customFormat="1" ht="13.5">
      <c r="A155" s="1"/>
      <c r="B155" s="120"/>
      <c r="C155" s="4" t="s">
        <v>144</v>
      </c>
      <c r="D155" s="1" t="s">
        <v>64</v>
      </c>
      <c r="E155" s="1">
        <v>2.9</v>
      </c>
      <c r="F155" s="2">
        <f>F150*E155</f>
        <v>8.12</v>
      </c>
      <c r="G155" s="13">
        <v>15</v>
      </c>
      <c r="H155" s="13">
        <f t="shared" si="12"/>
        <v>121.79999999999998</v>
      </c>
      <c r="I155" s="13"/>
      <c r="J155" s="13"/>
      <c r="K155" s="13"/>
      <c r="L155" s="13"/>
      <c r="M155" s="13">
        <f t="shared" si="13"/>
        <v>121.79999999999998</v>
      </c>
    </row>
    <row r="156" spans="1:13" s="135" customFormat="1" ht="13.5">
      <c r="A156" s="1"/>
      <c r="B156" s="120"/>
      <c r="C156" s="4" t="s">
        <v>146</v>
      </c>
      <c r="D156" s="1" t="s">
        <v>66</v>
      </c>
      <c r="E156" s="1">
        <v>0.0378</v>
      </c>
      <c r="F156" s="2">
        <f>F150*E156</f>
        <v>0.10583999999999999</v>
      </c>
      <c r="G156" s="13">
        <v>535</v>
      </c>
      <c r="H156" s="13">
        <f t="shared" si="12"/>
        <v>56.624399999999994</v>
      </c>
      <c r="I156" s="13"/>
      <c r="J156" s="13"/>
      <c r="K156" s="13"/>
      <c r="L156" s="13"/>
      <c r="M156" s="13">
        <f t="shared" si="13"/>
        <v>56.624399999999994</v>
      </c>
    </row>
    <row r="157" spans="1:13" s="135" customFormat="1" ht="13.5">
      <c r="A157" s="1"/>
      <c r="B157" s="120"/>
      <c r="C157" s="4" t="s">
        <v>103</v>
      </c>
      <c r="D157" s="1" t="s">
        <v>65</v>
      </c>
      <c r="E157" s="1">
        <v>2.3</v>
      </c>
      <c r="F157" s="2">
        <f>F150*E157</f>
        <v>6.4399999999999995</v>
      </c>
      <c r="G157" s="13">
        <v>3.8</v>
      </c>
      <c r="H157" s="13">
        <f t="shared" si="12"/>
        <v>24.471999999999998</v>
      </c>
      <c r="I157" s="13"/>
      <c r="J157" s="13"/>
      <c r="K157" s="13"/>
      <c r="L157" s="13"/>
      <c r="M157" s="13">
        <f t="shared" si="13"/>
        <v>24.471999999999998</v>
      </c>
    </row>
    <row r="158" spans="1:13" s="135" customFormat="1" ht="13.5">
      <c r="A158" s="1"/>
      <c r="B158" s="120"/>
      <c r="C158" s="4" t="s">
        <v>57</v>
      </c>
      <c r="D158" s="1" t="s">
        <v>43</v>
      </c>
      <c r="E158" s="1">
        <v>0.95</v>
      </c>
      <c r="F158" s="2">
        <f>F150*E158</f>
        <v>2.6599999999999997</v>
      </c>
      <c r="G158" s="13">
        <v>3.2</v>
      </c>
      <c r="H158" s="13">
        <f t="shared" si="12"/>
        <v>8.511999999999999</v>
      </c>
      <c r="I158" s="13"/>
      <c r="J158" s="13"/>
      <c r="K158" s="13"/>
      <c r="L158" s="13"/>
      <c r="M158" s="13">
        <f t="shared" si="13"/>
        <v>8.511999999999999</v>
      </c>
    </row>
    <row r="159" spans="1:13" ht="13.5">
      <c r="A159" s="47">
        <v>33</v>
      </c>
      <c r="B159" s="126"/>
      <c r="C159" s="38" t="s">
        <v>189</v>
      </c>
      <c r="D159" s="47" t="s">
        <v>75</v>
      </c>
      <c r="E159" s="47"/>
      <c r="F159" s="189">
        <v>0.0896</v>
      </c>
      <c r="G159" s="108">
        <v>1600</v>
      </c>
      <c r="H159" s="108">
        <f t="shared" si="12"/>
        <v>143.35999999999999</v>
      </c>
      <c r="I159" s="108"/>
      <c r="J159" s="108"/>
      <c r="K159" s="108"/>
      <c r="L159" s="108"/>
      <c r="M159" s="108">
        <f t="shared" si="13"/>
        <v>143.35999999999999</v>
      </c>
    </row>
    <row r="160" spans="1:13" ht="13.5">
      <c r="A160" s="47">
        <v>34</v>
      </c>
      <c r="B160" s="126"/>
      <c r="C160" s="38" t="s">
        <v>148</v>
      </c>
      <c r="D160" s="47" t="s">
        <v>75</v>
      </c>
      <c r="E160" s="47"/>
      <c r="F160" s="189">
        <v>0.2044</v>
      </c>
      <c r="G160" s="108">
        <v>1542</v>
      </c>
      <c r="H160" s="108">
        <f t="shared" si="12"/>
        <v>315.1848</v>
      </c>
      <c r="I160" s="108"/>
      <c r="J160" s="108"/>
      <c r="K160" s="108"/>
      <c r="L160" s="108"/>
      <c r="M160" s="108">
        <f t="shared" si="13"/>
        <v>315.1848</v>
      </c>
    </row>
    <row r="161" spans="1:13" s="246" customFormat="1" ht="54">
      <c r="A161" s="244">
        <v>35</v>
      </c>
      <c r="B161" s="149" t="s">
        <v>556</v>
      </c>
      <c r="C161" s="92" t="s">
        <v>557</v>
      </c>
      <c r="D161" s="77" t="s">
        <v>66</v>
      </c>
      <c r="E161" s="244"/>
      <c r="F161" s="202">
        <v>232</v>
      </c>
      <c r="G161" s="245"/>
      <c r="H161" s="245"/>
      <c r="I161" s="245"/>
      <c r="J161" s="245"/>
      <c r="K161" s="245"/>
      <c r="L161" s="245"/>
      <c r="M161" s="245"/>
    </row>
    <row r="162" spans="1:13" s="121" customFormat="1" ht="14.25" customHeight="1">
      <c r="A162" s="1"/>
      <c r="B162" s="20"/>
      <c r="C162" s="4" t="s">
        <v>54</v>
      </c>
      <c r="D162" s="1" t="s">
        <v>55</v>
      </c>
      <c r="E162" s="1">
        <v>4.48</v>
      </c>
      <c r="F162" s="235">
        <f>F161*E162</f>
        <v>1039.3600000000001</v>
      </c>
      <c r="G162" s="235"/>
      <c r="H162" s="235"/>
      <c r="I162" s="235">
        <v>7.8</v>
      </c>
      <c r="J162" s="235">
        <f>F162*I162</f>
        <v>8107.008000000001</v>
      </c>
      <c r="K162" s="235"/>
      <c r="L162" s="235"/>
      <c r="M162" s="235">
        <f>H162+J162+L162</f>
        <v>8107.008000000001</v>
      </c>
    </row>
    <row r="163" spans="1:13" s="121" customFormat="1" ht="13.5">
      <c r="A163" s="1"/>
      <c r="B163" s="20"/>
      <c r="C163" s="4" t="s">
        <v>62</v>
      </c>
      <c r="D163" s="1" t="s">
        <v>43</v>
      </c>
      <c r="E163" s="1">
        <v>0.88</v>
      </c>
      <c r="F163" s="235">
        <f>F161*E163</f>
        <v>204.16</v>
      </c>
      <c r="G163" s="235"/>
      <c r="H163" s="235"/>
      <c r="I163" s="235"/>
      <c r="J163" s="235"/>
      <c r="K163" s="235">
        <v>3.2</v>
      </c>
      <c r="L163" s="235">
        <f>F163*K163</f>
        <v>653.312</v>
      </c>
      <c r="M163" s="235">
        <f>H163+J163+L163</f>
        <v>653.312</v>
      </c>
    </row>
    <row r="164" spans="1:13" s="121" customFormat="1" ht="13.5">
      <c r="A164" s="1"/>
      <c r="B164" s="20"/>
      <c r="C164" s="4" t="s">
        <v>56</v>
      </c>
      <c r="D164" s="1"/>
      <c r="E164" s="1"/>
      <c r="F164" s="235"/>
      <c r="G164" s="235"/>
      <c r="H164" s="235"/>
      <c r="I164" s="235"/>
      <c r="J164" s="235"/>
      <c r="K164" s="235"/>
      <c r="L164" s="235"/>
      <c r="M164" s="235"/>
    </row>
    <row r="165" spans="1:13" s="121" customFormat="1" ht="13.5">
      <c r="A165" s="1"/>
      <c r="B165" s="20"/>
      <c r="C165" s="4" t="s">
        <v>555</v>
      </c>
      <c r="D165" s="1" t="s">
        <v>66</v>
      </c>
      <c r="E165" s="1">
        <v>0.22</v>
      </c>
      <c r="F165" s="235">
        <f>F161*E165</f>
        <v>51.04</v>
      </c>
      <c r="G165" s="235">
        <v>85</v>
      </c>
      <c r="H165" s="235">
        <f>F165*G165</f>
        <v>4338.4</v>
      </c>
      <c r="I165" s="235"/>
      <c r="J165" s="235"/>
      <c r="K165" s="235"/>
      <c r="L165" s="235"/>
      <c r="M165" s="235">
        <f>H165+J165+L165</f>
        <v>4338.4</v>
      </c>
    </row>
    <row r="166" spans="1:13" s="121" customFormat="1" ht="13.5">
      <c r="A166" s="1"/>
      <c r="B166" s="20"/>
      <c r="C166" s="4" t="s">
        <v>160</v>
      </c>
      <c r="D166" s="1" t="s">
        <v>161</v>
      </c>
      <c r="E166" s="1">
        <v>0.4</v>
      </c>
      <c r="F166" s="235">
        <f>F161*E166</f>
        <v>92.80000000000001</v>
      </c>
      <c r="G166" s="235">
        <v>410</v>
      </c>
      <c r="H166" s="235">
        <f>F166*G166</f>
        <v>38048.00000000001</v>
      </c>
      <c r="I166" s="235"/>
      <c r="J166" s="235"/>
      <c r="K166" s="235"/>
      <c r="L166" s="235"/>
      <c r="M166" s="235">
        <f>H166+J166+L166</f>
        <v>38048.00000000001</v>
      </c>
    </row>
    <row r="167" spans="1:13" s="121" customFormat="1" ht="13.5">
      <c r="A167" s="37"/>
      <c r="B167" s="153"/>
      <c r="C167" s="36" t="s">
        <v>57</v>
      </c>
      <c r="D167" s="37" t="s">
        <v>43</v>
      </c>
      <c r="E167" s="37">
        <v>0.38</v>
      </c>
      <c r="F167" s="247">
        <f>F161*E167</f>
        <v>88.16</v>
      </c>
      <c r="G167" s="247">
        <v>3.2</v>
      </c>
      <c r="H167" s="247">
        <f>F167*G167</f>
        <v>282.112</v>
      </c>
      <c r="I167" s="247"/>
      <c r="J167" s="247"/>
      <c r="K167" s="247"/>
      <c r="L167" s="247"/>
      <c r="M167" s="247">
        <f>H167+J167+L167</f>
        <v>282.112</v>
      </c>
    </row>
    <row r="168" spans="1:13" s="331" customFormat="1" ht="27">
      <c r="A168" s="77">
        <v>36</v>
      </c>
      <c r="B168" s="493" t="s">
        <v>320</v>
      </c>
      <c r="C168" s="92" t="s">
        <v>415</v>
      </c>
      <c r="D168" s="77" t="s">
        <v>66</v>
      </c>
      <c r="E168" s="77"/>
      <c r="F168" s="202">
        <v>13</v>
      </c>
      <c r="G168" s="236"/>
      <c r="H168" s="236"/>
      <c r="I168" s="236"/>
      <c r="J168" s="236"/>
      <c r="K168" s="236"/>
      <c r="L168" s="236"/>
      <c r="M168" s="236"/>
    </row>
    <row r="169" spans="1:13" s="331" customFormat="1" ht="13.5">
      <c r="A169" s="65"/>
      <c r="B169" s="494"/>
      <c r="C169" s="111" t="s">
        <v>54</v>
      </c>
      <c r="D169" s="65" t="s">
        <v>55</v>
      </c>
      <c r="E169" s="65">
        <v>3.36</v>
      </c>
      <c r="F169" s="89">
        <f>F168*E169</f>
        <v>43.68</v>
      </c>
      <c r="G169" s="210"/>
      <c r="H169" s="210"/>
      <c r="I169" s="89">
        <v>7.8</v>
      </c>
      <c r="J169" s="210">
        <f>F169*I169</f>
        <v>340.704</v>
      </c>
      <c r="K169" s="210"/>
      <c r="L169" s="210"/>
      <c r="M169" s="210">
        <f>H169+J169+L169</f>
        <v>340.704</v>
      </c>
    </row>
    <row r="170" spans="1:13" s="331" customFormat="1" ht="13.5">
      <c r="A170" s="65"/>
      <c r="B170" s="494"/>
      <c r="C170" s="111" t="s">
        <v>62</v>
      </c>
      <c r="D170" s="65" t="s">
        <v>43</v>
      </c>
      <c r="E170" s="65">
        <v>0.92</v>
      </c>
      <c r="F170" s="89">
        <f>F168*E170</f>
        <v>11.96</v>
      </c>
      <c r="G170" s="210"/>
      <c r="H170" s="210"/>
      <c r="I170" s="210"/>
      <c r="J170" s="210"/>
      <c r="K170" s="210">
        <v>3.2</v>
      </c>
      <c r="L170" s="210">
        <f>F170*K170</f>
        <v>38.272000000000006</v>
      </c>
      <c r="M170" s="210">
        <f>H170+J170+L170</f>
        <v>38.272000000000006</v>
      </c>
    </row>
    <row r="171" spans="1:13" s="331" customFormat="1" ht="13.5">
      <c r="A171" s="65"/>
      <c r="B171" s="494"/>
      <c r="C171" s="79" t="s">
        <v>56</v>
      </c>
      <c r="D171" s="65"/>
      <c r="E171" s="65"/>
      <c r="F171" s="89"/>
      <c r="G171" s="210"/>
      <c r="H171" s="210"/>
      <c r="I171" s="210"/>
      <c r="J171" s="210"/>
      <c r="K171" s="210"/>
      <c r="L171" s="210"/>
      <c r="M171" s="210"/>
    </row>
    <row r="172" spans="1:13" s="331" customFormat="1" ht="13.5">
      <c r="A172" s="65"/>
      <c r="B172" s="494"/>
      <c r="C172" s="111" t="s">
        <v>555</v>
      </c>
      <c r="D172" s="65" t="s">
        <v>66</v>
      </c>
      <c r="E172" s="65">
        <v>0.11</v>
      </c>
      <c r="F172" s="89">
        <f>F168*E172</f>
        <v>1.43</v>
      </c>
      <c r="G172" s="210">
        <v>85</v>
      </c>
      <c r="H172" s="210">
        <f>F172*G172</f>
        <v>121.55</v>
      </c>
      <c r="I172" s="210"/>
      <c r="J172" s="210"/>
      <c r="K172" s="210"/>
      <c r="L172" s="210"/>
      <c r="M172" s="210">
        <f>H172+J172+L172</f>
        <v>121.55</v>
      </c>
    </row>
    <row r="173" spans="1:13" s="331" customFormat="1" ht="13.5">
      <c r="A173" s="65"/>
      <c r="B173" s="494"/>
      <c r="C173" s="111" t="s">
        <v>321</v>
      </c>
      <c r="D173" s="65" t="s">
        <v>121</v>
      </c>
      <c r="E173" s="65">
        <v>65.346</v>
      </c>
      <c r="F173" s="89">
        <f>F168*E173</f>
        <v>849.498</v>
      </c>
      <c r="G173" s="210">
        <v>1</v>
      </c>
      <c r="H173" s="210">
        <f>F173*G173</f>
        <v>849.498</v>
      </c>
      <c r="I173" s="210"/>
      <c r="J173" s="210"/>
      <c r="K173" s="210"/>
      <c r="L173" s="210"/>
      <c r="M173" s="210">
        <f>H173+J173+L173</f>
        <v>849.498</v>
      </c>
    </row>
    <row r="174" spans="1:13" s="331" customFormat="1" ht="16.5" customHeight="1">
      <c r="A174" s="65"/>
      <c r="B174" s="494"/>
      <c r="C174" s="111" t="s">
        <v>57</v>
      </c>
      <c r="D174" s="69" t="s">
        <v>43</v>
      </c>
      <c r="E174" s="65">
        <v>0.16</v>
      </c>
      <c r="F174" s="89">
        <f>F168*E174</f>
        <v>2.08</v>
      </c>
      <c r="G174" s="210">
        <v>3.2</v>
      </c>
      <c r="H174" s="210">
        <f>F174*G174</f>
        <v>6.656000000000001</v>
      </c>
      <c r="I174" s="210"/>
      <c r="J174" s="210"/>
      <c r="K174" s="210"/>
      <c r="L174" s="210"/>
      <c r="M174" s="210">
        <f>H174+J174+L174</f>
        <v>6.656000000000001</v>
      </c>
    </row>
    <row r="175" spans="1:13" s="332" customFormat="1" ht="81">
      <c r="A175" s="76">
        <v>37</v>
      </c>
      <c r="B175" s="141" t="s">
        <v>669</v>
      </c>
      <c r="C175" s="86" t="s">
        <v>744</v>
      </c>
      <c r="D175" s="76" t="s">
        <v>64</v>
      </c>
      <c r="E175" s="76"/>
      <c r="F175" s="202">
        <v>710.5</v>
      </c>
      <c r="G175" s="204"/>
      <c r="H175" s="204"/>
      <c r="I175" s="204"/>
      <c r="J175" s="204"/>
      <c r="K175" s="204"/>
      <c r="L175" s="204"/>
      <c r="M175" s="204"/>
    </row>
    <row r="176" spans="1:13" s="332" customFormat="1" ht="13.5">
      <c r="A176" s="62"/>
      <c r="B176" s="142"/>
      <c r="C176" s="63" t="s">
        <v>141</v>
      </c>
      <c r="D176" s="62" t="s">
        <v>55</v>
      </c>
      <c r="E176" s="62">
        <v>2.52</v>
      </c>
      <c r="F176" s="89">
        <f>F175*E176</f>
        <v>1790.46</v>
      </c>
      <c r="G176" s="89"/>
      <c r="H176" s="89"/>
      <c r="I176" s="89">
        <v>6</v>
      </c>
      <c r="J176" s="89">
        <f>F176*I176</f>
        <v>10742.76</v>
      </c>
      <c r="K176" s="89"/>
      <c r="L176" s="89"/>
      <c r="M176" s="89">
        <f>H176+J176+L176</f>
        <v>10742.76</v>
      </c>
    </row>
    <row r="177" spans="1:13" s="332" customFormat="1" ht="13.5">
      <c r="A177" s="62"/>
      <c r="B177" s="142"/>
      <c r="C177" s="63" t="s">
        <v>62</v>
      </c>
      <c r="D177" s="65" t="s">
        <v>43</v>
      </c>
      <c r="E177" s="62">
        <v>0.091</v>
      </c>
      <c r="F177" s="89">
        <f>F175*E177</f>
        <v>64.6555</v>
      </c>
      <c r="G177" s="89"/>
      <c r="H177" s="89"/>
      <c r="I177" s="89"/>
      <c r="J177" s="89"/>
      <c r="K177" s="89">
        <v>3.2</v>
      </c>
      <c r="L177" s="89">
        <f>F177*K177</f>
        <v>206.8976</v>
      </c>
      <c r="M177" s="89">
        <f>H177+J177+L177</f>
        <v>206.8976</v>
      </c>
    </row>
    <row r="178" spans="1:13" s="332" customFormat="1" ht="13.5">
      <c r="A178" s="62"/>
      <c r="B178" s="142"/>
      <c r="C178" s="79" t="s">
        <v>56</v>
      </c>
      <c r="D178" s="62"/>
      <c r="E178" s="62"/>
      <c r="F178" s="89"/>
      <c r="G178" s="89"/>
      <c r="H178" s="89"/>
      <c r="I178" s="89"/>
      <c r="J178" s="89"/>
      <c r="K178" s="89"/>
      <c r="L178" s="89"/>
      <c r="M178" s="89"/>
    </row>
    <row r="179" spans="1:13" s="332" customFormat="1" ht="13.5">
      <c r="A179" s="62"/>
      <c r="B179" s="142"/>
      <c r="C179" s="150" t="s">
        <v>670</v>
      </c>
      <c r="D179" s="62" t="s">
        <v>64</v>
      </c>
      <c r="E179" s="62">
        <v>4.2</v>
      </c>
      <c r="F179" s="89">
        <f>F175*E179</f>
        <v>2984.1</v>
      </c>
      <c r="G179" s="210">
        <v>4.4</v>
      </c>
      <c r="H179" s="210">
        <f>F179*G179</f>
        <v>13130.04</v>
      </c>
      <c r="I179" s="210"/>
      <c r="J179" s="210"/>
      <c r="K179" s="210"/>
      <c r="L179" s="210"/>
      <c r="M179" s="210">
        <f>H179+J179+L179</f>
        <v>13130.04</v>
      </c>
    </row>
    <row r="180" spans="1:13" s="332" customFormat="1" ht="13.5">
      <c r="A180" s="62"/>
      <c r="B180" s="142"/>
      <c r="C180" s="150" t="s">
        <v>671</v>
      </c>
      <c r="D180" s="62" t="s">
        <v>64</v>
      </c>
      <c r="E180" s="62">
        <v>1.03</v>
      </c>
      <c r="F180" s="89">
        <f>F175*E180</f>
        <v>731.815</v>
      </c>
      <c r="G180" s="210">
        <v>2.37</v>
      </c>
      <c r="H180" s="210">
        <f>F180*G180</f>
        <v>1734.4015500000003</v>
      </c>
      <c r="I180" s="210"/>
      <c r="J180" s="210"/>
      <c r="K180" s="210"/>
      <c r="L180" s="210"/>
      <c r="M180" s="210">
        <f>H180+J180+L180</f>
        <v>1734.4015500000003</v>
      </c>
    </row>
    <row r="181" spans="1:13" s="332" customFormat="1" ht="13.5">
      <c r="A181" s="62"/>
      <c r="B181" s="143"/>
      <c r="C181" s="63" t="s">
        <v>346</v>
      </c>
      <c r="D181" s="69" t="s">
        <v>43</v>
      </c>
      <c r="E181" s="62">
        <v>0.164</v>
      </c>
      <c r="F181" s="89">
        <f>F175*E181</f>
        <v>116.522</v>
      </c>
      <c r="G181" s="210">
        <v>3.2</v>
      </c>
      <c r="H181" s="210">
        <f>F181*G181</f>
        <v>372.8704</v>
      </c>
      <c r="I181" s="210"/>
      <c r="J181" s="210"/>
      <c r="K181" s="210"/>
      <c r="L181" s="210"/>
      <c r="M181" s="210">
        <f>H181+J181+L181</f>
        <v>372.8704</v>
      </c>
    </row>
    <row r="182" spans="1:13" s="332" customFormat="1" ht="81">
      <c r="A182" s="76">
        <v>38</v>
      </c>
      <c r="B182" s="141" t="s">
        <v>669</v>
      </c>
      <c r="C182" s="86" t="s">
        <v>745</v>
      </c>
      <c r="D182" s="76" t="s">
        <v>64</v>
      </c>
      <c r="E182" s="76"/>
      <c r="F182" s="202">
        <v>957</v>
      </c>
      <c r="G182" s="204"/>
      <c r="H182" s="204"/>
      <c r="I182" s="204"/>
      <c r="J182" s="204"/>
      <c r="K182" s="204"/>
      <c r="L182" s="204"/>
      <c r="M182" s="204"/>
    </row>
    <row r="183" spans="1:13" s="332" customFormat="1" ht="13.5">
      <c r="A183" s="62"/>
      <c r="B183" s="142"/>
      <c r="C183" s="63" t="s">
        <v>141</v>
      </c>
      <c r="D183" s="62" t="s">
        <v>55</v>
      </c>
      <c r="E183" s="62">
        <v>2.52</v>
      </c>
      <c r="F183" s="89">
        <f>F182*E183</f>
        <v>2411.64</v>
      </c>
      <c r="G183" s="89"/>
      <c r="H183" s="89"/>
      <c r="I183" s="89">
        <v>6</v>
      </c>
      <c r="J183" s="89">
        <f>F183*I183</f>
        <v>14469.84</v>
      </c>
      <c r="K183" s="89"/>
      <c r="L183" s="89"/>
      <c r="M183" s="89">
        <f>H183+J183+L183</f>
        <v>14469.84</v>
      </c>
    </row>
    <row r="184" spans="1:13" s="332" customFormat="1" ht="13.5">
      <c r="A184" s="62"/>
      <c r="B184" s="142"/>
      <c r="C184" s="63" t="s">
        <v>62</v>
      </c>
      <c r="D184" s="65" t="s">
        <v>43</v>
      </c>
      <c r="E184" s="62">
        <v>0.091</v>
      </c>
      <c r="F184" s="89">
        <f>F182*E184</f>
        <v>87.087</v>
      </c>
      <c r="G184" s="89"/>
      <c r="H184" s="89"/>
      <c r="I184" s="89"/>
      <c r="J184" s="89"/>
      <c r="K184" s="89">
        <v>3.2</v>
      </c>
      <c r="L184" s="89">
        <f>F184*K184</f>
        <v>278.6784</v>
      </c>
      <c r="M184" s="89">
        <f>H184+J184+L184</f>
        <v>278.6784</v>
      </c>
    </row>
    <row r="185" spans="1:13" s="332" customFormat="1" ht="13.5">
      <c r="A185" s="62"/>
      <c r="B185" s="142"/>
      <c r="C185" s="79" t="s">
        <v>56</v>
      </c>
      <c r="D185" s="62"/>
      <c r="E185" s="62"/>
      <c r="F185" s="89"/>
      <c r="G185" s="89"/>
      <c r="H185" s="89"/>
      <c r="I185" s="89"/>
      <c r="J185" s="89"/>
      <c r="K185" s="89"/>
      <c r="L185" s="89"/>
      <c r="M185" s="89"/>
    </row>
    <row r="186" spans="1:13" s="332" customFormat="1" ht="13.5">
      <c r="A186" s="62"/>
      <c r="B186" s="142"/>
      <c r="C186" s="150" t="s">
        <v>670</v>
      </c>
      <c r="D186" s="62" t="s">
        <v>64</v>
      </c>
      <c r="E186" s="62">
        <v>4.2</v>
      </c>
      <c r="F186" s="89">
        <f>F182*E186</f>
        <v>4019.4</v>
      </c>
      <c r="G186" s="210">
        <v>5.7</v>
      </c>
      <c r="H186" s="210">
        <f>F186*G186</f>
        <v>22910.58</v>
      </c>
      <c r="I186" s="210"/>
      <c r="J186" s="210"/>
      <c r="K186" s="210"/>
      <c r="L186" s="210"/>
      <c r="M186" s="210">
        <f>H186+J186+L186</f>
        <v>22910.58</v>
      </c>
    </row>
    <row r="187" spans="1:13" s="332" customFormat="1" ht="13.5">
      <c r="A187" s="62"/>
      <c r="B187" s="142"/>
      <c r="C187" s="150" t="s">
        <v>671</v>
      </c>
      <c r="D187" s="62" t="s">
        <v>64</v>
      </c>
      <c r="E187" s="62">
        <v>1.03</v>
      </c>
      <c r="F187" s="89">
        <f>F182*E187</f>
        <v>985.71</v>
      </c>
      <c r="G187" s="210">
        <v>2.37</v>
      </c>
      <c r="H187" s="210">
        <f>F187*G187</f>
        <v>2336.1327</v>
      </c>
      <c r="I187" s="210"/>
      <c r="J187" s="210"/>
      <c r="K187" s="210"/>
      <c r="L187" s="210"/>
      <c r="M187" s="210">
        <f>H187+J187+L187</f>
        <v>2336.1327</v>
      </c>
    </row>
    <row r="188" spans="1:13" s="332" customFormat="1" ht="13.5">
      <c r="A188" s="62"/>
      <c r="B188" s="143"/>
      <c r="C188" s="63" t="s">
        <v>346</v>
      </c>
      <c r="D188" s="69" t="s">
        <v>43</v>
      </c>
      <c r="E188" s="62">
        <v>0.164</v>
      </c>
      <c r="F188" s="89">
        <f>F182*E188</f>
        <v>156.948</v>
      </c>
      <c r="G188" s="210">
        <v>3.2</v>
      </c>
      <c r="H188" s="210">
        <f>F188*G188</f>
        <v>502.2336</v>
      </c>
      <c r="I188" s="210"/>
      <c r="J188" s="210"/>
      <c r="K188" s="210"/>
      <c r="L188" s="210"/>
      <c r="M188" s="210">
        <f>H188+J188+L188</f>
        <v>502.2336</v>
      </c>
    </row>
    <row r="189" spans="1:13" ht="13.5">
      <c r="A189" s="52"/>
      <c r="B189" s="325"/>
      <c r="C189" s="277" t="s">
        <v>15</v>
      </c>
      <c r="D189" s="52"/>
      <c r="E189" s="52"/>
      <c r="F189" s="161"/>
      <c r="G189" s="161"/>
      <c r="H189" s="161">
        <f>SUM(H71:H188)</f>
        <v>446567.71657</v>
      </c>
      <c r="I189" s="161"/>
      <c r="J189" s="161">
        <f>SUM(J71:J188)</f>
        <v>109216.67279999999</v>
      </c>
      <c r="K189" s="161"/>
      <c r="L189" s="161">
        <f>SUM(L71:L188)</f>
        <v>5545.49312</v>
      </c>
      <c r="M189" s="161">
        <f>SUM(M71:M188)</f>
        <v>561329.88249</v>
      </c>
    </row>
    <row r="190" spans="1:13" ht="16.5">
      <c r="A190" s="47"/>
      <c r="B190" s="325"/>
      <c r="C190" s="333" t="s">
        <v>16</v>
      </c>
      <c r="D190" s="47"/>
      <c r="E190" s="47"/>
      <c r="F190" s="108"/>
      <c r="G190" s="108"/>
      <c r="H190" s="108"/>
      <c r="I190" s="108"/>
      <c r="J190" s="108"/>
      <c r="K190" s="108"/>
      <c r="L190" s="108"/>
      <c r="M190" s="108"/>
    </row>
    <row r="191" spans="1:13" s="331" customFormat="1" ht="67.5">
      <c r="A191" s="77">
        <v>39</v>
      </c>
      <c r="B191" s="212" t="s">
        <v>36</v>
      </c>
      <c r="C191" s="92" t="s">
        <v>865</v>
      </c>
      <c r="D191" s="113" t="s">
        <v>66</v>
      </c>
      <c r="E191" s="113"/>
      <c r="F191" s="239">
        <f>1.31+1+1+2+2.56+0.42+16+1+2.6</f>
        <v>27.89</v>
      </c>
      <c r="G191" s="204"/>
      <c r="H191" s="204"/>
      <c r="I191" s="204"/>
      <c r="J191" s="204"/>
      <c r="K191" s="204"/>
      <c r="L191" s="204"/>
      <c r="M191" s="204"/>
    </row>
    <row r="192" spans="1:13" s="331" customFormat="1" ht="13.5">
      <c r="A192" s="65"/>
      <c r="B192" s="137"/>
      <c r="C192" s="205" t="s">
        <v>54</v>
      </c>
      <c r="D192" s="65" t="s">
        <v>55</v>
      </c>
      <c r="E192" s="206">
        <v>23.8</v>
      </c>
      <c r="F192" s="89">
        <f>F191*E192</f>
        <v>663.782</v>
      </c>
      <c r="G192" s="89"/>
      <c r="H192" s="89"/>
      <c r="I192" s="89">
        <v>7.8</v>
      </c>
      <c r="J192" s="89">
        <f>F192*I192</f>
        <v>5177.4996</v>
      </c>
      <c r="K192" s="89"/>
      <c r="L192" s="89"/>
      <c r="M192" s="89">
        <f>H192+J192+L192</f>
        <v>5177.4996</v>
      </c>
    </row>
    <row r="193" spans="1:13" s="331" customFormat="1" ht="13.5">
      <c r="A193" s="65"/>
      <c r="B193" s="137"/>
      <c r="C193" s="205" t="s">
        <v>62</v>
      </c>
      <c r="D193" s="65" t="s">
        <v>43</v>
      </c>
      <c r="E193" s="206">
        <v>2.1</v>
      </c>
      <c r="F193" s="89">
        <f>F191*E193</f>
        <v>58.569</v>
      </c>
      <c r="G193" s="89"/>
      <c r="H193" s="89"/>
      <c r="I193" s="89"/>
      <c r="J193" s="89"/>
      <c r="K193" s="89">
        <v>3.2</v>
      </c>
      <c r="L193" s="89">
        <f>F193*K193</f>
        <v>187.4208</v>
      </c>
      <c r="M193" s="89">
        <f>H193+J193+L193</f>
        <v>187.4208</v>
      </c>
    </row>
    <row r="194" spans="1:13" s="331" customFormat="1" ht="13.5">
      <c r="A194" s="65"/>
      <c r="B194" s="137"/>
      <c r="C194" s="207" t="s">
        <v>56</v>
      </c>
      <c r="D194" s="65"/>
      <c r="E194" s="206"/>
      <c r="F194" s="89"/>
      <c r="G194" s="89"/>
      <c r="H194" s="89"/>
      <c r="I194" s="89"/>
      <c r="J194" s="89"/>
      <c r="K194" s="89"/>
      <c r="L194" s="89"/>
      <c r="M194" s="89"/>
    </row>
    <row r="195" spans="1:13" s="331" customFormat="1" ht="13.5">
      <c r="A195" s="65"/>
      <c r="B195" s="137"/>
      <c r="C195" s="205" t="s">
        <v>84</v>
      </c>
      <c r="D195" s="65" t="s">
        <v>66</v>
      </c>
      <c r="E195" s="206">
        <v>0.22</v>
      </c>
      <c r="F195" s="89">
        <f>F191*E195</f>
        <v>6.135800000000001</v>
      </c>
      <c r="G195" s="89">
        <v>509</v>
      </c>
      <c r="H195" s="89">
        <f aca="true" t="shared" si="14" ref="H195:H201">F195*G195</f>
        <v>3123.1222000000002</v>
      </c>
      <c r="I195" s="89"/>
      <c r="J195" s="89"/>
      <c r="K195" s="89"/>
      <c r="L195" s="89"/>
      <c r="M195" s="89">
        <f aca="true" t="shared" si="15" ref="M195:M201">H195+J195+L195</f>
        <v>3123.1222000000002</v>
      </c>
    </row>
    <row r="196" spans="1:13" s="331" customFormat="1" ht="13.5">
      <c r="A196" s="65"/>
      <c r="B196" s="137"/>
      <c r="C196" s="205" t="s">
        <v>442</v>
      </c>
      <c r="D196" s="65" t="s">
        <v>66</v>
      </c>
      <c r="E196" s="206">
        <v>0.83</v>
      </c>
      <c r="F196" s="89">
        <f>F191*E196</f>
        <v>23.148699999999998</v>
      </c>
      <c r="G196" s="89">
        <v>572</v>
      </c>
      <c r="H196" s="89">
        <f t="shared" si="14"/>
        <v>13241.0564</v>
      </c>
      <c r="I196" s="89"/>
      <c r="J196" s="89"/>
      <c r="K196" s="89"/>
      <c r="L196" s="89"/>
      <c r="M196" s="89">
        <f t="shared" si="15"/>
        <v>13241.0564</v>
      </c>
    </row>
    <row r="197" spans="1:13" s="331" customFormat="1" ht="13.5">
      <c r="A197" s="65"/>
      <c r="B197" s="137"/>
      <c r="C197" s="205" t="s">
        <v>37</v>
      </c>
      <c r="D197" s="65" t="s">
        <v>65</v>
      </c>
      <c r="E197" s="206">
        <v>7.2</v>
      </c>
      <c r="F197" s="89">
        <f>F191*E197</f>
        <v>200.80800000000002</v>
      </c>
      <c r="G197" s="89">
        <v>2.9</v>
      </c>
      <c r="H197" s="89">
        <f t="shared" si="14"/>
        <v>582.3432</v>
      </c>
      <c r="I197" s="89"/>
      <c r="J197" s="89"/>
      <c r="K197" s="89"/>
      <c r="L197" s="89"/>
      <c r="M197" s="89">
        <f t="shared" si="15"/>
        <v>582.3432</v>
      </c>
    </row>
    <row r="198" spans="1:13" s="331" customFormat="1" ht="13.5">
      <c r="A198" s="65"/>
      <c r="B198" s="137"/>
      <c r="C198" s="205" t="s">
        <v>14</v>
      </c>
      <c r="D198" s="65" t="s">
        <v>65</v>
      </c>
      <c r="E198" s="206">
        <v>1.96</v>
      </c>
      <c r="F198" s="89">
        <f>F191*E198</f>
        <v>54.6644</v>
      </c>
      <c r="G198" s="89">
        <v>5.5</v>
      </c>
      <c r="H198" s="89">
        <f t="shared" si="14"/>
        <v>300.6542</v>
      </c>
      <c r="I198" s="89"/>
      <c r="J198" s="89"/>
      <c r="K198" s="89"/>
      <c r="L198" s="89"/>
      <c r="M198" s="89">
        <f t="shared" si="15"/>
        <v>300.6542</v>
      </c>
    </row>
    <row r="199" spans="1:13" s="331" customFormat="1" ht="13.5">
      <c r="A199" s="65"/>
      <c r="B199" s="137"/>
      <c r="C199" s="205" t="s">
        <v>90</v>
      </c>
      <c r="D199" s="65" t="s">
        <v>64</v>
      </c>
      <c r="E199" s="206">
        <v>3.38</v>
      </c>
      <c r="F199" s="89">
        <f>F191*E199</f>
        <v>94.2682</v>
      </c>
      <c r="G199" s="89">
        <v>5.97</v>
      </c>
      <c r="H199" s="89">
        <f t="shared" si="14"/>
        <v>562.7811539999999</v>
      </c>
      <c r="I199" s="89"/>
      <c r="J199" s="89"/>
      <c r="K199" s="89"/>
      <c r="L199" s="89"/>
      <c r="M199" s="89">
        <f t="shared" si="15"/>
        <v>562.7811539999999</v>
      </c>
    </row>
    <row r="200" spans="1:13" s="331" customFormat="1" ht="13.5">
      <c r="A200" s="65"/>
      <c r="B200" s="137"/>
      <c r="C200" s="205" t="s">
        <v>38</v>
      </c>
      <c r="D200" s="65" t="s">
        <v>65</v>
      </c>
      <c r="E200" s="206">
        <v>4.38</v>
      </c>
      <c r="F200" s="89">
        <f>F191*E200</f>
        <v>122.1582</v>
      </c>
      <c r="G200" s="309">
        <v>1.564</v>
      </c>
      <c r="H200" s="89">
        <f t="shared" si="14"/>
        <v>191.0554248</v>
      </c>
      <c r="I200" s="89"/>
      <c r="J200" s="89"/>
      <c r="K200" s="89"/>
      <c r="L200" s="89"/>
      <c r="M200" s="89">
        <f t="shared" si="15"/>
        <v>191.0554248</v>
      </c>
    </row>
    <row r="201" spans="1:13" s="331" customFormat="1" ht="13.5">
      <c r="A201" s="65"/>
      <c r="B201" s="137"/>
      <c r="C201" s="205" t="s">
        <v>57</v>
      </c>
      <c r="D201" s="69" t="s">
        <v>43</v>
      </c>
      <c r="E201" s="206">
        <v>3.44</v>
      </c>
      <c r="F201" s="89">
        <f>F191*E201</f>
        <v>95.9416</v>
      </c>
      <c r="G201" s="89">
        <v>3.2</v>
      </c>
      <c r="H201" s="89">
        <f t="shared" si="14"/>
        <v>307.01312</v>
      </c>
      <c r="I201" s="89"/>
      <c r="J201" s="89"/>
      <c r="K201" s="89"/>
      <c r="L201" s="89"/>
      <c r="M201" s="89">
        <f t="shared" si="15"/>
        <v>307.01312</v>
      </c>
    </row>
    <row r="202" spans="1:13" s="331" customFormat="1" ht="22.5" customHeight="1">
      <c r="A202" s="77">
        <v>40</v>
      </c>
      <c r="B202" s="493" t="s">
        <v>39</v>
      </c>
      <c r="C202" s="92" t="s">
        <v>327</v>
      </c>
      <c r="D202" s="77" t="s">
        <v>66</v>
      </c>
      <c r="E202" s="77"/>
      <c r="F202" s="251">
        <f>F191</f>
        <v>27.89</v>
      </c>
      <c r="G202" s="204"/>
      <c r="H202" s="204"/>
      <c r="I202" s="204"/>
      <c r="J202" s="204"/>
      <c r="K202" s="204"/>
      <c r="L202" s="204"/>
      <c r="M202" s="204"/>
    </row>
    <row r="203" spans="1:13" s="331" customFormat="1" ht="13.5">
      <c r="A203" s="65"/>
      <c r="B203" s="494"/>
      <c r="C203" s="111" t="s">
        <v>54</v>
      </c>
      <c r="D203" s="65" t="s">
        <v>55</v>
      </c>
      <c r="E203" s="65">
        <v>0.87</v>
      </c>
      <c r="F203" s="89">
        <f>F202*E203</f>
        <v>24.2643</v>
      </c>
      <c r="G203" s="89"/>
      <c r="H203" s="89"/>
      <c r="I203" s="89">
        <v>7.8</v>
      </c>
      <c r="J203" s="89">
        <f>F203*I203</f>
        <v>189.26154</v>
      </c>
      <c r="K203" s="89"/>
      <c r="L203" s="89"/>
      <c r="M203" s="89">
        <f>H203+J203+L203</f>
        <v>189.26154</v>
      </c>
    </row>
    <row r="204" spans="1:13" s="331" customFormat="1" ht="13.5">
      <c r="A204" s="65"/>
      <c r="B204" s="494"/>
      <c r="C204" s="111" t="s">
        <v>62</v>
      </c>
      <c r="D204" s="65" t="s">
        <v>43</v>
      </c>
      <c r="E204" s="65">
        <v>0.13</v>
      </c>
      <c r="F204" s="89">
        <f>F202*E204</f>
        <v>3.6257</v>
      </c>
      <c r="G204" s="89"/>
      <c r="H204" s="89"/>
      <c r="I204" s="89"/>
      <c r="J204" s="89"/>
      <c r="K204" s="89">
        <v>3.2</v>
      </c>
      <c r="L204" s="89">
        <f>F204*K204</f>
        <v>11.602240000000002</v>
      </c>
      <c r="M204" s="89">
        <f>H204+J204+L204</f>
        <v>11.602240000000002</v>
      </c>
    </row>
    <row r="205" spans="1:13" s="331" customFormat="1" ht="13.5">
      <c r="A205" s="65"/>
      <c r="B205" s="494"/>
      <c r="C205" s="79" t="s">
        <v>56</v>
      </c>
      <c r="D205" s="65"/>
      <c r="E205" s="65"/>
      <c r="F205" s="89"/>
      <c r="G205" s="89"/>
      <c r="H205" s="89"/>
      <c r="I205" s="89"/>
      <c r="J205" s="89"/>
      <c r="K205" s="89"/>
      <c r="L205" s="89"/>
      <c r="M205" s="89"/>
    </row>
    <row r="206" spans="1:13" s="331" customFormat="1" ht="13.5">
      <c r="A206" s="65"/>
      <c r="B206" s="494"/>
      <c r="C206" s="111" t="s">
        <v>40</v>
      </c>
      <c r="D206" s="65" t="s">
        <v>65</v>
      </c>
      <c r="E206" s="65">
        <v>7.2</v>
      </c>
      <c r="F206" s="89">
        <f>F202*E206</f>
        <v>200.80800000000002</v>
      </c>
      <c r="G206" s="89">
        <v>1</v>
      </c>
      <c r="H206" s="89">
        <f>F206*G206</f>
        <v>200.80800000000002</v>
      </c>
      <c r="I206" s="89"/>
      <c r="J206" s="89"/>
      <c r="K206" s="89"/>
      <c r="L206" s="89"/>
      <c r="M206" s="89">
        <f>H206+J206+L206</f>
        <v>200.80800000000002</v>
      </c>
    </row>
    <row r="207" spans="1:13" s="331" customFormat="1" ht="13.5">
      <c r="A207" s="65"/>
      <c r="B207" s="494"/>
      <c r="C207" s="111" t="s">
        <v>41</v>
      </c>
      <c r="D207" s="65" t="s">
        <v>65</v>
      </c>
      <c r="E207" s="65">
        <v>1.79</v>
      </c>
      <c r="F207" s="89">
        <f>F202*E207</f>
        <v>49.923100000000005</v>
      </c>
      <c r="G207" s="89">
        <v>0.5</v>
      </c>
      <c r="H207" s="89">
        <f>F207*G207</f>
        <v>24.961550000000003</v>
      </c>
      <c r="I207" s="89"/>
      <c r="J207" s="89"/>
      <c r="K207" s="89"/>
      <c r="L207" s="89"/>
      <c r="M207" s="89">
        <f>H207+J207+L207</f>
        <v>24.961550000000003</v>
      </c>
    </row>
    <row r="208" spans="1:13" s="331" customFormat="1" ht="13.5">
      <c r="A208" s="65"/>
      <c r="B208" s="494"/>
      <c r="C208" s="111" t="s">
        <v>42</v>
      </c>
      <c r="D208" s="65" t="s">
        <v>65</v>
      </c>
      <c r="E208" s="65">
        <v>1.07</v>
      </c>
      <c r="F208" s="89">
        <f>F202*E208</f>
        <v>29.8423</v>
      </c>
      <c r="G208" s="89">
        <v>0.5</v>
      </c>
      <c r="H208" s="89">
        <f>F208*G208</f>
        <v>14.92115</v>
      </c>
      <c r="I208" s="89"/>
      <c r="J208" s="89"/>
      <c r="K208" s="89"/>
      <c r="L208" s="89"/>
      <c r="M208" s="89">
        <f>H208+J208+L208</f>
        <v>14.92115</v>
      </c>
    </row>
    <row r="209" spans="1:13" s="331" customFormat="1" ht="13.5">
      <c r="A209" s="69"/>
      <c r="B209" s="500"/>
      <c r="C209" s="208" t="s">
        <v>57</v>
      </c>
      <c r="D209" s="69" t="s">
        <v>43</v>
      </c>
      <c r="E209" s="69">
        <v>0.1</v>
      </c>
      <c r="F209" s="209">
        <f>F202*E209</f>
        <v>2.789</v>
      </c>
      <c r="G209" s="209">
        <v>3.2</v>
      </c>
      <c r="H209" s="209">
        <f>F209*G209</f>
        <v>8.924800000000001</v>
      </c>
      <c r="I209" s="209"/>
      <c r="J209" s="209"/>
      <c r="K209" s="209"/>
      <c r="L209" s="209"/>
      <c r="M209" s="209">
        <f>H209+J209+L209</f>
        <v>8.924800000000001</v>
      </c>
    </row>
    <row r="210" spans="1:13" s="331" customFormat="1" ht="18.75" customHeight="1">
      <c r="A210" s="65">
        <v>41</v>
      </c>
      <c r="B210" s="499" t="s">
        <v>443</v>
      </c>
      <c r="C210" s="111" t="s">
        <v>444</v>
      </c>
      <c r="D210" s="77" t="s">
        <v>64</v>
      </c>
      <c r="E210" s="65"/>
      <c r="F210" s="251">
        <v>1005</v>
      </c>
      <c r="G210" s="210"/>
      <c r="H210" s="210"/>
      <c r="I210" s="210"/>
      <c r="J210" s="210"/>
      <c r="K210" s="210"/>
      <c r="L210" s="210"/>
      <c r="M210" s="210"/>
    </row>
    <row r="211" spans="1:13" s="331" customFormat="1" ht="13.5">
      <c r="A211" s="65"/>
      <c r="B211" s="494"/>
      <c r="C211" s="111" t="s">
        <v>54</v>
      </c>
      <c r="D211" s="65" t="s">
        <v>55</v>
      </c>
      <c r="E211" s="65">
        <v>0.242</v>
      </c>
      <c r="F211" s="89">
        <f>F210*E211</f>
        <v>243.20999999999998</v>
      </c>
      <c r="G211" s="210"/>
      <c r="H211" s="210"/>
      <c r="I211" s="89">
        <v>7.8</v>
      </c>
      <c r="J211" s="210">
        <f>F211*I211</f>
        <v>1897.0379999999998</v>
      </c>
      <c r="K211" s="210"/>
      <c r="L211" s="210"/>
      <c r="M211" s="210">
        <f>H211+J211+L211</f>
        <v>1897.0379999999998</v>
      </c>
    </row>
    <row r="212" spans="1:13" s="331" customFormat="1" ht="13.5">
      <c r="A212" s="65"/>
      <c r="B212" s="494"/>
      <c r="C212" s="111" t="s">
        <v>62</v>
      </c>
      <c r="D212" s="65" t="s">
        <v>43</v>
      </c>
      <c r="E212" s="65">
        <v>0.043</v>
      </c>
      <c r="F212" s="89">
        <f>F210*E212</f>
        <v>43.214999999999996</v>
      </c>
      <c r="G212" s="210"/>
      <c r="H212" s="210"/>
      <c r="I212" s="210"/>
      <c r="J212" s="210"/>
      <c r="K212" s="210">
        <v>3.2</v>
      </c>
      <c r="L212" s="210">
        <f>F212*K212</f>
        <v>138.28799999999998</v>
      </c>
      <c r="M212" s="210">
        <f>H212+J212+L212</f>
        <v>138.28799999999998</v>
      </c>
    </row>
    <row r="213" spans="1:13" s="331" customFormat="1" ht="13.5">
      <c r="A213" s="65"/>
      <c r="B213" s="494"/>
      <c r="C213" s="79" t="s">
        <v>56</v>
      </c>
      <c r="D213" s="65"/>
      <c r="E213" s="65"/>
      <c r="F213" s="89"/>
      <c r="G213" s="210"/>
      <c r="H213" s="210"/>
      <c r="I213" s="210"/>
      <c r="J213" s="210"/>
      <c r="K213" s="210"/>
      <c r="L213" s="210"/>
      <c r="M213" s="210"/>
    </row>
    <row r="214" spans="1:13" s="331" customFormat="1" ht="13.5">
      <c r="A214" s="65"/>
      <c r="B214" s="494"/>
      <c r="C214" s="111" t="s">
        <v>445</v>
      </c>
      <c r="D214" s="65" t="s">
        <v>66</v>
      </c>
      <c r="E214" s="211">
        <v>0.0336</v>
      </c>
      <c r="F214" s="89">
        <f>F210*E214</f>
        <v>33.768</v>
      </c>
      <c r="G214" s="89">
        <v>475</v>
      </c>
      <c r="H214" s="210">
        <f>F214*G214</f>
        <v>16039.800000000001</v>
      </c>
      <c r="I214" s="210"/>
      <c r="J214" s="210"/>
      <c r="K214" s="210"/>
      <c r="L214" s="210"/>
      <c r="M214" s="210">
        <f>H214+J214+L214</f>
        <v>16039.800000000001</v>
      </c>
    </row>
    <row r="215" spans="1:13" s="331" customFormat="1" ht="13.5">
      <c r="A215" s="65"/>
      <c r="B215" s="494"/>
      <c r="C215" s="111" t="s">
        <v>143</v>
      </c>
      <c r="D215" s="65" t="s">
        <v>65</v>
      </c>
      <c r="E215" s="65">
        <v>0.112</v>
      </c>
      <c r="F215" s="89">
        <f>F210*E215</f>
        <v>112.56</v>
      </c>
      <c r="G215" s="210">
        <v>2.2</v>
      </c>
      <c r="H215" s="210">
        <f>F215*G215</f>
        <v>247.63200000000003</v>
      </c>
      <c r="I215" s="210"/>
      <c r="J215" s="210"/>
      <c r="K215" s="210"/>
      <c r="L215" s="210"/>
      <c r="M215" s="210">
        <f>H215+J215+L215</f>
        <v>247.63200000000003</v>
      </c>
    </row>
    <row r="216" spans="1:13" s="331" customFormat="1" ht="13.5">
      <c r="A216" s="65"/>
      <c r="B216" s="500"/>
      <c r="C216" s="111" t="s">
        <v>57</v>
      </c>
      <c r="D216" s="69" t="s">
        <v>43</v>
      </c>
      <c r="E216" s="334">
        <v>0.0484</v>
      </c>
      <c r="F216" s="89">
        <f>F210*E216</f>
        <v>48.641999999999996</v>
      </c>
      <c r="G216" s="210">
        <v>3.2</v>
      </c>
      <c r="H216" s="210">
        <f>F216*G216</f>
        <v>155.6544</v>
      </c>
      <c r="I216" s="210"/>
      <c r="J216" s="210"/>
      <c r="K216" s="210"/>
      <c r="L216" s="210"/>
      <c r="M216" s="210">
        <f>H216+J216+L216</f>
        <v>155.6544</v>
      </c>
    </row>
    <row r="217" spans="1:13" s="331" customFormat="1" ht="13.5">
      <c r="A217" s="77">
        <v>42</v>
      </c>
      <c r="B217" s="493" t="s">
        <v>17</v>
      </c>
      <c r="C217" s="92" t="s">
        <v>18</v>
      </c>
      <c r="D217" s="77" t="s">
        <v>64</v>
      </c>
      <c r="E217" s="77"/>
      <c r="F217" s="251">
        <f>F210</f>
        <v>1005</v>
      </c>
      <c r="G217" s="204"/>
      <c r="H217" s="204"/>
      <c r="I217" s="204"/>
      <c r="J217" s="204"/>
      <c r="K217" s="204"/>
      <c r="L217" s="204"/>
      <c r="M217" s="204"/>
    </row>
    <row r="218" spans="1:13" s="331" customFormat="1" ht="13.5">
      <c r="A218" s="65"/>
      <c r="B218" s="494"/>
      <c r="C218" s="111" t="s">
        <v>54</v>
      </c>
      <c r="D218" s="65" t="s">
        <v>55</v>
      </c>
      <c r="E218" s="65">
        <v>0.0303</v>
      </c>
      <c r="F218" s="89">
        <f>F217*E218</f>
        <v>30.4515</v>
      </c>
      <c r="G218" s="89"/>
      <c r="H218" s="89"/>
      <c r="I218" s="89">
        <v>7.8</v>
      </c>
      <c r="J218" s="89">
        <f>F218*I218</f>
        <v>237.52169999999998</v>
      </c>
      <c r="K218" s="89"/>
      <c r="L218" s="89"/>
      <c r="M218" s="89">
        <f>H218+J218+L218</f>
        <v>237.52169999999998</v>
      </c>
    </row>
    <row r="219" spans="1:13" s="331" customFormat="1" ht="13.5">
      <c r="A219" s="65"/>
      <c r="B219" s="494"/>
      <c r="C219" s="111" t="s">
        <v>62</v>
      </c>
      <c r="D219" s="65" t="s">
        <v>43</v>
      </c>
      <c r="E219" s="65">
        <v>0.0041</v>
      </c>
      <c r="F219" s="89">
        <f>F217*E219</f>
        <v>4.120500000000001</v>
      </c>
      <c r="G219" s="89"/>
      <c r="H219" s="89"/>
      <c r="I219" s="89"/>
      <c r="J219" s="89"/>
      <c r="K219" s="89">
        <v>3.2</v>
      </c>
      <c r="L219" s="89">
        <f>F219*K219</f>
        <v>13.185600000000003</v>
      </c>
      <c r="M219" s="89">
        <f>H219+J219+L219</f>
        <v>13.185600000000003</v>
      </c>
    </row>
    <row r="220" spans="1:13" s="331" customFormat="1" ht="13.5">
      <c r="A220" s="65"/>
      <c r="B220" s="494"/>
      <c r="C220" s="79" t="s">
        <v>56</v>
      </c>
      <c r="D220" s="65"/>
      <c r="E220" s="65"/>
      <c r="F220" s="89"/>
      <c r="G220" s="89"/>
      <c r="H220" s="89"/>
      <c r="I220" s="89"/>
      <c r="J220" s="89"/>
      <c r="K220" s="89"/>
      <c r="L220" s="89"/>
      <c r="M220" s="89"/>
    </row>
    <row r="221" spans="1:13" s="331" customFormat="1" ht="13.5">
      <c r="A221" s="65"/>
      <c r="B221" s="494"/>
      <c r="C221" s="111" t="s">
        <v>40</v>
      </c>
      <c r="D221" s="65" t="s">
        <v>65</v>
      </c>
      <c r="E221" s="65">
        <v>0.231</v>
      </c>
      <c r="F221" s="89">
        <f>F217*E221</f>
        <v>232.155</v>
      </c>
      <c r="G221" s="89">
        <v>1</v>
      </c>
      <c r="H221" s="89">
        <f>F221*G221</f>
        <v>232.155</v>
      </c>
      <c r="I221" s="89"/>
      <c r="J221" s="89"/>
      <c r="K221" s="89"/>
      <c r="L221" s="89"/>
      <c r="M221" s="89">
        <f>H221+J221+L221</f>
        <v>232.155</v>
      </c>
    </row>
    <row r="222" spans="1:13" s="331" customFormat="1" ht="13.5">
      <c r="A222" s="65"/>
      <c r="B222" s="494"/>
      <c r="C222" s="111" t="s">
        <v>41</v>
      </c>
      <c r="D222" s="65" t="s">
        <v>65</v>
      </c>
      <c r="E222" s="65">
        <v>0.058</v>
      </c>
      <c r="F222" s="89">
        <f>F217*E222</f>
        <v>58.290000000000006</v>
      </c>
      <c r="G222" s="89">
        <v>0.5</v>
      </c>
      <c r="H222" s="89">
        <f>F222*G222</f>
        <v>29.145000000000003</v>
      </c>
      <c r="I222" s="89"/>
      <c r="J222" s="89"/>
      <c r="K222" s="89"/>
      <c r="L222" s="89"/>
      <c r="M222" s="89">
        <f>H222+J222+L222</f>
        <v>29.145000000000003</v>
      </c>
    </row>
    <row r="223" spans="1:13" s="331" customFormat="1" ht="13.5">
      <c r="A223" s="65"/>
      <c r="B223" s="494"/>
      <c r="C223" s="111" t="s">
        <v>42</v>
      </c>
      <c r="D223" s="65" t="s">
        <v>65</v>
      </c>
      <c r="E223" s="65">
        <v>0.035</v>
      </c>
      <c r="F223" s="89">
        <f>F217*E223</f>
        <v>35.175000000000004</v>
      </c>
      <c r="G223" s="89">
        <v>0.5</v>
      </c>
      <c r="H223" s="89">
        <f>F223*G223</f>
        <v>17.587500000000002</v>
      </c>
      <c r="I223" s="89"/>
      <c r="J223" s="89"/>
      <c r="K223" s="89"/>
      <c r="L223" s="89"/>
      <c r="M223" s="89">
        <f>H223+J223+L223</f>
        <v>17.587500000000002</v>
      </c>
    </row>
    <row r="224" spans="1:13" s="331" customFormat="1" ht="13.5">
      <c r="A224" s="65"/>
      <c r="B224" s="494"/>
      <c r="C224" s="111" t="s">
        <v>57</v>
      </c>
      <c r="D224" s="69" t="s">
        <v>43</v>
      </c>
      <c r="E224" s="65">
        <v>0.0004</v>
      </c>
      <c r="F224" s="89">
        <f>F217*E224</f>
        <v>0.402</v>
      </c>
      <c r="G224" s="89">
        <v>3.2</v>
      </c>
      <c r="H224" s="89">
        <f>F224*G224</f>
        <v>1.2864000000000002</v>
      </c>
      <c r="I224" s="89"/>
      <c r="J224" s="89"/>
      <c r="K224" s="89"/>
      <c r="L224" s="89"/>
      <c r="M224" s="89">
        <f>H224+J224+L224</f>
        <v>1.2864000000000002</v>
      </c>
    </row>
    <row r="225" spans="1:13" s="331" customFormat="1" ht="13.5">
      <c r="A225" s="77">
        <v>43</v>
      </c>
      <c r="B225" s="493" t="s">
        <v>446</v>
      </c>
      <c r="C225" s="92" t="s">
        <v>19</v>
      </c>
      <c r="D225" s="77" t="s">
        <v>64</v>
      </c>
      <c r="E225" s="77"/>
      <c r="F225" s="251">
        <f>F210</f>
        <v>1005</v>
      </c>
      <c r="G225" s="204"/>
      <c r="H225" s="204"/>
      <c r="I225" s="204"/>
      <c r="J225" s="204"/>
      <c r="K225" s="204"/>
      <c r="L225" s="204"/>
      <c r="M225" s="204"/>
    </row>
    <row r="226" spans="1:13" s="331" customFormat="1" ht="13.5">
      <c r="A226" s="65"/>
      <c r="B226" s="494"/>
      <c r="C226" s="111" t="s">
        <v>54</v>
      </c>
      <c r="D226" s="65" t="s">
        <v>55</v>
      </c>
      <c r="E226" s="65">
        <v>0.0692</v>
      </c>
      <c r="F226" s="89">
        <f>F225*E226</f>
        <v>69.54599999999999</v>
      </c>
      <c r="G226" s="89"/>
      <c r="H226" s="89"/>
      <c r="I226" s="89">
        <v>7.8</v>
      </c>
      <c r="J226" s="89">
        <f>F226*I226</f>
        <v>542.4587999999999</v>
      </c>
      <c r="K226" s="89"/>
      <c r="L226" s="89"/>
      <c r="M226" s="89">
        <f>H226+J226+L226</f>
        <v>542.4587999999999</v>
      </c>
    </row>
    <row r="227" spans="1:13" s="331" customFormat="1" ht="13.5">
      <c r="A227" s="65"/>
      <c r="B227" s="494"/>
      <c r="C227" s="111" t="s">
        <v>62</v>
      </c>
      <c r="D227" s="65" t="s">
        <v>43</v>
      </c>
      <c r="E227" s="65">
        <v>0.0016</v>
      </c>
      <c r="F227" s="89">
        <f>F225*E227</f>
        <v>1.608</v>
      </c>
      <c r="G227" s="89"/>
      <c r="H227" s="89"/>
      <c r="I227" s="89"/>
      <c r="J227" s="89"/>
      <c r="K227" s="89">
        <v>3.2</v>
      </c>
      <c r="L227" s="89">
        <f>F227*K227</f>
        <v>5.145600000000001</v>
      </c>
      <c r="M227" s="89">
        <f>H227+J227+L227</f>
        <v>5.145600000000001</v>
      </c>
    </row>
    <row r="228" spans="1:13" s="331" customFormat="1" ht="13.5">
      <c r="A228" s="65"/>
      <c r="B228" s="494"/>
      <c r="C228" s="79" t="s">
        <v>56</v>
      </c>
      <c r="D228" s="65"/>
      <c r="E228" s="65"/>
      <c r="F228" s="89"/>
      <c r="G228" s="89"/>
      <c r="H228" s="89"/>
      <c r="I228" s="89"/>
      <c r="J228" s="89"/>
      <c r="K228" s="89"/>
      <c r="L228" s="89"/>
      <c r="M228" s="89"/>
    </row>
    <row r="229" spans="1:13" s="331" customFormat="1" ht="13.5">
      <c r="A229" s="65"/>
      <c r="B229" s="494"/>
      <c r="C229" s="111" t="s">
        <v>20</v>
      </c>
      <c r="D229" s="69" t="s">
        <v>65</v>
      </c>
      <c r="E229" s="65">
        <v>0.4</v>
      </c>
      <c r="F229" s="89">
        <f>F225*E229</f>
        <v>402</v>
      </c>
      <c r="G229" s="89">
        <v>5.5</v>
      </c>
      <c r="H229" s="89">
        <f>F229*G229</f>
        <v>2211</v>
      </c>
      <c r="I229" s="89"/>
      <c r="J229" s="89"/>
      <c r="K229" s="89"/>
      <c r="L229" s="89"/>
      <c r="M229" s="89">
        <f>H229+J229+L229</f>
        <v>2211</v>
      </c>
    </row>
    <row r="230" spans="1:13" s="331" customFormat="1" ht="27">
      <c r="A230" s="77">
        <v>44</v>
      </c>
      <c r="B230" s="493" t="s">
        <v>188</v>
      </c>
      <c r="C230" s="92" t="s">
        <v>539</v>
      </c>
      <c r="D230" s="77" t="s">
        <v>64</v>
      </c>
      <c r="E230" s="77"/>
      <c r="F230" s="251">
        <v>1005</v>
      </c>
      <c r="G230" s="204"/>
      <c r="H230" s="204"/>
      <c r="I230" s="204"/>
      <c r="J230" s="204"/>
      <c r="K230" s="204"/>
      <c r="L230" s="204"/>
      <c r="M230" s="204"/>
    </row>
    <row r="231" spans="1:13" s="331" customFormat="1" ht="13.5">
      <c r="A231" s="65"/>
      <c r="B231" s="494"/>
      <c r="C231" s="111" t="s">
        <v>54</v>
      </c>
      <c r="D231" s="65" t="s">
        <v>55</v>
      </c>
      <c r="E231" s="65">
        <v>0.83</v>
      </c>
      <c r="F231" s="89">
        <f>F230*E231</f>
        <v>834.15</v>
      </c>
      <c r="G231" s="89"/>
      <c r="H231" s="89"/>
      <c r="I231" s="89">
        <v>7.8</v>
      </c>
      <c r="J231" s="89">
        <f>F231*I231</f>
        <v>6506.37</v>
      </c>
      <c r="K231" s="89"/>
      <c r="L231" s="89"/>
      <c r="M231" s="89">
        <f>H231+J231+L231</f>
        <v>6506.37</v>
      </c>
    </row>
    <row r="232" spans="1:13" s="331" customFormat="1" ht="13.5">
      <c r="A232" s="65"/>
      <c r="B232" s="494"/>
      <c r="C232" s="111" t="s">
        <v>62</v>
      </c>
      <c r="D232" s="65" t="s">
        <v>43</v>
      </c>
      <c r="E232" s="65">
        <v>0.0041</v>
      </c>
      <c r="F232" s="89">
        <f>F230*E232</f>
        <v>4.120500000000001</v>
      </c>
      <c r="G232" s="89"/>
      <c r="H232" s="89"/>
      <c r="I232" s="89"/>
      <c r="J232" s="89"/>
      <c r="K232" s="89">
        <v>3.2</v>
      </c>
      <c r="L232" s="89">
        <f>F232*K232</f>
        <v>13.185600000000003</v>
      </c>
      <c r="M232" s="89">
        <f>H232+J232+L232</f>
        <v>13.185600000000003</v>
      </c>
    </row>
    <row r="233" spans="1:13" s="331" customFormat="1" ht="13.5">
      <c r="A233" s="65"/>
      <c r="B233" s="494"/>
      <c r="C233" s="79" t="s">
        <v>56</v>
      </c>
      <c r="D233" s="65"/>
      <c r="E233" s="65"/>
      <c r="F233" s="89"/>
      <c r="G233" s="89"/>
      <c r="H233" s="89"/>
      <c r="I233" s="89"/>
      <c r="J233" s="89"/>
      <c r="K233" s="89"/>
      <c r="L233" s="89"/>
      <c r="M233" s="89"/>
    </row>
    <row r="234" spans="1:13" s="331" customFormat="1" ht="13.5">
      <c r="A234" s="65"/>
      <c r="B234" s="494"/>
      <c r="C234" s="111" t="s">
        <v>540</v>
      </c>
      <c r="D234" s="65" t="s">
        <v>64</v>
      </c>
      <c r="E234" s="65">
        <v>1.17</v>
      </c>
      <c r="F234" s="89">
        <f>F230*E234</f>
        <v>1175.85</v>
      </c>
      <c r="G234" s="89">
        <v>15.3</v>
      </c>
      <c r="H234" s="89">
        <f>F234*G234</f>
        <v>17990.505</v>
      </c>
      <c r="I234" s="89"/>
      <c r="J234" s="89"/>
      <c r="K234" s="89"/>
      <c r="L234" s="89"/>
      <c r="M234" s="89">
        <f>H234+J234+L234</f>
        <v>17990.505</v>
      </c>
    </row>
    <row r="235" spans="1:13" s="331" customFormat="1" ht="13.5">
      <c r="A235" s="69"/>
      <c r="B235" s="500"/>
      <c r="C235" s="208" t="s">
        <v>57</v>
      </c>
      <c r="D235" s="69" t="s">
        <v>43</v>
      </c>
      <c r="E235" s="69">
        <v>0.078</v>
      </c>
      <c r="F235" s="209">
        <f>F230*E235</f>
        <v>78.39</v>
      </c>
      <c r="G235" s="209">
        <v>3.2</v>
      </c>
      <c r="H235" s="209">
        <f>F235*G235</f>
        <v>250.848</v>
      </c>
      <c r="I235" s="209"/>
      <c r="J235" s="209"/>
      <c r="K235" s="209"/>
      <c r="L235" s="209"/>
      <c r="M235" s="209">
        <f>H235+J235+L235</f>
        <v>250.848</v>
      </c>
    </row>
    <row r="236" spans="1:13" s="331" customFormat="1" ht="27">
      <c r="A236" s="77">
        <v>45</v>
      </c>
      <c r="B236" s="136" t="s">
        <v>663</v>
      </c>
      <c r="C236" s="92" t="s">
        <v>662</v>
      </c>
      <c r="D236" s="77" t="s">
        <v>115</v>
      </c>
      <c r="E236" s="77"/>
      <c r="F236" s="239">
        <f>60+180</f>
        <v>240</v>
      </c>
      <c r="G236" s="204"/>
      <c r="H236" s="204"/>
      <c r="I236" s="204"/>
      <c r="J236" s="204"/>
      <c r="K236" s="204"/>
      <c r="L236" s="204"/>
      <c r="M236" s="204"/>
    </row>
    <row r="237" spans="1:13" s="331" customFormat="1" ht="13.5">
      <c r="A237" s="65"/>
      <c r="B237" s="137"/>
      <c r="C237" s="111" t="s">
        <v>54</v>
      </c>
      <c r="D237" s="65" t="s">
        <v>55</v>
      </c>
      <c r="E237" s="65">
        <f>0.5*0.83</f>
        <v>0.415</v>
      </c>
      <c r="F237" s="89">
        <f>F236*E237</f>
        <v>99.6</v>
      </c>
      <c r="G237" s="89"/>
      <c r="H237" s="89"/>
      <c r="I237" s="89">
        <v>7.8</v>
      </c>
      <c r="J237" s="89">
        <f>F237*I237</f>
        <v>776.8799999999999</v>
      </c>
      <c r="K237" s="89"/>
      <c r="L237" s="89"/>
      <c r="M237" s="89">
        <f>H237+J237+L237</f>
        <v>776.8799999999999</v>
      </c>
    </row>
    <row r="238" spans="1:13" s="331" customFormat="1" ht="13.5">
      <c r="A238" s="65"/>
      <c r="B238" s="137"/>
      <c r="C238" s="111" t="s">
        <v>62</v>
      </c>
      <c r="D238" s="65" t="s">
        <v>43</v>
      </c>
      <c r="E238" s="65">
        <f>0.5*0.0041</f>
        <v>0.00205</v>
      </c>
      <c r="F238" s="89">
        <f>F236*E238</f>
        <v>0.49200000000000005</v>
      </c>
      <c r="G238" s="89"/>
      <c r="H238" s="89"/>
      <c r="I238" s="89"/>
      <c r="J238" s="89"/>
      <c r="K238" s="89">
        <v>3.2</v>
      </c>
      <c r="L238" s="89">
        <f>F238*K238</f>
        <v>1.5744000000000002</v>
      </c>
      <c r="M238" s="89">
        <f>H238+J238+L238</f>
        <v>1.5744000000000002</v>
      </c>
    </row>
    <row r="239" spans="1:13" s="331" customFormat="1" ht="13.5">
      <c r="A239" s="65"/>
      <c r="B239" s="137"/>
      <c r="C239" s="79" t="s">
        <v>56</v>
      </c>
      <c r="D239" s="65"/>
      <c r="E239" s="65"/>
      <c r="F239" s="89"/>
      <c r="G239" s="89"/>
      <c r="H239" s="89"/>
      <c r="I239" s="89"/>
      <c r="J239" s="89"/>
      <c r="K239" s="89"/>
      <c r="L239" s="89"/>
      <c r="M239" s="89"/>
    </row>
    <row r="240" spans="1:13" s="331" customFormat="1" ht="13.5">
      <c r="A240" s="65"/>
      <c r="B240" s="137"/>
      <c r="C240" s="111" t="s">
        <v>661</v>
      </c>
      <c r="D240" s="65" t="s">
        <v>115</v>
      </c>
      <c r="E240" s="65">
        <v>1.17</v>
      </c>
      <c r="F240" s="89">
        <f>F236*E240</f>
        <v>280.79999999999995</v>
      </c>
      <c r="G240" s="89">
        <v>16.8</v>
      </c>
      <c r="H240" s="89">
        <f>F240*G240</f>
        <v>4717.44</v>
      </c>
      <c r="I240" s="89"/>
      <c r="J240" s="89"/>
      <c r="K240" s="89"/>
      <c r="L240" s="89"/>
      <c r="M240" s="89">
        <f>H240+J240+L240</f>
        <v>4717.44</v>
      </c>
    </row>
    <row r="241" spans="1:13" s="331" customFormat="1" ht="13.5">
      <c r="A241" s="69"/>
      <c r="B241" s="138"/>
      <c r="C241" s="208" t="s">
        <v>57</v>
      </c>
      <c r="D241" s="69" t="s">
        <v>43</v>
      </c>
      <c r="E241" s="69">
        <f>0.5*0.078</f>
        <v>0.039</v>
      </c>
      <c r="F241" s="209">
        <f>F236*E241</f>
        <v>9.36</v>
      </c>
      <c r="G241" s="209">
        <v>3.2</v>
      </c>
      <c r="H241" s="209">
        <f>F241*G241</f>
        <v>29.951999999999998</v>
      </c>
      <c r="I241" s="209"/>
      <c r="J241" s="209"/>
      <c r="K241" s="209"/>
      <c r="L241" s="209"/>
      <c r="M241" s="209">
        <f>H241+J241+L241</f>
        <v>29.951999999999998</v>
      </c>
    </row>
    <row r="242" spans="1:13" s="331" customFormat="1" ht="13.5">
      <c r="A242" s="77">
        <v>46</v>
      </c>
      <c r="B242" s="499" t="s">
        <v>328</v>
      </c>
      <c r="C242" s="92" t="s">
        <v>575</v>
      </c>
      <c r="D242" s="77" t="s">
        <v>64</v>
      </c>
      <c r="E242" s="77"/>
      <c r="F242" s="251">
        <v>140</v>
      </c>
      <c r="G242" s="236"/>
      <c r="H242" s="236"/>
      <c r="I242" s="236"/>
      <c r="J242" s="236"/>
      <c r="K242" s="236"/>
      <c r="L242" s="236"/>
      <c r="M242" s="236"/>
    </row>
    <row r="243" spans="1:13" s="331" customFormat="1" ht="13.5">
      <c r="A243" s="65"/>
      <c r="B243" s="494"/>
      <c r="C243" s="111" t="s">
        <v>54</v>
      </c>
      <c r="D243" s="65" t="s">
        <v>55</v>
      </c>
      <c r="E243" s="65">
        <v>0.725</v>
      </c>
      <c r="F243" s="89">
        <f>F242*E243</f>
        <v>101.5</v>
      </c>
      <c r="G243" s="210"/>
      <c r="H243" s="210"/>
      <c r="I243" s="89">
        <v>7.8</v>
      </c>
      <c r="J243" s="210">
        <f>F243*I243</f>
        <v>791.6999999999999</v>
      </c>
      <c r="K243" s="210"/>
      <c r="L243" s="210"/>
      <c r="M243" s="210">
        <f>H243+J243+L243</f>
        <v>791.6999999999999</v>
      </c>
    </row>
    <row r="244" spans="1:13" s="331" customFormat="1" ht="13.5">
      <c r="A244" s="65"/>
      <c r="B244" s="494"/>
      <c r="C244" s="111" t="s">
        <v>62</v>
      </c>
      <c r="D244" s="65" t="s">
        <v>43</v>
      </c>
      <c r="E244" s="65">
        <v>0.0357</v>
      </c>
      <c r="F244" s="89">
        <f>F242*E244</f>
        <v>4.998</v>
      </c>
      <c r="G244" s="210"/>
      <c r="H244" s="210"/>
      <c r="I244" s="210"/>
      <c r="J244" s="210"/>
      <c r="K244" s="210">
        <v>3.2</v>
      </c>
      <c r="L244" s="210">
        <f>F244*K244</f>
        <v>15.9936</v>
      </c>
      <c r="M244" s="210">
        <f>H244+J244+L244</f>
        <v>15.9936</v>
      </c>
    </row>
    <row r="245" spans="1:13" s="331" customFormat="1" ht="13.5">
      <c r="A245" s="134"/>
      <c r="B245" s="494"/>
      <c r="C245" s="78" t="s">
        <v>56</v>
      </c>
      <c r="D245" s="65"/>
      <c r="E245" s="65"/>
      <c r="F245" s="210"/>
      <c r="G245" s="210"/>
      <c r="H245" s="210"/>
      <c r="I245" s="210"/>
      <c r="J245" s="210"/>
      <c r="K245" s="210"/>
      <c r="L245" s="210"/>
      <c r="M245" s="210"/>
    </row>
    <row r="246" spans="1:13" s="331" customFormat="1" ht="13.5">
      <c r="A246" s="65"/>
      <c r="B246" s="494"/>
      <c r="C246" s="111" t="s">
        <v>541</v>
      </c>
      <c r="D246" s="65" t="s">
        <v>66</v>
      </c>
      <c r="E246" s="65">
        <v>0.0136</v>
      </c>
      <c r="F246" s="89">
        <f>F242*E246</f>
        <v>1.904</v>
      </c>
      <c r="G246" s="89">
        <v>535</v>
      </c>
      <c r="H246" s="210">
        <f>F246*G246</f>
        <v>1018.64</v>
      </c>
      <c r="I246" s="210"/>
      <c r="J246" s="210"/>
      <c r="K246" s="210"/>
      <c r="L246" s="210"/>
      <c r="M246" s="210">
        <f>H246+J246+L246</f>
        <v>1018.64</v>
      </c>
    </row>
    <row r="247" spans="1:13" s="331" customFormat="1" ht="13.5">
      <c r="A247" s="65"/>
      <c r="B247" s="494"/>
      <c r="C247" s="111" t="s">
        <v>542</v>
      </c>
      <c r="D247" s="65" t="s">
        <v>66</v>
      </c>
      <c r="E247" s="65">
        <v>0.0158</v>
      </c>
      <c r="F247" s="89">
        <f>F242*E247</f>
        <v>2.212</v>
      </c>
      <c r="G247" s="89">
        <v>769.23</v>
      </c>
      <c r="H247" s="210">
        <f>F247*G247</f>
        <v>1701.5367600000002</v>
      </c>
      <c r="I247" s="210"/>
      <c r="J247" s="210"/>
      <c r="K247" s="210"/>
      <c r="L247" s="210"/>
      <c r="M247" s="210">
        <f>H247+J247+L247</f>
        <v>1701.5367600000002</v>
      </c>
    </row>
    <row r="248" spans="1:13" s="331" customFormat="1" ht="13.5">
      <c r="A248" s="69"/>
      <c r="B248" s="500"/>
      <c r="C248" s="208" t="s">
        <v>57</v>
      </c>
      <c r="D248" s="69" t="s">
        <v>43</v>
      </c>
      <c r="E248" s="69">
        <v>0.0328</v>
      </c>
      <c r="F248" s="209">
        <f>F242*E248</f>
        <v>4.5920000000000005</v>
      </c>
      <c r="G248" s="237">
        <v>3.2</v>
      </c>
      <c r="H248" s="237">
        <f>F248*G248</f>
        <v>14.694400000000002</v>
      </c>
      <c r="I248" s="237"/>
      <c r="J248" s="237"/>
      <c r="K248" s="237"/>
      <c r="L248" s="237"/>
      <c r="M248" s="237">
        <f>H248+J248+L248</f>
        <v>14.694400000000002</v>
      </c>
    </row>
    <row r="249" spans="1:13" s="331" customFormat="1" ht="27">
      <c r="A249" s="65">
        <v>47</v>
      </c>
      <c r="B249" s="494" t="s">
        <v>543</v>
      </c>
      <c r="C249" s="111" t="s">
        <v>544</v>
      </c>
      <c r="D249" s="65" t="s">
        <v>64</v>
      </c>
      <c r="E249" s="65"/>
      <c r="F249" s="251">
        <f>F242</f>
        <v>140</v>
      </c>
      <c r="G249" s="210"/>
      <c r="H249" s="210"/>
      <c r="I249" s="210"/>
      <c r="J249" s="210"/>
      <c r="K249" s="210"/>
      <c r="L249" s="210"/>
      <c r="M249" s="210"/>
    </row>
    <row r="250" spans="1:13" s="331" customFormat="1" ht="13.5">
      <c r="A250" s="65"/>
      <c r="B250" s="494"/>
      <c r="C250" s="111" t="s">
        <v>54</v>
      </c>
      <c r="D250" s="65" t="s">
        <v>55</v>
      </c>
      <c r="E250" s="65">
        <v>0.688</v>
      </c>
      <c r="F250" s="89">
        <f>F249*E250</f>
        <v>96.32</v>
      </c>
      <c r="G250" s="210"/>
      <c r="H250" s="210"/>
      <c r="I250" s="89">
        <v>7.8</v>
      </c>
      <c r="J250" s="210">
        <f>F250*I250</f>
        <v>751.2959999999999</v>
      </c>
      <c r="K250" s="210"/>
      <c r="L250" s="210"/>
      <c r="M250" s="210">
        <f>H250+J250+L250</f>
        <v>751.2959999999999</v>
      </c>
    </row>
    <row r="251" spans="1:13" s="331" customFormat="1" ht="13.5">
      <c r="A251" s="65"/>
      <c r="B251" s="494"/>
      <c r="C251" s="111" t="s">
        <v>62</v>
      </c>
      <c r="D251" s="65" t="s">
        <v>43</v>
      </c>
      <c r="E251" s="65">
        <v>0.0115</v>
      </c>
      <c r="F251" s="89">
        <f>F249*E251</f>
        <v>1.6099999999999999</v>
      </c>
      <c r="G251" s="210"/>
      <c r="H251" s="210"/>
      <c r="I251" s="210"/>
      <c r="J251" s="210"/>
      <c r="K251" s="210">
        <v>3.2</v>
      </c>
      <c r="L251" s="210">
        <f>F251*K251</f>
        <v>5.152</v>
      </c>
      <c r="M251" s="210">
        <f>H251+J251+L251</f>
        <v>5.152</v>
      </c>
    </row>
    <row r="252" spans="1:13" s="331" customFormat="1" ht="13.5">
      <c r="A252" s="65"/>
      <c r="B252" s="494"/>
      <c r="C252" s="79" t="s">
        <v>56</v>
      </c>
      <c r="D252" s="65"/>
      <c r="E252" s="65"/>
      <c r="F252" s="89"/>
      <c r="G252" s="210"/>
      <c r="H252" s="210"/>
      <c r="I252" s="210"/>
      <c r="J252" s="210"/>
      <c r="K252" s="210"/>
      <c r="L252" s="210"/>
      <c r="M252" s="210"/>
    </row>
    <row r="253" spans="1:13" s="331" customFormat="1" ht="13.5">
      <c r="A253" s="65"/>
      <c r="B253" s="494"/>
      <c r="C253" s="111" t="s">
        <v>113</v>
      </c>
      <c r="D253" s="65" t="s">
        <v>65</v>
      </c>
      <c r="E253" s="65">
        <v>0.298</v>
      </c>
      <c r="F253" s="89">
        <f>F249*E253</f>
        <v>41.72</v>
      </c>
      <c r="G253" s="210">
        <v>6</v>
      </c>
      <c r="H253" s="210">
        <f>F253*G253</f>
        <v>250.32</v>
      </c>
      <c r="I253" s="210"/>
      <c r="J253" s="210"/>
      <c r="K253" s="210"/>
      <c r="L253" s="210"/>
      <c r="M253" s="210">
        <f>H253+J253+L253</f>
        <v>250.32</v>
      </c>
    </row>
    <row r="254" spans="1:13" s="331" customFormat="1" ht="13.5">
      <c r="A254" s="65"/>
      <c r="B254" s="494"/>
      <c r="C254" s="111" t="s">
        <v>101</v>
      </c>
      <c r="D254" s="65" t="s">
        <v>65</v>
      </c>
      <c r="E254" s="65">
        <v>0.41</v>
      </c>
      <c r="F254" s="89">
        <f>F249*E254</f>
        <v>57.4</v>
      </c>
      <c r="G254" s="210">
        <v>0.5</v>
      </c>
      <c r="H254" s="210">
        <f>F254*G254</f>
        <v>28.7</v>
      </c>
      <c r="I254" s="210"/>
      <c r="J254" s="210"/>
      <c r="K254" s="210"/>
      <c r="L254" s="210"/>
      <c r="M254" s="210">
        <f>H254+J254+L254</f>
        <v>28.7</v>
      </c>
    </row>
    <row r="255" spans="1:13" s="331" customFormat="1" ht="13.5">
      <c r="A255" s="65"/>
      <c r="B255" s="494"/>
      <c r="C255" s="111" t="s">
        <v>114</v>
      </c>
      <c r="D255" s="65" t="s">
        <v>65</v>
      </c>
      <c r="E255" s="65">
        <v>0.1</v>
      </c>
      <c r="F255" s="89">
        <f>F249*E255</f>
        <v>14</v>
      </c>
      <c r="G255" s="210">
        <v>5</v>
      </c>
      <c r="H255" s="210">
        <f>F255*G255</f>
        <v>70</v>
      </c>
      <c r="I255" s="210"/>
      <c r="J255" s="210"/>
      <c r="K255" s="210"/>
      <c r="L255" s="210"/>
      <c r="M255" s="210">
        <f>H255+J255+L255</f>
        <v>70</v>
      </c>
    </row>
    <row r="256" spans="1:13" s="331" customFormat="1" ht="13.5">
      <c r="A256" s="69"/>
      <c r="B256" s="500"/>
      <c r="C256" s="208" t="s">
        <v>57</v>
      </c>
      <c r="D256" s="69" t="s">
        <v>43</v>
      </c>
      <c r="E256" s="65">
        <v>0.007</v>
      </c>
      <c r="F256" s="209">
        <f>F249*E256</f>
        <v>0.98</v>
      </c>
      <c r="G256" s="237">
        <v>3.2</v>
      </c>
      <c r="H256" s="237">
        <f>F256*G256</f>
        <v>3.136</v>
      </c>
      <c r="I256" s="237"/>
      <c r="J256" s="237"/>
      <c r="K256" s="237"/>
      <c r="L256" s="237"/>
      <c r="M256" s="237">
        <f>H256+J256+L256</f>
        <v>3.136</v>
      </c>
    </row>
    <row r="257" spans="1:13" s="331" customFormat="1" ht="27">
      <c r="A257" s="77">
        <v>48</v>
      </c>
      <c r="B257" s="493" t="s">
        <v>545</v>
      </c>
      <c r="C257" s="92" t="s">
        <v>749</v>
      </c>
      <c r="D257" s="76" t="s">
        <v>115</v>
      </c>
      <c r="E257" s="77"/>
      <c r="F257" s="239">
        <v>57.2</v>
      </c>
      <c r="G257" s="204"/>
      <c r="H257" s="204"/>
      <c r="I257" s="204"/>
      <c r="J257" s="204"/>
      <c r="K257" s="204"/>
      <c r="L257" s="204"/>
      <c r="M257" s="204"/>
    </row>
    <row r="258" spans="1:13" s="331" customFormat="1" ht="13.5">
      <c r="A258" s="65"/>
      <c r="B258" s="494"/>
      <c r="C258" s="111" t="s">
        <v>54</v>
      </c>
      <c r="D258" s="65" t="s">
        <v>55</v>
      </c>
      <c r="E258" s="65">
        <v>0.286</v>
      </c>
      <c r="F258" s="89">
        <f>F257*E258</f>
        <v>16.359199999999998</v>
      </c>
      <c r="G258" s="89"/>
      <c r="H258" s="89"/>
      <c r="I258" s="89">
        <v>7.8</v>
      </c>
      <c r="J258" s="89">
        <f>F258*I258</f>
        <v>127.60175999999998</v>
      </c>
      <c r="K258" s="89"/>
      <c r="L258" s="89"/>
      <c r="M258" s="89">
        <f>H258+J258+L258</f>
        <v>127.60175999999998</v>
      </c>
    </row>
    <row r="259" spans="1:13" s="331" customFormat="1" ht="13.5">
      <c r="A259" s="65"/>
      <c r="B259" s="494"/>
      <c r="C259" s="111" t="s">
        <v>62</v>
      </c>
      <c r="D259" s="65" t="s">
        <v>43</v>
      </c>
      <c r="E259" s="65">
        <v>0.0041</v>
      </c>
      <c r="F259" s="89">
        <f>F257*E259</f>
        <v>0.23452000000000003</v>
      </c>
      <c r="G259" s="89"/>
      <c r="H259" s="89"/>
      <c r="I259" s="89"/>
      <c r="J259" s="89"/>
      <c r="K259" s="89">
        <v>3.2</v>
      </c>
      <c r="L259" s="89">
        <f>F259*K259</f>
        <v>0.7504640000000001</v>
      </c>
      <c r="M259" s="89">
        <f>H259+J259+L259</f>
        <v>0.7504640000000001</v>
      </c>
    </row>
    <row r="260" spans="1:13" s="331" customFormat="1" ht="13.5">
      <c r="A260" s="65"/>
      <c r="B260" s="494"/>
      <c r="C260" s="79" t="s">
        <v>56</v>
      </c>
      <c r="D260" s="65"/>
      <c r="E260" s="65"/>
      <c r="F260" s="89"/>
      <c r="G260" s="89"/>
      <c r="H260" s="89"/>
      <c r="I260" s="89"/>
      <c r="J260" s="89"/>
      <c r="K260" s="89"/>
      <c r="L260" s="89"/>
      <c r="M260" s="89"/>
    </row>
    <row r="261" spans="1:13" s="331" customFormat="1" ht="13.5">
      <c r="A261" s="65"/>
      <c r="B261" s="494"/>
      <c r="C261" s="111" t="s">
        <v>570</v>
      </c>
      <c r="D261" s="62" t="s">
        <v>115</v>
      </c>
      <c r="E261" s="65">
        <v>1</v>
      </c>
      <c r="F261" s="89">
        <f>F257*E261</f>
        <v>57.2</v>
      </c>
      <c r="G261" s="89">
        <v>2</v>
      </c>
      <c r="H261" s="89">
        <f>F261*G261</f>
        <v>114.4</v>
      </c>
      <c r="I261" s="89"/>
      <c r="J261" s="89"/>
      <c r="K261" s="89"/>
      <c r="L261" s="89"/>
      <c r="M261" s="89">
        <f>H261+J261+L261</f>
        <v>114.4</v>
      </c>
    </row>
    <row r="262" spans="1:13" s="331" customFormat="1" ht="13.5">
      <c r="A262" s="65"/>
      <c r="B262" s="494"/>
      <c r="C262" s="111" t="s">
        <v>143</v>
      </c>
      <c r="D262" s="65" t="s">
        <v>65</v>
      </c>
      <c r="E262" s="65">
        <v>0.038</v>
      </c>
      <c r="F262" s="89">
        <f>F257*E262</f>
        <v>2.1736</v>
      </c>
      <c r="G262" s="89">
        <v>4.2</v>
      </c>
      <c r="H262" s="89">
        <f>F262*G262</f>
        <v>9.12912</v>
      </c>
      <c r="I262" s="89"/>
      <c r="J262" s="89"/>
      <c r="K262" s="89"/>
      <c r="L262" s="89"/>
      <c r="M262" s="89">
        <f>H262+J262+L262</f>
        <v>9.12912</v>
      </c>
    </row>
    <row r="263" spans="1:13" s="331" customFormat="1" ht="13.5">
      <c r="A263" s="65"/>
      <c r="B263" s="494"/>
      <c r="C263" s="111" t="s">
        <v>309</v>
      </c>
      <c r="D263" s="65" t="s">
        <v>65</v>
      </c>
      <c r="E263" s="65">
        <v>0.038</v>
      </c>
      <c r="F263" s="89">
        <f>F257*E263</f>
        <v>2.1736</v>
      </c>
      <c r="G263" s="89">
        <v>2.9</v>
      </c>
      <c r="H263" s="89">
        <f>F263*G263</f>
        <v>6.30344</v>
      </c>
      <c r="I263" s="89"/>
      <c r="J263" s="89"/>
      <c r="K263" s="89"/>
      <c r="L263" s="89"/>
      <c r="M263" s="89">
        <f>H263+J263+L263</f>
        <v>6.30344</v>
      </c>
    </row>
    <row r="264" spans="1:13" s="331" customFormat="1" ht="13.5">
      <c r="A264" s="65"/>
      <c r="B264" s="494"/>
      <c r="C264" s="111" t="s">
        <v>91</v>
      </c>
      <c r="D264" s="65" t="s">
        <v>65</v>
      </c>
      <c r="E264" s="65">
        <v>1.69</v>
      </c>
      <c r="F264" s="89">
        <f>F257*E264</f>
        <v>96.668</v>
      </c>
      <c r="G264" s="89">
        <v>2.8</v>
      </c>
      <c r="H264" s="89">
        <f>F264*G264</f>
        <v>270.6704</v>
      </c>
      <c r="I264" s="89"/>
      <c r="J264" s="89"/>
      <c r="K264" s="89"/>
      <c r="L264" s="89"/>
      <c r="M264" s="89">
        <f>H264+J264+L264</f>
        <v>270.6704</v>
      </c>
    </row>
    <row r="265" spans="1:13" s="331" customFormat="1" ht="27">
      <c r="A265" s="77">
        <v>49</v>
      </c>
      <c r="B265" s="493" t="s">
        <v>308</v>
      </c>
      <c r="C265" s="92" t="s">
        <v>572</v>
      </c>
      <c r="D265" s="76" t="s">
        <v>115</v>
      </c>
      <c r="E265" s="77"/>
      <c r="F265" s="251">
        <f>8.6*4</f>
        <v>34.4</v>
      </c>
      <c r="G265" s="204"/>
      <c r="H265" s="204"/>
      <c r="I265" s="204"/>
      <c r="J265" s="204"/>
      <c r="K265" s="204"/>
      <c r="L265" s="204"/>
      <c r="M265" s="204"/>
    </row>
    <row r="266" spans="1:13" s="331" customFormat="1" ht="13.5">
      <c r="A266" s="65"/>
      <c r="B266" s="494"/>
      <c r="C266" s="111" t="s">
        <v>54</v>
      </c>
      <c r="D266" s="65" t="s">
        <v>55</v>
      </c>
      <c r="E266" s="65">
        <v>0.74</v>
      </c>
      <c r="F266" s="89">
        <f>F265*E266</f>
        <v>25.456</v>
      </c>
      <c r="G266" s="89"/>
      <c r="H266" s="89"/>
      <c r="I266" s="89">
        <v>7.8</v>
      </c>
      <c r="J266" s="89">
        <f>F266*I266</f>
        <v>198.55679999999998</v>
      </c>
      <c r="K266" s="89"/>
      <c r="L266" s="89"/>
      <c r="M266" s="89">
        <f>H266+J266+L266</f>
        <v>198.55679999999998</v>
      </c>
    </row>
    <row r="267" spans="1:13" s="331" customFormat="1" ht="13.5">
      <c r="A267" s="65"/>
      <c r="B267" s="494"/>
      <c r="C267" s="78" t="s">
        <v>546</v>
      </c>
      <c r="D267" s="65" t="s">
        <v>43</v>
      </c>
      <c r="E267" s="65">
        <v>0.0662</v>
      </c>
      <c r="F267" s="89">
        <f>F265*E267</f>
        <v>2.2772799999999997</v>
      </c>
      <c r="G267" s="89"/>
      <c r="H267" s="89"/>
      <c r="I267" s="89"/>
      <c r="J267" s="89"/>
      <c r="K267" s="89">
        <v>3.2</v>
      </c>
      <c r="L267" s="89">
        <f>F267*K267</f>
        <v>7.2872959999999996</v>
      </c>
      <c r="M267" s="89">
        <f>H267+J267+L267</f>
        <v>7.2872959999999996</v>
      </c>
    </row>
    <row r="268" spans="1:13" s="331" customFormat="1" ht="13.5">
      <c r="A268" s="65"/>
      <c r="B268" s="494"/>
      <c r="C268" s="79" t="s">
        <v>56</v>
      </c>
      <c r="D268" s="65"/>
      <c r="E268" s="65"/>
      <c r="F268" s="89"/>
      <c r="G268" s="89"/>
      <c r="H268" s="89"/>
      <c r="I268" s="89"/>
      <c r="J268" s="89"/>
      <c r="K268" s="89"/>
      <c r="L268" s="89"/>
      <c r="M268" s="89"/>
    </row>
    <row r="269" spans="1:13" s="331" customFormat="1" ht="13.5">
      <c r="A269" s="65"/>
      <c r="B269" s="494"/>
      <c r="C269" s="111" t="s">
        <v>547</v>
      </c>
      <c r="D269" s="62" t="s">
        <v>115</v>
      </c>
      <c r="E269" s="65">
        <v>1.05</v>
      </c>
      <c r="F269" s="89">
        <f>F265*E269</f>
        <v>36.12</v>
      </c>
      <c r="G269" s="89">
        <v>4.2</v>
      </c>
      <c r="H269" s="89">
        <f>F269*G269</f>
        <v>151.704</v>
      </c>
      <c r="I269" s="89"/>
      <c r="J269" s="89"/>
      <c r="K269" s="89"/>
      <c r="L269" s="89"/>
      <c r="M269" s="89">
        <f>H269+J269+L269</f>
        <v>151.704</v>
      </c>
    </row>
    <row r="270" spans="1:13" s="331" customFormat="1" ht="13.5">
      <c r="A270" s="65"/>
      <c r="B270" s="494"/>
      <c r="C270" s="111" t="s">
        <v>143</v>
      </c>
      <c r="D270" s="65" t="s">
        <v>65</v>
      </c>
      <c r="E270" s="65">
        <v>0.128</v>
      </c>
      <c r="F270" s="89">
        <f>F265*E270</f>
        <v>4.4032</v>
      </c>
      <c r="G270" s="89">
        <v>4.3</v>
      </c>
      <c r="H270" s="89">
        <f>F270*G270</f>
        <v>18.93376</v>
      </c>
      <c r="I270" s="89"/>
      <c r="J270" s="89"/>
      <c r="K270" s="89"/>
      <c r="L270" s="89"/>
      <c r="M270" s="89">
        <f>H270+J270+L270</f>
        <v>18.93376</v>
      </c>
    </row>
    <row r="271" spans="1:13" s="331" customFormat="1" ht="13.5">
      <c r="A271" s="65"/>
      <c r="B271" s="494"/>
      <c r="C271" s="111" t="s">
        <v>309</v>
      </c>
      <c r="D271" s="65" t="s">
        <v>65</v>
      </c>
      <c r="E271" s="65">
        <v>0.128</v>
      </c>
      <c r="F271" s="89">
        <f>F265*E271</f>
        <v>4.4032</v>
      </c>
      <c r="G271" s="89">
        <v>2.5</v>
      </c>
      <c r="H271" s="89">
        <f>F271*G271</f>
        <v>11.008</v>
      </c>
      <c r="I271" s="89"/>
      <c r="J271" s="89"/>
      <c r="K271" s="89"/>
      <c r="L271" s="89"/>
      <c r="M271" s="89">
        <f>H271+J271+L271</f>
        <v>11.008</v>
      </c>
    </row>
    <row r="272" spans="1:13" s="331" customFormat="1" ht="13.5">
      <c r="A272" s="65"/>
      <c r="B272" s="494"/>
      <c r="C272" s="111" t="s">
        <v>91</v>
      </c>
      <c r="D272" s="65" t="s">
        <v>65</v>
      </c>
      <c r="E272" s="65">
        <v>0.112</v>
      </c>
      <c r="F272" s="89">
        <f>F265*E272</f>
        <v>3.8528</v>
      </c>
      <c r="G272" s="89">
        <v>2.5</v>
      </c>
      <c r="H272" s="89">
        <f>F272*G272</f>
        <v>9.632</v>
      </c>
      <c r="I272" s="89"/>
      <c r="J272" s="89"/>
      <c r="K272" s="89"/>
      <c r="L272" s="89"/>
      <c r="M272" s="89">
        <f>H272+J272+L272</f>
        <v>9.632</v>
      </c>
    </row>
    <row r="273" spans="1:13" s="331" customFormat="1" ht="13.5">
      <c r="A273" s="65"/>
      <c r="B273" s="494"/>
      <c r="C273" s="78" t="s">
        <v>3</v>
      </c>
      <c r="D273" s="69" t="s">
        <v>43</v>
      </c>
      <c r="E273" s="65">
        <v>0.133</v>
      </c>
      <c r="F273" s="89">
        <f>F265*E273</f>
        <v>4.5752</v>
      </c>
      <c r="G273" s="89">
        <v>3.2</v>
      </c>
      <c r="H273" s="89">
        <f>F273*G273</f>
        <v>14.64064</v>
      </c>
      <c r="I273" s="89"/>
      <c r="J273" s="89"/>
      <c r="K273" s="89"/>
      <c r="L273" s="89"/>
      <c r="M273" s="89">
        <f>H273+J273+L273</f>
        <v>14.64064</v>
      </c>
    </row>
    <row r="274" spans="1:13" s="331" customFormat="1" ht="27">
      <c r="A274" s="77">
        <v>50</v>
      </c>
      <c r="B274" s="493" t="s">
        <v>571</v>
      </c>
      <c r="C274" s="92" t="s">
        <v>573</v>
      </c>
      <c r="D274" s="77" t="s">
        <v>121</v>
      </c>
      <c r="E274" s="77"/>
      <c r="F274" s="251">
        <v>4</v>
      </c>
      <c r="G274" s="204"/>
      <c r="H274" s="204"/>
      <c r="I274" s="204"/>
      <c r="J274" s="204"/>
      <c r="K274" s="204"/>
      <c r="L274" s="204"/>
      <c r="M274" s="204"/>
    </row>
    <row r="275" spans="1:13" s="331" customFormat="1" ht="13.5">
      <c r="A275" s="65"/>
      <c r="B275" s="494"/>
      <c r="C275" s="111" t="s">
        <v>54</v>
      </c>
      <c r="D275" s="65" t="s">
        <v>55</v>
      </c>
      <c r="E275" s="65">
        <v>0.93</v>
      </c>
      <c r="F275" s="89">
        <f>F274*E275</f>
        <v>3.72</v>
      </c>
      <c r="G275" s="89"/>
      <c r="H275" s="89"/>
      <c r="I275" s="89">
        <v>6</v>
      </c>
      <c r="J275" s="89">
        <f>F275*I275</f>
        <v>22.32</v>
      </c>
      <c r="K275" s="89"/>
      <c r="L275" s="89"/>
      <c r="M275" s="89">
        <f>H275+J275+L275</f>
        <v>22.32</v>
      </c>
    </row>
    <row r="276" spans="1:13" s="331" customFormat="1" ht="13.5">
      <c r="A276" s="65"/>
      <c r="B276" s="494"/>
      <c r="C276" s="78" t="s">
        <v>546</v>
      </c>
      <c r="D276" s="65" t="s">
        <v>43</v>
      </c>
      <c r="E276" s="65">
        <v>0.01</v>
      </c>
      <c r="F276" s="89">
        <f>F274*E276</f>
        <v>0.04</v>
      </c>
      <c r="G276" s="89"/>
      <c r="H276" s="89"/>
      <c r="I276" s="89"/>
      <c r="J276" s="89"/>
      <c r="K276" s="89">
        <v>3.2</v>
      </c>
      <c r="L276" s="89">
        <f>F276*K276</f>
        <v>0.128</v>
      </c>
      <c r="M276" s="89">
        <f>H276+J276+L276</f>
        <v>0.128</v>
      </c>
    </row>
    <row r="277" spans="1:13" s="331" customFormat="1" ht="13.5">
      <c r="A277" s="65"/>
      <c r="B277" s="494"/>
      <c r="C277" s="79" t="s">
        <v>56</v>
      </c>
      <c r="D277" s="65"/>
      <c r="E277" s="65"/>
      <c r="F277" s="89"/>
      <c r="G277" s="89"/>
      <c r="H277" s="89"/>
      <c r="I277" s="89"/>
      <c r="J277" s="89"/>
      <c r="K277" s="89"/>
      <c r="L277" s="89"/>
      <c r="M277" s="89"/>
    </row>
    <row r="278" spans="1:13" s="331" customFormat="1" ht="13.5">
      <c r="A278" s="65"/>
      <c r="B278" s="494"/>
      <c r="C278" s="111" t="s">
        <v>548</v>
      </c>
      <c r="D278" s="65" t="s">
        <v>121</v>
      </c>
      <c r="E278" s="65">
        <v>1</v>
      </c>
      <c r="F278" s="89">
        <f>F274*E278</f>
        <v>4</v>
      </c>
      <c r="G278" s="89">
        <v>4.5</v>
      </c>
      <c r="H278" s="89">
        <f>F278*G278</f>
        <v>18</v>
      </c>
      <c r="I278" s="89"/>
      <c r="J278" s="89"/>
      <c r="K278" s="89"/>
      <c r="L278" s="89"/>
      <c r="M278" s="89">
        <f>H278+J278+L278</f>
        <v>18</v>
      </c>
    </row>
    <row r="279" spans="1:13" s="331" customFormat="1" ht="13.5">
      <c r="A279" s="65"/>
      <c r="B279" s="494"/>
      <c r="C279" s="78" t="s">
        <v>3</v>
      </c>
      <c r="D279" s="69" t="s">
        <v>43</v>
      </c>
      <c r="E279" s="65">
        <v>0.18</v>
      </c>
      <c r="F279" s="89">
        <f>F274*E279</f>
        <v>0.72</v>
      </c>
      <c r="G279" s="89">
        <v>3.2</v>
      </c>
      <c r="H279" s="89">
        <f>F279*G279</f>
        <v>2.304</v>
      </c>
      <c r="I279" s="89"/>
      <c r="J279" s="89"/>
      <c r="K279" s="89"/>
      <c r="L279" s="89"/>
      <c r="M279" s="89">
        <f>H279+J279+L279</f>
        <v>2.304</v>
      </c>
    </row>
    <row r="280" spans="1:13" s="331" customFormat="1" ht="27">
      <c r="A280" s="77">
        <v>51</v>
      </c>
      <c r="B280" s="493" t="s">
        <v>571</v>
      </c>
      <c r="C280" s="92" t="s">
        <v>574</v>
      </c>
      <c r="D280" s="77" t="s">
        <v>121</v>
      </c>
      <c r="E280" s="77"/>
      <c r="F280" s="251">
        <v>4</v>
      </c>
      <c r="G280" s="204"/>
      <c r="H280" s="204"/>
      <c r="I280" s="204"/>
      <c r="J280" s="204"/>
      <c r="K280" s="204"/>
      <c r="L280" s="204"/>
      <c r="M280" s="204"/>
    </row>
    <row r="281" spans="1:13" s="331" customFormat="1" ht="13.5">
      <c r="A281" s="65"/>
      <c r="B281" s="494"/>
      <c r="C281" s="111" t="s">
        <v>54</v>
      </c>
      <c r="D281" s="65" t="s">
        <v>55</v>
      </c>
      <c r="E281" s="65">
        <v>0.93</v>
      </c>
      <c r="F281" s="89">
        <f>F280*E281</f>
        <v>3.72</v>
      </c>
      <c r="G281" s="89"/>
      <c r="H281" s="89"/>
      <c r="I281" s="89">
        <v>6</v>
      </c>
      <c r="J281" s="89">
        <f>F281*I281</f>
        <v>22.32</v>
      </c>
      <c r="K281" s="89"/>
      <c r="L281" s="89"/>
      <c r="M281" s="89">
        <f>H281+J281+L281</f>
        <v>22.32</v>
      </c>
    </row>
    <row r="282" spans="1:13" s="331" customFormat="1" ht="13.5">
      <c r="A282" s="65"/>
      <c r="B282" s="494"/>
      <c r="C282" s="78" t="s">
        <v>546</v>
      </c>
      <c r="D282" s="65" t="s">
        <v>43</v>
      </c>
      <c r="E282" s="65">
        <v>0.01</v>
      </c>
      <c r="F282" s="89">
        <f>F280*E282</f>
        <v>0.04</v>
      </c>
      <c r="G282" s="89"/>
      <c r="H282" s="89"/>
      <c r="I282" s="89"/>
      <c r="J282" s="89"/>
      <c r="K282" s="89">
        <v>3.2</v>
      </c>
      <c r="L282" s="89">
        <f>F282*K282</f>
        <v>0.128</v>
      </c>
      <c r="M282" s="89">
        <f>H282+J282+L282</f>
        <v>0.128</v>
      </c>
    </row>
    <row r="283" spans="1:13" s="331" customFormat="1" ht="13.5">
      <c r="A283" s="65"/>
      <c r="B283" s="494"/>
      <c r="C283" s="79" t="s">
        <v>56</v>
      </c>
      <c r="D283" s="65"/>
      <c r="E283" s="65"/>
      <c r="F283" s="89"/>
      <c r="G283" s="89"/>
      <c r="H283" s="89"/>
      <c r="I283" s="89"/>
      <c r="J283" s="89"/>
      <c r="K283" s="89"/>
      <c r="L283" s="89"/>
      <c r="M283" s="89"/>
    </row>
    <row r="284" spans="1:13" s="331" customFormat="1" ht="13.5">
      <c r="A284" s="65"/>
      <c r="B284" s="494"/>
      <c r="C284" s="111" t="s">
        <v>549</v>
      </c>
      <c r="D284" s="65" t="s">
        <v>121</v>
      </c>
      <c r="E284" s="65">
        <v>1</v>
      </c>
      <c r="F284" s="89">
        <f>F280*E284</f>
        <v>4</v>
      </c>
      <c r="G284" s="89">
        <v>2.2</v>
      </c>
      <c r="H284" s="89">
        <f>F284*G284</f>
        <v>8.8</v>
      </c>
      <c r="I284" s="89"/>
      <c r="J284" s="89"/>
      <c r="K284" s="89"/>
      <c r="L284" s="89"/>
      <c r="M284" s="89">
        <f>H284+J284+L284</f>
        <v>8.8</v>
      </c>
    </row>
    <row r="285" spans="1:13" s="331" customFormat="1" ht="13.5">
      <c r="A285" s="65"/>
      <c r="B285" s="494"/>
      <c r="C285" s="78" t="s">
        <v>3</v>
      </c>
      <c r="D285" s="65" t="s">
        <v>43</v>
      </c>
      <c r="E285" s="65">
        <v>0.18</v>
      </c>
      <c r="F285" s="89">
        <f>F280*E285</f>
        <v>0.72</v>
      </c>
      <c r="G285" s="89">
        <v>3.2</v>
      </c>
      <c r="H285" s="89">
        <f>F285*G285</f>
        <v>2.304</v>
      </c>
      <c r="I285" s="89"/>
      <c r="J285" s="89"/>
      <c r="K285" s="89"/>
      <c r="L285" s="89"/>
      <c r="M285" s="89">
        <f>H285+J285+L285</f>
        <v>2.304</v>
      </c>
    </row>
    <row r="286" spans="1:13" ht="13.5">
      <c r="A286" s="52"/>
      <c r="B286" s="325"/>
      <c r="C286" s="277" t="s">
        <v>21</v>
      </c>
      <c r="D286" s="52"/>
      <c r="E286" s="52"/>
      <c r="F286" s="161"/>
      <c r="G286" s="161"/>
      <c r="H286" s="161">
        <f>SUM(H191:H285)</f>
        <v>64205.50301879998</v>
      </c>
      <c r="I286" s="161"/>
      <c r="J286" s="161">
        <f>SUM(J191:J285)</f>
        <v>17240.8242</v>
      </c>
      <c r="K286" s="161"/>
      <c r="L286" s="161">
        <f>SUM(L191:L285)</f>
        <v>399.8416000000001</v>
      </c>
      <c r="M286" s="161">
        <f>SUM(M191:M285)</f>
        <v>81846.16881880001</v>
      </c>
    </row>
    <row r="287" spans="1:13" ht="16.5">
      <c r="A287" s="47"/>
      <c r="B287" s="126"/>
      <c r="C287" s="333" t="s">
        <v>164</v>
      </c>
      <c r="D287" s="47"/>
      <c r="E287" s="47"/>
      <c r="F287" s="108"/>
      <c r="G287" s="108"/>
      <c r="H287" s="108"/>
      <c r="I287" s="108"/>
      <c r="J287" s="108"/>
      <c r="K287" s="108"/>
      <c r="L287" s="108"/>
      <c r="M287" s="108"/>
    </row>
    <row r="288" spans="1:13" s="121" customFormat="1" ht="42.75" customHeight="1">
      <c r="A288" s="1">
        <v>52</v>
      </c>
      <c r="B288" s="120" t="s">
        <v>190</v>
      </c>
      <c r="C288" s="4" t="s">
        <v>437</v>
      </c>
      <c r="D288" s="1" t="s">
        <v>66</v>
      </c>
      <c r="E288" s="1"/>
      <c r="F288" s="165">
        <f>11.2+2.6</f>
        <v>13.799999999999999</v>
      </c>
      <c r="G288" s="13"/>
      <c r="H288" s="13"/>
      <c r="I288" s="13"/>
      <c r="J288" s="13"/>
      <c r="K288" s="13"/>
      <c r="L288" s="13"/>
      <c r="M288" s="13"/>
    </row>
    <row r="289" spans="1:13" s="121" customFormat="1" ht="15.75" customHeight="1">
      <c r="A289" s="1"/>
      <c r="B289" s="120"/>
      <c r="C289" s="4" t="s">
        <v>54</v>
      </c>
      <c r="D289" s="1" t="s">
        <v>366</v>
      </c>
      <c r="E289" s="1">
        <v>13.9</v>
      </c>
      <c r="F289" s="13">
        <f>F288*E289</f>
        <v>191.82</v>
      </c>
      <c r="G289" s="13"/>
      <c r="H289" s="13"/>
      <c r="I289" s="13">
        <v>6</v>
      </c>
      <c r="J289" s="13">
        <f>F289*I289</f>
        <v>1150.92</v>
      </c>
      <c r="K289" s="13"/>
      <c r="L289" s="13"/>
      <c r="M289" s="13">
        <f>H289+J289+L289</f>
        <v>1150.92</v>
      </c>
    </row>
    <row r="290" spans="1:13" s="121" customFormat="1" ht="13.5">
      <c r="A290" s="1"/>
      <c r="B290" s="120"/>
      <c r="C290" s="4" t="s">
        <v>62</v>
      </c>
      <c r="D290" s="1" t="s">
        <v>43</v>
      </c>
      <c r="E290" s="1">
        <v>1.28</v>
      </c>
      <c r="F290" s="13">
        <f>F288*E290</f>
        <v>17.663999999999998</v>
      </c>
      <c r="G290" s="13"/>
      <c r="H290" s="13"/>
      <c r="I290" s="13"/>
      <c r="J290" s="13"/>
      <c r="K290" s="13">
        <v>3.2</v>
      </c>
      <c r="L290" s="13">
        <f>F290*K290</f>
        <v>56.5248</v>
      </c>
      <c r="M290" s="13">
        <f>H290+J290+L290</f>
        <v>56.5248</v>
      </c>
    </row>
    <row r="291" spans="1:13" s="121" customFormat="1" ht="13.5">
      <c r="A291" s="1"/>
      <c r="B291" s="120"/>
      <c r="C291" s="4" t="s">
        <v>56</v>
      </c>
      <c r="D291" s="1"/>
      <c r="E291" s="1"/>
      <c r="F291" s="13">
        <f>E291*2353</f>
        <v>0</v>
      </c>
      <c r="G291" s="13"/>
      <c r="H291" s="13"/>
      <c r="I291" s="13"/>
      <c r="J291" s="13"/>
      <c r="K291" s="13"/>
      <c r="L291" s="13"/>
      <c r="M291" s="13"/>
    </row>
    <row r="292" spans="1:13" s="121" customFormat="1" ht="13.5">
      <c r="A292" s="1"/>
      <c r="B292" s="120"/>
      <c r="C292" s="4" t="s">
        <v>367</v>
      </c>
      <c r="D292" s="1" t="s">
        <v>66</v>
      </c>
      <c r="E292" s="1">
        <v>1.015</v>
      </c>
      <c r="F292" s="13">
        <f>F288*E292</f>
        <v>14.006999999999998</v>
      </c>
      <c r="G292" s="13">
        <v>108</v>
      </c>
      <c r="H292" s="13">
        <f aca="true" t="shared" si="16" ref="H292:H297">F292*G292</f>
        <v>1512.7559999999999</v>
      </c>
      <c r="I292" s="13"/>
      <c r="J292" s="13"/>
      <c r="K292" s="13"/>
      <c r="L292" s="13"/>
      <c r="M292" s="13">
        <f aca="true" t="shared" si="17" ref="M292:M297">H292+J292+L292</f>
        <v>1512.7559999999999</v>
      </c>
    </row>
    <row r="293" spans="1:13" s="121" customFormat="1" ht="13.5">
      <c r="A293" s="1"/>
      <c r="B293" s="120"/>
      <c r="C293" s="4" t="s">
        <v>144</v>
      </c>
      <c r="D293" s="1" t="s">
        <v>64</v>
      </c>
      <c r="E293" s="1">
        <v>2.29</v>
      </c>
      <c r="F293" s="13">
        <f>F288*E293</f>
        <v>31.601999999999997</v>
      </c>
      <c r="G293" s="13">
        <v>15</v>
      </c>
      <c r="H293" s="13">
        <f t="shared" si="16"/>
        <v>474.03</v>
      </c>
      <c r="I293" s="13"/>
      <c r="J293" s="13"/>
      <c r="K293" s="13"/>
      <c r="L293" s="13"/>
      <c r="M293" s="13">
        <f t="shared" si="17"/>
        <v>474.03</v>
      </c>
    </row>
    <row r="294" spans="1:13" s="121" customFormat="1" ht="13.5">
      <c r="A294" s="1"/>
      <c r="B294" s="120"/>
      <c r="C294" s="4" t="s">
        <v>0</v>
      </c>
      <c r="D294" s="1" t="s">
        <v>66</v>
      </c>
      <c r="E294" s="1">
        <v>0.014</v>
      </c>
      <c r="F294" s="13">
        <f>F288*E294</f>
        <v>0.19319999999999998</v>
      </c>
      <c r="G294" s="13">
        <v>545</v>
      </c>
      <c r="H294" s="13">
        <f t="shared" si="16"/>
        <v>105.294</v>
      </c>
      <c r="I294" s="13"/>
      <c r="J294" s="13"/>
      <c r="K294" s="13"/>
      <c r="L294" s="13"/>
      <c r="M294" s="13">
        <f t="shared" si="17"/>
        <v>105.294</v>
      </c>
    </row>
    <row r="295" spans="1:13" s="121" customFormat="1" ht="13.5">
      <c r="A295" s="1"/>
      <c r="B295" s="120"/>
      <c r="C295" s="4" t="s">
        <v>146</v>
      </c>
      <c r="D295" s="1" t="s">
        <v>66</v>
      </c>
      <c r="E295" s="1">
        <v>0.0429</v>
      </c>
      <c r="F295" s="13">
        <f>F288*E295</f>
        <v>0.59202</v>
      </c>
      <c r="G295" s="13">
        <v>535</v>
      </c>
      <c r="H295" s="13">
        <f t="shared" si="16"/>
        <v>316.7307</v>
      </c>
      <c r="I295" s="13"/>
      <c r="J295" s="13"/>
      <c r="K295" s="13"/>
      <c r="L295" s="13"/>
      <c r="M295" s="13">
        <f t="shared" si="17"/>
        <v>316.7307</v>
      </c>
    </row>
    <row r="296" spans="1:13" s="121" customFormat="1" ht="13.5">
      <c r="A296" s="1"/>
      <c r="B296" s="120"/>
      <c r="C296" s="4" t="s">
        <v>147</v>
      </c>
      <c r="D296" s="1" t="s">
        <v>66</v>
      </c>
      <c r="E296" s="1">
        <v>0.002</v>
      </c>
      <c r="F296" s="13">
        <f>F288*E296</f>
        <v>0.0276</v>
      </c>
      <c r="G296" s="13">
        <v>475</v>
      </c>
      <c r="H296" s="13">
        <f t="shared" si="16"/>
        <v>13.11</v>
      </c>
      <c r="I296" s="13"/>
      <c r="J296" s="13"/>
      <c r="K296" s="13"/>
      <c r="L296" s="13"/>
      <c r="M296" s="13">
        <f t="shared" si="17"/>
        <v>13.11</v>
      </c>
    </row>
    <row r="297" spans="1:13" s="121" customFormat="1" ht="13.5">
      <c r="A297" s="1"/>
      <c r="B297" s="120"/>
      <c r="C297" s="4" t="s">
        <v>57</v>
      </c>
      <c r="D297" s="1" t="s">
        <v>43</v>
      </c>
      <c r="E297" s="1">
        <v>0.93</v>
      </c>
      <c r="F297" s="13">
        <f>F288*E297</f>
        <v>12.834</v>
      </c>
      <c r="G297" s="13">
        <v>3.2</v>
      </c>
      <c r="H297" s="13">
        <f t="shared" si="16"/>
        <v>41.0688</v>
      </c>
      <c r="I297" s="13"/>
      <c r="J297" s="13"/>
      <c r="K297" s="13"/>
      <c r="L297" s="13"/>
      <c r="M297" s="13">
        <f t="shared" si="17"/>
        <v>41.0688</v>
      </c>
    </row>
    <row r="298" spans="1:13" ht="13.5">
      <c r="A298" s="47">
        <v>53</v>
      </c>
      <c r="B298" s="126"/>
      <c r="C298" s="38" t="s">
        <v>189</v>
      </c>
      <c r="D298" s="47" t="s">
        <v>75</v>
      </c>
      <c r="E298" s="47"/>
      <c r="F298" s="189">
        <f>0.455+0.1504</f>
        <v>0.6054</v>
      </c>
      <c r="G298" s="108">
        <v>1600</v>
      </c>
      <c r="H298" s="108">
        <f>F298*G298</f>
        <v>968.6400000000001</v>
      </c>
      <c r="I298" s="108"/>
      <c r="J298" s="108"/>
      <c r="K298" s="108"/>
      <c r="L298" s="108"/>
      <c r="M298" s="108">
        <f>H298+J298+L298</f>
        <v>968.6400000000001</v>
      </c>
    </row>
    <row r="299" spans="1:13" ht="13.5">
      <c r="A299" s="47">
        <v>54</v>
      </c>
      <c r="B299" s="126"/>
      <c r="C299" s="38" t="s">
        <v>148</v>
      </c>
      <c r="D299" s="47" t="s">
        <v>75</v>
      </c>
      <c r="E299" s="47"/>
      <c r="F299" s="189">
        <f>1.3876+0.2768</f>
        <v>1.6643999999999999</v>
      </c>
      <c r="G299" s="108">
        <v>1542</v>
      </c>
      <c r="H299" s="108">
        <f>F299*G299</f>
        <v>2566.5047999999997</v>
      </c>
      <c r="I299" s="108"/>
      <c r="J299" s="108"/>
      <c r="K299" s="108"/>
      <c r="L299" s="108"/>
      <c r="M299" s="108">
        <f>H299+J299+L299</f>
        <v>2566.5047999999997</v>
      </c>
    </row>
    <row r="300" spans="1:13" s="332" customFormat="1" ht="27">
      <c r="A300" s="76">
        <v>55</v>
      </c>
      <c r="B300" s="141" t="s">
        <v>371</v>
      </c>
      <c r="C300" s="114" t="s">
        <v>768</v>
      </c>
      <c r="D300" s="76" t="s">
        <v>64</v>
      </c>
      <c r="E300" s="76"/>
      <c r="F300" s="164">
        <f>20.5*2</f>
        <v>41</v>
      </c>
      <c r="G300" s="204"/>
      <c r="H300" s="204"/>
      <c r="I300" s="204"/>
      <c r="J300" s="204"/>
      <c r="K300" s="204"/>
      <c r="L300" s="204"/>
      <c r="M300" s="204"/>
    </row>
    <row r="301" spans="1:13" s="332" customFormat="1" ht="13.5">
      <c r="A301" s="62"/>
      <c r="B301" s="142"/>
      <c r="C301" s="79" t="s">
        <v>769</v>
      </c>
      <c r="D301" s="1" t="s">
        <v>366</v>
      </c>
      <c r="E301" s="62">
        <f>0.188+0.0034*11</f>
        <v>0.2254</v>
      </c>
      <c r="F301" s="89">
        <f>F300*E301</f>
        <v>9.241399999999999</v>
      </c>
      <c r="G301" s="89"/>
      <c r="H301" s="89"/>
      <c r="I301" s="89">
        <v>7.8</v>
      </c>
      <c r="J301" s="89">
        <f>F301*I301</f>
        <v>72.08291999999999</v>
      </c>
      <c r="K301" s="89"/>
      <c r="L301" s="89"/>
      <c r="M301" s="89">
        <f>H301+J301+L301</f>
        <v>72.08291999999999</v>
      </c>
    </row>
    <row r="302" spans="1:13" s="269" customFormat="1" ht="27">
      <c r="A302" s="62"/>
      <c r="B302" s="142"/>
      <c r="C302" s="79" t="s">
        <v>770</v>
      </c>
      <c r="D302" s="65" t="s">
        <v>43</v>
      </c>
      <c r="E302" s="62">
        <f>0.0095+0.0023*11</f>
        <v>0.0348</v>
      </c>
      <c r="F302" s="89">
        <f>F300*E302</f>
        <v>1.4267999999999998</v>
      </c>
      <c r="G302" s="89"/>
      <c r="H302" s="89"/>
      <c r="I302" s="89"/>
      <c r="J302" s="89"/>
      <c r="K302" s="89">
        <v>3.2</v>
      </c>
      <c r="L302" s="89">
        <f>F302*K302</f>
        <v>4.56576</v>
      </c>
      <c r="M302" s="89">
        <f>H302+J302+L302</f>
        <v>4.56576</v>
      </c>
    </row>
    <row r="303" spans="1:13" s="332" customFormat="1" ht="13.5">
      <c r="A303" s="62"/>
      <c r="B303" s="142"/>
      <c r="C303" s="79" t="s">
        <v>56</v>
      </c>
      <c r="D303" s="62"/>
      <c r="E303" s="62"/>
      <c r="F303" s="89"/>
      <c r="G303" s="89"/>
      <c r="H303" s="89"/>
      <c r="I303" s="89"/>
      <c r="J303" s="89"/>
      <c r="K303" s="89"/>
      <c r="L303" s="89"/>
      <c r="M303" s="89"/>
    </row>
    <row r="304" spans="1:13" s="332" customFormat="1" ht="13.5">
      <c r="A304" s="62"/>
      <c r="B304" s="142"/>
      <c r="C304" s="79" t="s">
        <v>771</v>
      </c>
      <c r="D304" s="62" t="s">
        <v>66</v>
      </c>
      <c r="E304" s="62">
        <f>0.0204+0.0051*11</f>
        <v>0.07650000000000001</v>
      </c>
      <c r="F304" s="89">
        <f>F300*E304</f>
        <v>3.1365000000000007</v>
      </c>
      <c r="G304" s="89">
        <v>91</v>
      </c>
      <c r="H304" s="89">
        <f>F304*G304</f>
        <v>285.4215000000001</v>
      </c>
      <c r="I304" s="89"/>
      <c r="J304" s="89"/>
      <c r="K304" s="89"/>
      <c r="L304" s="89"/>
      <c r="M304" s="89">
        <f>H304+J304+L304</f>
        <v>285.4215000000001</v>
      </c>
    </row>
    <row r="305" spans="1:13" s="332" customFormat="1" ht="13.5">
      <c r="A305" s="62"/>
      <c r="B305" s="143"/>
      <c r="C305" s="248" t="s">
        <v>3</v>
      </c>
      <c r="D305" s="69" t="s">
        <v>43</v>
      </c>
      <c r="E305" s="67">
        <v>0.0636</v>
      </c>
      <c r="F305" s="209">
        <f>F300*E305</f>
        <v>2.6076</v>
      </c>
      <c r="G305" s="209">
        <v>3.2</v>
      </c>
      <c r="H305" s="209">
        <f>F305*G305</f>
        <v>8.344320000000002</v>
      </c>
      <c r="I305" s="209"/>
      <c r="J305" s="209"/>
      <c r="K305" s="209"/>
      <c r="L305" s="209"/>
      <c r="M305" s="209">
        <f>H305+J305+L305</f>
        <v>8.344320000000002</v>
      </c>
    </row>
    <row r="306" spans="1:13" s="121" customFormat="1" ht="27">
      <c r="A306" s="28">
        <v>56</v>
      </c>
      <c r="B306" s="149" t="s">
        <v>98</v>
      </c>
      <c r="C306" s="43" t="s">
        <v>866</v>
      </c>
      <c r="D306" s="28" t="s">
        <v>64</v>
      </c>
      <c r="E306" s="28"/>
      <c r="F306" s="164">
        <f>F300</f>
        <v>41</v>
      </c>
      <c r="G306" s="30"/>
      <c r="H306" s="30"/>
      <c r="I306" s="30"/>
      <c r="J306" s="30"/>
      <c r="K306" s="30"/>
      <c r="L306" s="30"/>
      <c r="M306" s="30"/>
    </row>
    <row r="307" spans="1:13" s="121" customFormat="1" ht="15" customHeight="1">
      <c r="A307" s="1"/>
      <c r="B307" s="120"/>
      <c r="C307" s="4" t="s">
        <v>133</v>
      </c>
      <c r="D307" s="1" t="s">
        <v>55</v>
      </c>
      <c r="E307" s="1">
        <v>0.188</v>
      </c>
      <c r="F307" s="13">
        <f>F306*E307</f>
        <v>7.708</v>
      </c>
      <c r="G307" s="13"/>
      <c r="H307" s="13"/>
      <c r="I307" s="13">
        <v>7.8</v>
      </c>
      <c r="J307" s="13">
        <f>F307*I307</f>
        <v>60.1224</v>
      </c>
      <c r="K307" s="13"/>
      <c r="L307" s="13"/>
      <c r="M307" s="13">
        <f>H307+J307+L307</f>
        <v>60.1224</v>
      </c>
    </row>
    <row r="308" spans="1:13" s="268" customFormat="1" ht="15.75" customHeight="1">
      <c r="A308" s="1"/>
      <c r="B308" s="120"/>
      <c r="C308" s="4" t="s">
        <v>352</v>
      </c>
      <c r="D308" s="1" t="s">
        <v>43</v>
      </c>
      <c r="E308" s="1">
        <v>0.0095</v>
      </c>
      <c r="F308" s="13">
        <f>F306*E308</f>
        <v>0.3895</v>
      </c>
      <c r="G308" s="13"/>
      <c r="H308" s="13"/>
      <c r="I308" s="13"/>
      <c r="J308" s="13"/>
      <c r="K308" s="13">
        <v>3.2</v>
      </c>
      <c r="L308" s="13">
        <f>F308*K308</f>
        <v>1.2464000000000002</v>
      </c>
      <c r="M308" s="13">
        <f>H308+J308+L308</f>
        <v>1.2464000000000002</v>
      </c>
    </row>
    <row r="309" spans="1:13" s="121" customFormat="1" ht="13.5">
      <c r="A309" s="1"/>
      <c r="B309" s="120"/>
      <c r="C309" s="4" t="s">
        <v>56</v>
      </c>
      <c r="D309" s="1"/>
      <c r="E309" s="1"/>
      <c r="F309" s="13">
        <f>E309*2353</f>
        <v>0</v>
      </c>
      <c r="G309" s="13"/>
      <c r="H309" s="13"/>
      <c r="I309" s="13"/>
      <c r="J309" s="13"/>
      <c r="K309" s="13"/>
      <c r="L309" s="13"/>
      <c r="M309" s="13"/>
    </row>
    <row r="310" spans="1:13" s="121" customFormat="1" ht="13.5">
      <c r="A310" s="249"/>
      <c r="B310" s="122"/>
      <c r="C310" s="123" t="s">
        <v>672</v>
      </c>
      <c r="D310" s="37" t="s">
        <v>65</v>
      </c>
      <c r="E310" s="37">
        <f>20*1.5</f>
        <v>30</v>
      </c>
      <c r="F310" s="124">
        <f>F306*E310</f>
        <v>1230</v>
      </c>
      <c r="G310" s="124">
        <v>0.95</v>
      </c>
      <c r="H310" s="124">
        <f>F310*G310</f>
        <v>1168.5</v>
      </c>
      <c r="I310" s="124"/>
      <c r="J310" s="124"/>
      <c r="K310" s="124"/>
      <c r="L310" s="124"/>
      <c r="M310" s="124">
        <f>H310+J310+L310</f>
        <v>1168.5</v>
      </c>
    </row>
    <row r="311" spans="1:13" s="121" customFormat="1" ht="40.5">
      <c r="A311" s="1">
        <v>57</v>
      </c>
      <c r="B311" s="120" t="s">
        <v>550</v>
      </c>
      <c r="C311" s="43" t="s">
        <v>678</v>
      </c>
      <c r="D311" s="1" t="s">
        <v>64</v>
      </c>
      <c r="E311" s="1"/>
      <c r="F311" s="165">
        <f>32*2</f>
        <v>64</v>
      </c>
      <c r="G311" s="13"/>
      <c r="H311" s="13"/>
      <c r="I311" s="13"/>
      <c r="J311" s="13"/>
      <c r="K311" s="13"/>
      <c r="L311" s="13"/>
      <c r="M311" s="13"/>
    </row>
    <row r="312" spans="1:13" s="121" customFormat="1" ht="14.25" customHeight="1">
      <c r="A312" s="1"/>
      <c r="B312" s="120"/>
      <c r="C312" s="4" t="s">
        <v>54</v>
      </c>
      <c r="D312" s="1" t="s">
        <v>55</v>
      </c>
      <c r="E312" s="1">
        <v>0.755</v>
      </c>
      <c r="F312" s="13">
        <f>F311*E312</f>
        <v>48.32</v>
      </c>
      <c r="G312" s="13"/>
      <c r="H312" s="13"/>
      <c r="I312" s="13">
        <v>7.8</v>
      </c>
      <c r="J312" s="13">
        <f>F312*I312</f>
        <v>376.896</v>
      </c>
      <c r="K312" s="13"/>
      <c r="L312" s="13"/>
      <c r="M312" s="13">
        <f>H312+J312+L312</f>
        <v>376.896</v>
      </c>
    </row>
    <row r="313" spans="1:13" s="121" customFormat="1" ht="13.5">
      <c r="A313" s="1"/>
      <c r="B313" s="120"/>
      <c r="C313" s="4" t="s">
        <v>62</v>
      </c>
      <c r="D313" s="1" t="s">
        <v>43</v>
      </c>
      <c r="E313" s="1">
        <v>0.0075</v>
      </c>
      <c r="F313" s="13">
        <f>F311*E313</f>
        <v>0.48</v>
      </c>
      <c r="G313" s="13"/>
      <c r="H313" s="13"/>
      <c r="I313" s="13"/>
      <c r="J313" s="13"/>
      <c r="K313" s="13">
        <v>3.2</v>
      </c>
      <c r="L313" s="13">
        <f>F313*K313</f>
        <v>1.536</v>
      </c>
      <c r="M313" s="13">
        <f>H313+J313+L313</f>
        <v>1.536</v>
      </c>
    </row>
    <row r="314" spans="1:13" s="121" customFormat="1" ht="13.5">
      <c r="A314" s="1"/>
      <c r="B314" s="120"/>
      <c r="C314" s="4" t="s">
        <v>56</v>
      </c>
      <c r="D314" s="1"/>
      <c r="E314" s="1"/>
      <c r="F314" s="13">
        <f>E314*2353</f>
        <v>0</v>
      </c>
      <c r="G314" s="13"/>
      <c r="H314" s="13"/>
      <c r="I314" s="13"/>
      <c r="J314" s="13"/>
      <c r="K314" s="13"/>
      <c r="L314" s="13"/>
      <c r="M314" s="13"/>
    </row>
    <row r="315" spans="1:13" s="121" customFormat="1" ht="13.5">
      <c r="A315" s="1"/>
      <c r="B315" s="120"/>
      <c r="C315" s="4" t="s">
        <v>755</v>
      </c>
      <c r="D315" s="1" t="s">
        <v>64</v>
      </c>
      <c r="E315" s="1">
        <v>1.02</v>
      </c>
      <c r="F315" s="13">
        <f>F311*E315</f>
        <v>65.28</v>
      </c>
      <c r="G315" s="13">
        <v>48</v>
      </c>
      <c r="H315" s="13">
        <f>F315*G315</f>
        <v>3133.44</v>
      </c>
      <c r="I315" s="13"/>
      <c r="J315" s="13"/>
      <c r="K315" s="13"/>
      <c r="L315" s="13"/>
      <c r="M315" s="13">
        <f>H315+J315+L315</f>
        <v>3133.44</v>
      </c>
    </row>
    <row r="316" spans="1:13" s="121" customFormat="1" ht="13.5">
      <c r="A316" s="1"/>
      <c r="B316" s="120"/>
      <c r="C316" s="4" t="s">
        <v>551</v>
      </c>
      <c r="D316" s="1" t="s">
        <v>65</v>
      </c>
      <c r="E316" s="1">
        <v>0.5</v>
      </c>
      <c r="F316" s="13">
        <f>F311*E316</f>
        <v>32</v>
      </c>
      <c r="G316" s="13">
        <v>3</v>
      </c>
      <c r="H316" s="13">
        <f>F316*G316</f>
        <v>96</v>
      </c>
      <c r="I316" s="13"/>
      <c r="J316" s="13"/>
      <c r="K316" s="13"/>
      <c r="L316" s="13"/>
      <c r="M316" s="13">
        <f>H316+J316+L316</f>
        <v>96</v>
      </c>
    </row>
    <row r="317" spans="1:13" s="135" customFormat="1" ht="13.5">
      <c r="A317" s="1"/>
      <c r="B317" s="120"/>
      <c r="C317" s="4" t="s">
        <v>751</v>
      </c>
      <c r="D317" s="1" t="s">
        <v>115</v>
      </c>
      <c r="E317" s="1">
        <v>0.38</v>
      </c>
      <c r="F317" s="115">
        <f>F311*E317</f>
        <v>24.32</v>
      </c>
      <c r="G317" s="115">
        <v>1</v>
      </c>
      <c r="H317" s="115">
        <f>F317*G317</f>
        <v>24.32</v>
      </c>
      <c r="I317" s="115"/>
      <c r="J317" s="115"/>
      <c r="K317" s="115"/>
      <c r="L317" s="115"/>
      <c r="M317" s="115">
        <f>H317+J317+L317</f>
        <v>24.32</v>
      </c>
    </row>
    <row r="318" spans="1:13" s="135" customFormat="1" ht="13.5">
      <c r="A318" s="1"/>
      <c r="B318" s="120"/>
      <c r="C318" s="4" t="s">
        <v>752</v>
      </c>
      <c r="D318" s="1" t="s">
        <v>115</v>
      </c>
      <c r="E318" s="1">
        <v>1</v>
      </c>
      <c r="F318" s="115">
        <f>F311*E318</f>
        <v>64</v>
      </c>
      <c r="G318" s="115">
        <v>0.52</v>
      </c>
      <c r="H318" s="115">
        <f>F318*G318</f>
        <v>33.28</v>
      </c>
      <c r="I318" s="115"/>
      <c r="J318" s="115"/>
      <c r="K318" s="115"/>
      <c r="L318" s="115"/>
      <c r="M318" s="115">
        <f>H318+J318+L318</f>
        <v>33.28</v>
      </c>
    </row>
    <row r="319" spans="1:13" s="121" customFormat="1" ht="13.5">
      <c r="A319" s="37"/>
      <c r="B319" s="122"/>
      <c r="C319" s="36" t="s">
        <v>57</v>
      </c>
      <c r="D319" s="37" t="s">
        <v>43</v>
      </c>
      <c r="E319" s="37">
        <v>0.18</v>
      </c>
      <c r="F319" s="124">
        <f>F311*E319</f>
        <v>11.52</v>
      </c>
      <c r="G319" s="124">
        <v>3.2</v>
      </c>
      <c r="H319" s="124">
        <f>F319*G319</f>
        <v>36.864</v>
      </c>
      <c r="I319" s="124"/>
      <c r="J319" s="124"/>
      <c r="K319" s="124"/>
      <c r="L319" s="124"/>
      <c r="M319" s="124">
        <f>H319+J319+L319</f>
        <v>36.864</v>
      </c>
    </row>
    <row r="320" spans="1:13" s="332" customFormat="1" ht="27">
      <c r="A320" s="76">
        <v>58</v>
      </c>
      <c r="B320" s="141" t="s">
        <v>317</v>
      </c>
      <c r="C320" s="114" t="s">
        <v>756</v>
      </c>
      <c r="D320" s="76" t="s">
        <v>115</v>
      </c>
      <c r="E320" s="76"/>
      <c r="F320" s="168">
        <f>45*2</f>
        <v>90</v>
      </c>
      <c r="G320" s="130"/>
      <c r="H320" s="130"/>
      <c r="I320" s="130"/>
      <c r="J320" s="130"/>
      <c r="K320" s="130"/>
      <c r="L320" s="130"/>
      <c r="M320" s="130"/>
    </row>
    <row r="321" spans="1:13" s="332" customFormat="1" ht="13.5" customHeight="1">
      <c r="A321" s="62"/>
      <c r="B321" s="142"/>
      <c r="C321" s="79" t="s">
        <v>54</v>
      </c>
      <c r="D321" s="1" t="s">
        <v>366</v>
      </c>
      <c r="E321" s="62">
        <v>0.15</v>
      </c>
      <c r="F321" s="131">
        <f>F320*E321</f>
        <v>13.5</v>
      </c>
      <c r="G321" s="131"/>
      <c r="H321" s="131"/>
      <c r="I321" s="13">
        <v>7.8</v>
      </c>
      <c r="J321" s="131">
        <f>F321*I321</f>
        <v>105.3</v>
      </c>
      <c r="K321" s="131"/>
      <c r="L321" s="131"/>
      <c r="M321" s="131">
        <f>H321+J321+L321</f>
        <v>105.3</v>
      </c>
    </row>
    <row r="322" spans="1:13" s="332" customFormat="1" ht="13.5" customHeight="1">
      <c r="A322" s="62"/>
      <c r="B322" s="142"/>
      <c r="C322" s="79" t="s">
        <v>62</v>
      </c>
      <c r="D322" s="65" t="s">
        <v>43</v>
      </c>
      <c r="E322" s="62">
        <v>0.002</v>
      </c>
      <c r="F322" s="131">
        <f>F320*E322</f>
        <v>0.18</v>
      </c>
      <c r="G322" s="131"/>
      <c r="H322" s="131"/>
      <c r="I322" s="131"/>
      <c r="J322" s="131"/>
      <c r="K322" s="131">
        <v>3.2</v>
      </c>
      <c r="L322" s="131">
        <f>F322*K322</f>
        <v>0.576</v>
      </c>
      <c r="M322" s="131">
        <f>H322+J322+L322</f>
        <v>0.576</v>
      </c>
    </row>
    <row r="323" spans="1:13" s="332" customFormat="1" ht="13.5" customHeight="1">
      <c r="A323" s="62"/>
      <c r="B323" s="142"/>
      <c r="C323" s="79" t="s">
        <v>56</v>
      </c>
      <c r="D323" s="62"/>
      <c r="E323" s="62"/>
      <c r="F323" s="131"/>
      <c r="G323" s="131"/>
      <c r="H323" s="131"/>
      <c r="I323" s="131"/>
      <c r="J323" s="131"/>
      <c r="K323" s="131"/>
      <c r="L323" s="131"/>
      <c r="M323" s="131"/>
    </row>
    <row r="324" spans="1:13" s="332" customFormat="1" ht="13.5" customHeight="1">
      <c r="A324" s="62"/>
      <c r="B324" s="142"/>
      <c r="C324" s="79" t="s">
        <v>855</v>
      </c>
      <c r="D324" s="62" t="s">
        <v>115</v>
      </c>
      <c r="E324" s="62">
        <v>1.01</v>
      </c>
      <c r="F324" s="131">
        <f>F320*E324</f>
        <v>90.9</v>
      </c>
      <c r="G324" s="131">
        <v>5.7</v>
      </c>
      <c r="H324" s="131">
        <f>F324*G324</f>
        <v>518.13</v>
      </c>
      <c r="I324" s="131"/>
      <c r="J324" s="131"/>
      <c r="K324" s="131"/>
      <c r="L324" s="131"/>
      <c r="M324" s="131">
        <f>H324+J324+L324</f>
        <v>518.13</v>
      </c>
    </row>
    <row r="325" spans="1:13" s="332" customFormat="1" ht="13.5" customHeight="1">
      <c r="A325" s="62"/>
      <c r="B325" s="143"/>
      <c r="C325" s="79" t="s">
        <v>57</v>
      </c>
      <c r="D325" s="65" t="s">
        <v>43</v>
      </c>
      <c r="E325" s="62">
        <v>0.002</v>
      </c>
      <c r="F325" s="131">
        <f>F320*E325</f>
        <v>0.18</v>
      </c>
      <c r="G325" s="131">
        <v>3.2</v>
      </c>
      <c r="H325" s="131">
        <f>F325*G325</f>
        <v>0.576</v>
      </c>
      <c r="I325" s="131"/>
      <c r="J325" s="131"/>
      <c r="K325" s="131"/>
      <c r="L325" s="131"/>
      <c r="M325" s="131">
        <f>H325+J325+L325</f>
        <v>0.576</v>
      </c>
    </row>
    <row r="326" spans="1:13" s="332" customFormat="1" ht="27">
      <c r="A326" s="76">
        <v>59</v>
      </c>
      <c r="B326" s="141" t="s">
        <v>371</v>
      </c>
      <c r="C326" s="114" t="s">
        <v>747</v>
      </c>
      <c r="D326" s="76" t="s">
        <v>64</v>
      </c>
      <c r="E326" s="76"/>
      <c r="F326" s="164">
        <f>4.8*2</f>
        <v>9.6</v>
      </c>
      <c r="G326" s="204"/>
      <c r="H326" s="204"/>
      <c r="I326" s="204"/>
      <c r="J326" s="204"/>
      <c r="K326" s="204"/>
      <c r="L326" s="204"/>
      <c r="M326" s="204"/>
    </row>
    <row r="327" spans="1:13" s="332" customFormat="1" ht="13.5">
      <c r="A327" s="62"/>
      <c r="B327" s="142"/>
      <c r="C327" s="79" t="s">
        <v>552</v>
      </c>
      <c r="D327" s="1" t="s">
        <v>366</v>
      </c>
      <c r="E327" s="62">
        <f>0.188+0.0034*10</f>
        <v>0.222</v>
      </c>
      <c r="F327" s="89">
        <f>F326*E327</f>
        <v>2.1311999999999998</v>
      </c>
      <c r="G327" s="89"/>
      <c r="H327" s="89"/>
      <c r="I327" s="13">
        <v>7.8</v>
      </c>
      <c r="J327" s="89">
        <f>F327*I327</f>
        <v>16.623359999999998</v>
      </c>
      <c r="K327" s="89"/>
      <c r="L327" s="89"/>
      <c r="M327" s="89">
        <f>H327+J327+L327</f>
        <v>16.623359999999998</v>
      </c>
    </row>
    <row r="328" spans="1:13" s="269" customFormat="1" ht="27">
      <c r="A328" s="62"/>
      <c r="B328" s="142"/>
      <c r="C328" s="79" t="s">
        <v>674</v>
      </c>
      <c r="D328" s="65" t="s">
        <v>43</v>
      </c>
      <c r="E328" s="62">
        <f>0.0095+0.0023*10</f>
        <v>0.0325</v>
      </c>
      <c r="F328" s="89">
        <f>F326*E328</f>
        <v>0.312</v>
      </c>
      <c r="G328" s="89"/>
      <c r="H328" s="89"/>
      <c r="I328" s="89"/>
      <c r="J328" s="89"/>
      <c r="K328" s="89">
        <v>3.2</v>
      </c>
      <c r="L328" s="89">
        <f>F328*K328</f>
        <v>0.9984000000000001</v>
      </c>
      <c r="M328" s="89">
        <f>H328+J328+L328</f>
        <v>0.9984000000000001</v>
      </c>
    </row>
    <row r="329" spans="1:13" s="332" customFormat="1" ht="13.5">
      <c r="A329" s="62"/>
      <c r="B329" s="142"/>
      <c r="C329" s="79" t="s">
        <v>56</v>
      </c>
      <c r="D329" s="62"/>
      <c r="E329" s="62"/>
      <c r="F329" s="89"/>
      <c r="G329" s="89"/>
      <c r="H329" s="89"/>
      <c r="I329" s="89"/>
      <c r="J329" s="89"/>
      <c r="K329" s="89"/>
      <c r="L329" s="89"/>
      <c r="M329" s="89"/>
    </row>
    <row r="330" spans="1:13" s="332" customFormat="1" ht="13.5">
      <c r="A330" s="62"/>
      <c r="B330" s="142"/>
      <c r="C330" s="79" t="s">
        <v>553</v>
      </c>
      <c r="D330" s="62" t="s">
        <v>66</v>
      </c>
      <c r="E330" s="62">
        <f>0.0204+0.0051*10</f>
        <v>0.0714</v>
      </c>
      <c r="F330" s="89">
        <f>F326*E330</f>
        <v>0.68544</v>
      </c>
      <c r="G330" s="89">
        <v>91</v>
      </c>
      <c r="H330" s="89">
        <f>F330*G330</f>
        <v>62.375040000000006</v>
      </c>
      <c r="I330" s="89"/>
      <c r="J330" s="89"/>
      <c r="K330" s="89"/>
      <c r="L330" s="89"/>
      <c r="M330" s="89">
        <f>H330+J330+L330</f>
        <v>62.375040000000006</v>
      </c>
    </row>
    <row r="331" spans="1:13" s="332" customFormat="1" ht="13.5">
      <c r="A331" s="62"/>
      <c r="B331" s="143"/>
      <c r="C331" s="248" t="s">
        <v>3</v>
      </c>
      <c r="D331" s="69" t="s">
        <v>43</v>
      </c>
      <c r="E331" s="67">
        <v>0.0636</v>
      </c>
      <c r="F331" s="209">
        <f>F326*E331</f>
        <v>0.61056</v>
      </c>
      <c r="G331" s="209">
        <v>3.2</v>
      </c>
      <c r="H331" s="209">
        <f>F331*G331</f>
        <v>1.953792</v>
      </c>
      <c r="I331" s="209"/>
      <c r="J331" s="209"/>
      <c r="K331" s="209"/>
      <c r="L331" s="209"/>
      <c r="M331" s="209">
        <f>H331+J331+L331</f>
        <v>1.953792</v>
      </c>
    </row>
    <row r="332" spans="1:13" s="121" customFormat="1" ht="54">
      <c r="A332" s="28">
        <v>60</v>
      </c>
      <c r="B332" s="120" t="s">
        <v>358</v>
      </c>
      <c r="C332" s="17" t="s">
        <v>757</v>
      </c>
      <c r="D332" s="1" t="s">
        <v>64</v>
      </c>
      <c r="E332" s="1"/>
      <c r="F332" s="165">
        <f>8.4*2</f>
        <v>16.8</v>
      </c>
      <c r="G332" s="13"/>
      <c r="H332" s="13"/>
      <c r="I332" s="13"/>
      <c r="J332" s="13"/>
      <c r="K332" s="13"/>
      <c r="L332" s="13"/>
      <c r="M332" s="13"/>
    </row>
    <row r="333" spans="1:13" s="121" customFormat="1" ht="15" customHeight="1">
      <c r="A333" s="125"/>
      <c r="B333" s="120"/>
      <c r="C333" s="19" t="s">
        <v>54</v>
      </c>
      <c r="D333" s="1" t="s">
        <v>366</v>
      </c>
      <c r="E333" s="1">
        <v>5.75</v>
      </c>
      <c r="F333" s="13">
        <f>F332*E333</f>
        <v>96.60000000000001</v>
      </c>
      <c r="G333" s="13"/>
      <c r="H333" s="13"/>
      <c r="I333" s="13">
        <v>7.8</v>
      </c>
      <c r="J333" s="13">
        <f>F333*I333</f>
        <v>753.48</v>
      </c>
      <c r="K333" s="13"/>
      <c r="L333" s="13"/>
      <c r="M333" s="13">
        <f>H333+J333+L333</f>
        <v>753.48</v>
      </c>
    </row>
    <row r="334" spans="1:13" s="121" customFormat="1" ht="13.5">
      <c r="A334" s="125"/>
      <c r="B334" s="120"/>
      <c r="C334" s="19" t="s">
        <v>62</v>
      </c>
      <c r="D334" s="1" t="s">
        <v>43</v>
      </c>
      <c r="E334" s="1">
        <v>0.034</v>
      </c>
      <c r="F334" s="13">
        <f>F332*E334</f>
        <v>0.5712</v>
      </c>
      <c r="G334" s="13"/>
      <c r="H334" s="13"/>
      <c r="I334" s="13"/>
      <c r="J334" s="13"/>
      <c r="K334" s="13">
        <v>3.2</v>
      </c>
      <c r="L334" s="13">
        <f>F334*K334</f>
        <v>1.8278400000000001</v>
      </c>
      <c r="M334" s="13">
        <f>H334+J334+L334</f>
        <v>1.8278400000000001</v>
      </c>
    </row>
    <row r="335" spans="1:13" s="121" customFormat="1" ht="13.5">
      <c r="A335" s="125"/>
      <c r="B335" s="120"/>
      <c r="C335" s="19" t="s">
        <v>56</v>
      </c>
      <c r="D335" s="1"/>
      <c r="E335" s="1"/>
      <c r="F335" s="13">
        <f>E335*2353</f>
        <v>0</v>
      </c>
      <c r="G335" s="13"/>
      <c r="H335" s="13"/>
      <c r="I335" s="13"/>
      <c r="J335" s="13"/>
      <c r="K335" s="13"/>
      <c r="L335" s="13"/>
      <c r="M335" s="13"/>
    </row>
    <row r="336" spans="1:13" s="121" customFormat="1" ht="13.5">
      <c r="A336" s="125"/>
      <c r="B336" s="120"/>
      <c r="C336" s="4" t="s">
        <v>554</v>
      </c>
      <c r="D336" s="1" t="s">
        <v>64</v>
      </c>
      <c r="E336" s="1">
        <v>0.2</v>
      </c>
      <c r="F336" s="13">
        <f>F332*E336</f>
        <v>3.3600000000000003</v>
      </c>
      <c r="G336" s="13">
        <v>50</v>
      </c>
      <c r="H336" s="13">
        <f>F336*G336</f>
        <v>168.00000000000003</v>
      </c>
      <c r="I336" s="13"/>
      <c r="J336" s="13"/>
      <c r="K336" s="13"/>
      <c r="L336" s="13"/>
      <c r="M336" s="13">
        <f>H336+J336+L336</f>
        <v>168.00000000000003</v>
      </c>
    </row>
    <row r="337" spans="1:13" s="121" customFormat="1" ht="13.5">
      <c r="A337" s="125"/>
      <c r="B337" s="120"/>
      <c r="C337" s="4" t="s">
        <v>554</v>
      </c>
      <c r="D337" s="1" t="s">
        <v>64</v>
      </c>
      <c r="E337" s="1">
        <v>0.81</v>
      </c>
      <c r="F337" s="13">
        <f>F332*E337</f>
        <v>13.608000000000002</v>
      </c>
      <c r="G337" s="13">
        <v>50</v>
      </c>
      <c r="H337" s="13">
        <f>F337*G337</f>
        <v>680.4000000000001</v>
      </c>
      <c r="I337" s="13"/>
      <c r="J337" s="13"/>
      <c r="K337" s="13"/>
      <c r="L337" s="13"/>
      <c r="M337" s="13">
        <f>H337+J337+L337</f>
        <v>680.4000000000001</v>
      </c>
    </row>
    <row r="338" spans="1:13" s="121" customFormat="1" ht="13.5">
      <c r="A338" s="125"/>
      <c r="B338" s="120"/>
      <c r="C338" s="19" t="s">
        <v>673</v>
      </c>
      <c r="D338" s="1" t="s">
        <v>65</v>
      </c>
      <c r="E338" s="1">
        <v>5</v>
      </c>
      <c r="F338" s="13">
        <f>F332*E338</f>
        <v>84</v>
      </c>
      <c r="G338" s="13">
        <v>1.17</v>
      </c>
      <c r="H338" s="13">
        <f>F338*G338</f>
        <v>98.28</v>
      </c>
      <c r="I338" s="13"/>
      <c r="J338" s="13"/>
      <c r="K338" s="13"/>
      <c r="L338" s="13"/>
      <c r="M338" s="13">
        <f>H338+J338+L338</f>
        <v>98.28</v>
      </c>
    </row>
    <row r="339" spans="1:13" s="121" customFormat="1" ht="13.5">
      <c r="A339" s="125"/>
      <c r="B339" s="120"/>
      <c r="C339" s="19" t="s">
        <v>57</v>
      </c>
      <c r="D339" s="1" t="s">
        <v>43</v>
      </c>
      <c r="E339" s="1">
        <v>0.24</v>
      </c>
      <c r="F339" s="13">
        <f>F332*E339</f>
        <v>4.032</v>
      </c>
      <c r="G339" s="13">
        <v>3.2</v>
      </c>
      <c r="H339" s="13">
        <f>F339*G339</f>
        <v>12.9024</v>
      </c>
      <c r="I339" s="13"/>
      <c r="J339" s="13"/>
      <c r="K339" s="13"/>
      <c r="L339" s="13"/>
      <c r="M339" s="13">
        <f>H339+J339+L339</f>
        <v>12.9024</v>
      </c>
    </row>
    <row r="340" spans="1:13" s="335" customFormat="1" ht="13.5">
      <c r="A340" s="76">
        <v>61</v>
      </c>
      <c r="B340" s="136" t="s">
        <v>155</v>
      </c>
      <c r="C340" s="92" t="s">
        <v>675</v>
      </c>
      <c r="D340" s="76" t="s">
        <v>115</v>
      </c>
      <c r="E340" s="77"/>
      <c r="F340" s="164">
        <f>16.2*2</f>
        <v>32.4</v>
      </c>
      <c r="G340" s="236"/>
      <c r="H340" s="236"/>
      <c r="I340" s="236"/>
      <c r="J340" s="236"/>
      <c r="K340" s="236"/>
      <c r="L340" s="236"/>
      <c r="M340" s="236"/>
    </row>
    <row r="341" spans="1:13" s="335" customFormat="1" ht="13.5">
      <c r="A341" s="134"/>
      <c r="B341" s="137"/>
      <c r="C341" s="78" t="s">
        <v>54</v>
      </c>
      <c r="D341" s="65" t="s">
        <v>55</v>
      </c>
      <c r="E341" s="65">
        <v>0.379</v>
      </c>
      <c r="F341" s="89">
        <f>F340*E341</f>
        <v>12.2796</v>
      </c>
      <c r="G341" s="13"/>
      <c r="H341" s="13"/>
      <c r="I341" s="13">
        <v>6</v>
      </c>
      <c r="J341" s="13">
        <f>F341*I341</f>
        <v>73.6776</v>
      </c>
      <c r="K341" s="13"/>
      <c r="L341" s="13"/>
      <c r="M341" s="13">
        <f>H341+J341+L341</f>
        <v>73.6776</v>
      </c>
    </row>
    <row r="342" spans="1:13" s="335" customFormat="1" ht="13.5">
      <c r="A342" s="134"/>
      <c r="B342" s="137"/>
      <c r="C342" s="78" t="s">
        <v>62</v>
      </c>
      <c r="D342" s="65" t="s">
        <v>43</v>
      </c>
      <c r="E342" s="65">
        <v>0.028</v>
      </c>
      <c r="F342" s="89">
        <f>F340*E342</f>
        <v>0.9072</v>
      </c>
      <c r="G342" s="13"/>
      <c r="H342" s="13"/>
      <c r="I342" s="13"/>
      <c r="J342" s="13"/>
      <c r="K342" s="13">
        <v>3.2</v>
      </c>
      <c r="L342" s="13">
        <f>F342*K342</f>
        <v>2.9030400000000003</v>
      </c>
      <c r="M342" s="13">
        <f>H342+J342+L342</f>
        <v>2.9030400000000003</v>
      </c>
    </row>
    <row r="343" spans="1:13" s="335" customFormat="1" ht="13.5">
      <c r="A343" s="134"/>
      <c r="B343" s="137"/>
      <c r="C343" s="79" t="s">
        <v>56</v>
      </c>
      <c r="D343" s="65"/>
      <c r="E343" s="65"/>
      <c r="F343" s="89"/>
      <c r="G343" s="13"/>
      <c r="H343" s="13"/>
      <c r="I343" s="13"/>
      <c r="J343" s="13"/>
      <c r="K343" s="13"/>
      <c r="L343" s="13"/>
      <c r="M343" s="13"/>
    </row>
    <row r="344" spans="1:13" s="335" customFormat="1" ht="13.5">
      <c r="A344" s="134"/>
      <c r="B344" s="137"/>
      <c r="C344" s="78" t="s">
        <v>677</v>
      </c>
      <c r="D344" s="62" t="s">
        <v>115</v>
      </c>
      <c r="E344" s="65">
        <v>1</v>
      </c>
      <c r="F344" s="89">
        <f>F340*E344</f>
        <v>32.4</v>
      </c>
      <c r="G344" s="13">
        <v>96</v>
      </c>
      <c r="H344" s="13">
        <f>F344*G344</f>
        <v>3110.3999999999996</v>
      </c>
      <c r="I344" s="13"/>
      <c r="J344" s="13"/>
      <c r="K344" s="13"/>
      <c r="L344" s="13"/>
      <c r="M344" s="13">
        <f>H344+J344+L344</f>
        <v>3110.3999999999996</v>
      </c>
    </row>
    <row r="345" spans="1:13" s="335" customFormat="1" ht="13.5">
      <c r="A345" s="134"/>
      <c r="B345" s="138"/>
      <c r="C345" s="78" t="s">
        <v>10</v>
      </c>
      <c r="D345" s="69" t="s">
        <v>75</v>
      </c>
      <c r="E345" s="65">
        <v>0.0015</v>
      </c>
      <c r="F345" s="89">
        <f>F340*E345</f>
        <v>0.0486</v>
      </c>
      <c r="G345" s="13">
        <v>157</v>
      </c>
      <c r="H345" s="13">
        <f>F345*G345</f>
        <v>7.630199999999999</v>
      </c>
      <c r="I345" s="13"/>
      <c r="J345" s="13"/>
      <c r="K345" s="13"/>
      <c r="L345" s="13"/>
      <c r="M345" s="13">
        <f>H345+J345+L345</f>
        <v>7.630199999999999</v>
      </c>
    </row>
    <row r="346" spans="1:13" s="335" customFormat="1" ht="27">
      <c r="A346" s="76">
        <v>62</v>
      </c>
      <c r="B346" s="136" t="s">
        <v>155</v>
      </c>
      <c r="C346" s="92" t="s">
        <v>676</v>
      </c>
      <c r="D346" s="76" t="s">
        <v>115</v>
      </c>
      <c r="E346" s="77"/>
      <c r="F346" s="164">
        <f>16.2*2</f>
        <v>32.4</v>
      </c>
      <c r="G346" s="236"/>
      <c r="H346" s="236"/>
      <c r="I346" s="236"/>
      <c r="J346" s="236"/>
      <c r="K346" s="236"/>
      <c r="L346" s="236"/>
      <c r="M346" s="236"/>
    </row>
    <row r="347" spans="1:13" s="335" customFormat="1" ht="13.5">
      <c r="A347" s="134"/>
      <c r="B347" s="137"/>
      <c r="C347" s="78" t="s">
        <v>54</v>
      </c>
      <c r="D347" s="65" t="s">
        <v>55</v>
      </c>
      <c r="E347" s="65">
        <v>0.379</v>
      </c>
      <c r="F347" s="89">
        <f>F346*E347</f>
        <v>12.2796</v>
      </c>
      <c r="G347" s="13"/>
      <c r="H347" s="13"/>
      <c r="I347" s="13">
        <v>6</v>
      </c>
      <c r="J347" s="13">
        <f>F347*I347</f>
        <v>73.6776</v>
      </c>
      <c r="K347" s="13"/>
      <c r="L347" s="13"/>
      <c r="M347" s="13">
        <f>H347+J347+L347</f>
        <v>73.6776</v>
      </c>
    </row>
    <row r="348" spans="1:13" s="335" customFormat="1" ht="13.5">
      <c r="A348" s="134"/>
      <c r="B348" s="137"/>
      <c r="C348" s="78" t="s">
        <v>62</v>
      </c>
      <c r="D348" s="65" t="s">
        <v>43</v>
      </c>
      <c r="E348" s="65">
        <v>0.028</v>
      </c>
      <c r="F348" s="89">
        <f>F346*E348</f>
        <v>0.9072</v>
      </c>
      <c r="G348" s="13"/>
      <c r="H348" s="13"/>
      <c r="I348" s="13"/>
      <c r="J348" s="13"/>
      <c r="K348" s="13">
        <v>3.2</v>
      </c>
      <c r="L348" s="13">
        <f>F348*K348</f>
        <v>2.9030400000000003</v>
      </c>
      <c r="M348" s="13">
        <f>H348+J348+L348</f>
        <v>2.9030400000000003</v>
      </c>
    </row>
    <row r="349" spans="1:13" s="335" customFormat="1" ht="13.5">
      <c r="A349" s="134"/>
      <c r="B349" s="137"/>
      <c r="C349" s="79" t="s">
        <v>56</v>
      </c>
      <c r="D349" s="65"/>
      <c r="E349" s="65"/>
      <c r="F349" s="89"/>
      <c r="G349" s="13"/>
      <c r="H349" s="13"/>
      <c r="I349" s="13"/>
      <c r="J349" s="13"/>
      <c r="K349" s="13"/>
      <c r="L349" s="13"/>
      <c r="M349" s="13"/>
    </row>
    <row r="350" spans="1:13" s="335" customFormat="1" ht="13.5">
      <c r="A350" s="134"/>
      <c r="B350" s="137"/>
      <c r="C350" s="78" t="s">
        <v>677</v>
      </c>
      <c r="D350" s="62" t="s">
        <v>115</v>
      </c>
      <c r="E350" s="65">
        <v>1</v>
      </c>
      <c r="F350" s="89">
        <f>F346*E350</f>
        <v>32.4</v>
      </c>
      <c r="G350" s="13">
        <v>45</v>
      </c>
      <c r="H350" s="13">
        <f>F350*G350</f>
        <v>1458</v>
      </c>
      <c r="I350" s="13"/>
      <c r="J350" s="13"/>
      <c r="K350" s="13"/>
      <c r="L350" s="13"/>
      <c r="M350" s="13">
        <f>H350+J350+L350</f>
        <v>1458</v>
      </c>
    </row>
    <row r="351" spans="1:13" s="335" customFormat="1" ht="13.5">
      <c r="A351" s="134"/>
      <c r="B351" s="138"/>
      <c r="C351" s="78" t="s">
        <v>10</v>
      </c>
      <c r="D351" s="69" t="s">
        <v>75</v>
      </c>
      <c r="E351" s="65">
        <v>0.0015</v>
      </c>
      <c r="F351" s="89">
        <f>F346*E351</f>
        <v>0.0486</v>
      </c>
      <c r="G351" s="13">
        <v>157</v>
      </c>
      <c r="H351" s="13">
        <f>F351*G351</f>
        <v>7.630199999999999</v>
      </c>
      <c r="I351" s="13"/>
      <c r="J351" s="13"/>
      <c r="K351" s="13"/>
      <c r="L351" s="13"/>
      <c r="M351" s="13">
        <f>H351+J351+L351</f>
        <v>7.630199999999999</v>
      </c>
    </row>
    <row r="352" spans="1:13" ht="13.5">
      <c r="A352" s="52"/>
      <c r="B352" s="325"/>
      <c r="C352" s="277" t="s">
        <v>22</v>
      </c>
      <c r="D352" s="52"/>
      <c r="E352" s="52"/>
      <c r="F352" s="161"/>
      <c r="G352" s="161"/>
      <c r="H352" s="161">
        <f>SUM(H288:H351)</f>
        <v>16910.581752</v>
      </c>
      <c r="I352" s="161"/>
      <c r="J352" s="161">
        <f>SUM(J288:J351)</f>
        <v>2682.77988</v>
      </c>
      <c r="K352" s="161"/>
      <c r="L352" s="161">
        <f>SUM(L288:L351)</f>
        <v>73.08128</v>
      </c>
      <c r="M352" s="161">
        <f>SUM(M288:M351)</f>
        <v>19666.442912</v>
      </c>
    </row>
    <row r="353" spans="1:13" ht="16.5">
      <c r="A353" s="47"/>
      <c r="B353" s="126"/>
      <c r="C353" s="333" t="s">
        <v>165</v>
      </c>
      <c r="D353" s="47"/>
      <c r="E353" s="47"/>
      <c r="F353" s="108"/>
      <c r="G353" s="108"/>
      <c r="H353" s="108"/>
      <c r="I353" s="108"/>
      <c r="J353" s="108"/>
      <c r="K353" s="108"/>
      <c r="L353" s="108"/>
      <c r="M353" s="108"/>
    </row>
    <row r="354" spans="1:13" s="268" customFormat="1" ht="27">
      <c r="A354" s="28">
        <v>63</v>
      </c>
      <c r="B354" s="149" t="s">
        <v>154</v>
      </c>
      <c r="C354" s="43" t="s">
        <v>715</v>
      </c>
      <c r="D354" s="28" t="s">
        <v>64</v>
      </c>
      <c r="E354" s="28"/>
      <c r="F354" s="164">
        <v>158.65</v>
      </c>
      <c r="G354" s="30"/>
      <c r="H354" s="30"/>
      <c r="I354" s="30"/>
      <c r="J354" s="30"/>
      <c r="K354" s="30"/>
      <c r="L354" s="30"/>
      <c r="M354" s="30"/>
    </row>
    <row r="355" spans="1:13" s="268" customFormat="1" ht="16.5" customHeight="1">
      <c r="A355" s="1"/>
      <c r="B355" s="120"/>
      <c r="C355" s="4" t="s">
        <v>54</v>
      </c>
      <c r="D355" s="1" t="s">
        <v>366</v>
      </c>
      <c r="E355" s="1">
        <v>2.72</v>
      </c>
      <c r="F355" s="13">
        <f>F354*E355</f>
        <v>431.528</v>
      </c>
      <c r="G355" s="13"/>
      <c r="H355" s="13"/>
      <c r="I355" s="13">
        <v>7.8</v>
      </c>
      <c r="J355" s="13">
        <f>F355*I355</f>
        <v>3365.9184</v>
      </c>
      <c r="K355" s="13"/>
      <c r="L355" s="13"/>
      <c r="M355" s="13">
        <f>H355+J355+L355</f>
        <v>3365.9184</v>
      </c>
    </row>
    <row r="356" spans="1:13" s="269" customFormat="1" ht="27">
      <c r="A356" s="254"/>
      <c r="B356" s="142"/>
      <c r="C356" s="150" t="s">
        <v>692</v>
      </c>
      <c r="D356" s="297" t="s">
        <v>365</v>
      </c>
      <c r="E356" s="64">
        <v>0.024</v>
      </c>
      <c r="F356" s="89">
        <f>F354*E356</f>
        <v>3.8076000000000003</v>
      </c>
      <c r="G356" s="89"/>
      <c r="H356" s="89"/>
      <c r="I356" s="89"/>
      <c r="J356" s="89"/>
      <c r="K356" s="89">
        <v>15.06</v>
      </c>
      <c r="L356" s="89">
        <f>F356*K356</f>
        <v>57.342456000000006</v>
      </c>
      <c r="M356" s="89">
        <f>H356+J356+L356</f>
        <v>57.342456000000006</v>
      </c>
    </row>
    <row r="357" spans="1:13" s="269" customFormat="1" ht="27">
      <c r="A357" s="293"/>
      <c r="B357" s="294"/>
      <c r="C357" s="295" t="s">
        <v>693</v>
      </c>
      <c r="D357" s="296" t="s">
        <v>365</v>
      </c>
      <c r="E357" s="64">
        <v>0.628</v>
      </c>
      <c r="F357" s="89">
        <f>F354*E357</f>
        <v>99.6322</v>
      </c>
      <c r="G357" s="89"/>
      <c r="H357" s="89"/>
      <c r="I357" s="89"/>
      <c r="J357" s="89"/>
      <c r="K357" s="89">
        <v>7.32</v>
      </c>
      <c r="L357" s="89">
        <f>F357*K357</f>
        <v>729.3077040000001</v>
      </c>
      <c r="M357" s="89">
        <f>H357+J357+L357</f>
        <v>729.3077040000001</v>
      </c>
    </row>
    <row r="358" spans="1:13" s="268" customFormat="1" ht="13.5">
      <c r="A358" s="1"/>
      <c r="B358" s="120"/>
      <c r="C358" s="4" t="s">
        <v>56</v>
      </c>
      <c r="D358" s="1"/>
      <c r="E358" s="1"/>
      <c r="F358" s="13">
        <f>F354*E358</f>
        <v>0</v>
      </c>
      <c r="G358" s="13"/>
      <c r="H358" s="13"/>
      <c r="I358" s="13"/>
      <c r="J358" s="13"/>
      <c r="K358" s="13"/>
      <c r="L358" s="13"/>
      <c r="M358" s="13"/>
    </row>
    <row r="359" spans="1:13" s="268" customFormat="1" ht="15.75" customHeight="1">
      <c r="A359" s="1"/>
      <c r="B359" s="120"/>
      <c r="C359" s="4" t="s">
        <v>686</v>
      </c>
      <c r="D359" s="1" t="s">
        <v>64</v>
      </c>
      <c r="E359" s="1">
        <v>1</v>
      </c>
      <c r="F359" s="13">
        <f>F354*E359</f>
        <v>158.65</v>
      </c>
      <c r="G359" s="13">
        <v>400</v>
      </c>
      <c r="H359" s="13">
        <f>F359*G359</f>
        <v>63460</v>
      </c>
      <c r="I359" s="13"/>
      <c r="J359" s="13"/>
      <c r="K359" s="13"/>
      <c r="L359" s="13"/>
      <c r="M359" s="13">
        <f>H359+J359+L359</f>
        <v>63460</v>
      </c>
    </row>
    <row r="360" spans="1:13" s="268" customFormat="1" ht="40.5">
      <c r="A360" s="28">
        <v>64</v>
      </c>
      <c r="B360" s="149" t="s">
        <v>154</v>
      </c>
      <c r="C360" s="43" t="s">
        <v>714</v>
      </c>
      <c r="D360" s="28" t="s">
        <v>64</v>
      </c>
      <c r="E360" s="28"/>
      <c r="F360" s="164">
        <v>118.76</v>
      </c>
      <c r="G360" s="30"/>
      <c r="H360" s="30"/>
      <c r="I360" s="30"/>
      <c r="J360" s="30"/>
      <c r="K360" s="30"/>
      <c r="L360" s="30"/>
      <c r="M360" s="30"/>
    </row>
    <row r="361" spans="1:13" s="268" customFormat="1" ht="15" customHeight="1">
      <c r="A361" s="1"/>
      <c r="B361" s="120"/>
      <c r="C361" s="4" t="s">
        <v>54</v>
      </c>
      <c r="D361" s="1" t="s">
        <v>366</v>
      </c>
      <c r="E361" s="1">
        <v>2.72</v>
      </c>
      <c r="F361" s="13">
        <f>F360*E361</f>
        <v>323.02720000000005</v>
      </c>
      <c r="G361" s="13"/>
      <c r="H361" s="13"/>
      <c r="I361" s="13">
        <v>6</v>
      </c>
      <c r="J361" s="13">
        <f>F361*I361</f>
        <v>1938.1632000000004</v>
      </c>
      <c r="K361" s="13"/>
      <c r="L361" s="13"/>
      <c r="M361" s="13">
        <f>H361+J361+L361</f>
        <v>1938.1632000000004</v>
      </c>
    </row>
    <row r="362" spans="1:13" s="269" customFormat="1" ht="20.25" customHeight="1">
      <c r="A362" s="254"/>
      <c r="B362" s="142"/>
      <c r="C362" s="150" t="s">
        <v>692</v>
      </c>
      <c r="D362" s="297" t="s">
        <v>365</v>
      </c>
      <c r="E362" s="64">
        <v>0.024</v>
      </c>
      <c r="F362" s="31">
        <f>F360*E362</f>
        <v>2.8502400000000003</v>
      </c>
      <c r="G362" s="31"/>
      <c r="H362" s="31"/>
      <c r="I362" s="31"/>
      <c r="J362" s="31"/>
      <c r="K362" s="89">
        <v>15.06</v>
      </c>
      <c r="L362" s="31">
        <f>F362*K362</f>
        <v>42.9246144</v>
      </c>
      <c r="M362" s="31">
        <f>H362+J362+L362</f>
        <v>42.9246144</v>
      </c>
    </row>
    <row r="363" spans="1:13" s="269" customFormat="1" ht="20.25" customHeight="1">
      <c r="A363" s="254"/>
      <c r="B363" s="142"/>
      <c r="C363" s="150" t="s">
        <v>693</v>
      </c>
      <c r="D363" s="297" t="s">
        <v>365</v>
      </c>
      <c r="E363" s="64">
        <v>0.628</v>
      </c>
      <c r="F363" s="89">
        <f>F360*E363</f>
        <v>74.58128</v>
      </c>
      <c r="G363" s="89"/>
      <c r="H363" s="89"/>
      <c r="I363" s="89"/>
      <c r="J363" s="89"/>
      <c r="K363" s="89">
        <v>7.32</v>
      </c>
      <c r="L363" s="89">
        <f>F363*K363</f>
        <v>545.9349696</v>
      </c>
      <c r="M363" s="89">
        <f>H363+J363+L363</f>
        <v>545.9349696</v>
      </c>
    </row>
    <row r="364" spans="1:13" s="268" customFormat="1" ht="13.5">
      <c r="A364" s="1"/>
      <c r="B364" s="120"/>
      <c r="C364" s="4" t="s">
        <v>56</v>
      </c>
      <c r="D364" s="1"/>
      <c r="E364" s="1"/>
      <c r="F364" s="13">
        <f>F360*E364</f>
        <v>0</v>
      </c>
      <c r="G364" s="13"/>
      <c r="H364" s="13"/>
      <c r="I364" s="13"/>
      <c r="J364" s="13"/>
      <c r="K364" s="13"/>
      <c r="L364" s="13"/>
      <c r="M364" s="13"/>
    </row>
    <row r="365" spans="1:13" s="268" customFormat="1" ht="16.5" customHeight="1">
      <c r="A365" s="1"/>
      <c r="B365" s="120"/>
      <c r="C365" s="4" t="s">
        <v>193</v>
      </c>
      <c r="D365" s="1" t="s">
        <v>64</v>
      </c>
      <c r="E365" s="1">
        <v>1</v>
      </c>
      <c r="F365" s="13">
        <f>F360*E365</f>
        <v>118.76</v>
      </c>
      <c r="G365" s="13">
        <v>400</v>
      </c>
      <c r="H365" s="13">
        <f>F365*G365</f>
        <v>47504</v>
      </c>
      <c r="I365" s="13"/>
      <c r="J365" s="13"/>
      <c r="K365" s="13"/>
      <c r="L365" s="13"/>
      <c r="M365" s="13">
        <f>H365+J365+L365</f>
        <v>47504</v>
      </c>
    </row>
    <row r="366" spans="1:13" s="269" customFormat="1" ht="40.5">
      <c r="A366" s="76">
        <v>65</v>
      </c>
      <c r="B366" s="289" t="s">
        <v>688</v>
      </c>
      <c r="C366" s="114" t="s">
        <v>762</v>
      </c>
      <c r="D366" s="76" t="s">
        <v>64</v>
      </c>
      <c r="E366" s="76"/>
      <c r="F366" s="168">
        <f>23.4*0.2</f>
        <v>4.68</v>
      </c>
      <c r="G366" s="130"/>
      <c r="H366" s="130"/>
      <c r="I366" s="130"/>
      <c r="J366" s="130"/>
      <c r="K366" s="130"/>
      <c r="L366" s="130"/>
      <c r="M366" s="130"/>
    </row>
    <row r="367" spans="1:13" s="269" customFormat="1" ht="13.5">
      <c r="A367" s="62"/>
      <c r="B367" s="290"/>
      <c r="C367" s="79" t="s">
        <v>310</v>
      </c>
      <c r="D367" s="62" t="s">
        <v>55</v>
      </c>
      <c r="E367" s="62">
        <v>3.222</v>
      </c>
      <c r="F367" s="131">
        <f>F366*E367</f>
        <v>15.078959999999999</v>
      </c>
      <c r="G367" s="131"/>
      <c r="H367" s="131"/>
      <c r="I367" s="131">
        <v>4.6</v>
      </c>
      <c r="J367" s="131">
        <f>F367*I367</f>
        <v>69.363216</v>
      </c>
      <c r="K367" s="131"/>
      <c r="L367" s="131"/>
      <c r="M367" s="131">
        <f>H367+J367+L367</f>
        <v>69.363216</v>
      </c>
    </row>
    <row r="368" spans="1:13" s="269" customFormat="1" ht="13.5">
      <c r="A368" s="62"/>
      <c r="B368" s="290"/>
      <c r="C368" s="63" t="s">
        <v>311</v>
      </c>
      <c r="D368" s="65" t="s">
        <v>43</v>
      </c>
      <c r="E368" s="62">
        <v>0.028</v>
      </c>
      <c r="F368" s="131">
        <f>F366*E368</f>
        <v>0.13104</v>
      </c>
      <c r="G368" s="131"/>
      <c r="H368" s="131"/>
      <c r="I368" s="131"/>
      <c r="J368" s="131"/>
      <c r="K368" s="131">
        <v>3.2</v>
      </c>
      <c r="L368" s="131">
        <f>F368*K368</f>
        <v>0.419328</v>
      </c>
      <c r="M368" s="131">
        <f>H368+J368+L368</f>
        <v>0.419328</v>
      </c>
    </row>
    <row r="369" spans="1:13" s="269" customFormat="1" ht="13.5">
      <c r="A369" s="62"/>
      <c r="B369" s="290"/>
      <c r="C369" s="79" t="s">
        <v>56</v>
      </c>
      <c r="D369" s="62"/>
      <c r="E369" s="62"/>
      <c r="F369" s="131"/>
      <c r="G369" s="131"/>
      <c r="H369" s="131"/>
      <c r="I369" s="131"/>
      <c r="J369" s="131"/>
      <c r="K369" s="131"/>
      <c r="L369" s="131"/>
      <c r="M369" s="131"/>
    </row>
    <row r="370" spans="1:13" s="269" customFormat="1" ht="13.5">
      <c r="A370" s="62"/>
      <c r="B370" s="290"/>
      <c r="C370" s="79" t="s">
        <v>761</v>
      </c>
      <c r="D370" s="62" t="s">
        <v>115</v>
      </c>
      <c r="E370" s="62">
        <v>4.17</v>
      </c>
      <c r="F370" s="131">
        <f>F366*E370</f>
        <v>19.5156</v>
      </c>
      <c r="G370" s="131">
        <v>13</v>
      </c>
      <c r="H370" s="131">
        <f>F370*G370</f>
        <v>253.7028</v>
      </c>
      <c r="I370" s="131"/>
      <c r="J370" s="131"/>
      <c r="K370" s="131"/>
      <c r="L370" s="131"/>
      <c r="M370" s="131">
        <f>H370+J370+L370</f>
        <v>253.7028</v>
      </c>
    </row>
    <row r="371" spans="1:13" s="269" customFormat="1" ht="13.5">
      <c r="A371" s="62"/>
      <c r="B371" s="290"/>
      <c r="C371" s="79" t="s">
        <v>312</v>
      </c>
      <c r="D371" s="62" t="s">
        <v>75</v>
      </c>
      <c r="E371" s="62">
        <v>0.017</v>
      </c>
      <c r="F371" s="131">
        <f>F366*E371</f>
        <v>0.07956</v>
      </c>
      <c r="G371" s="131">
        <v>320</v>
      </c>
      <c r="H371" s="131">
        <f>F371*G371</f>
        <v>25.459200000000003</v>
      </c>
      <c r="I371" s="131"/>
      <c r="J371" s="131"/>
      <c r="K371" s="131"/>
      <c r="L371" s="131"/>
      <c r="M371" s="131">
        <f>H371+J371+L371</f>
        <v>25.459200000000003</v>
      </c>
    </row>
    <row r="372" spans="1:13" s="331" customFormat="1" ht="13.5">
      <c r="A372" s="65"/>
      <c r="B372" s="290"/>
      <c r="C372" s="111" t="s">
        <v>322</v>
      </c>
      <c r="D372" s="65" t="s">
        <v>65</v>
      </c>
      <c r="E372" s="65">
        <v>0.25</v>
      </c>
      <c r="F372" s="131">
        <f>F366*E372</f>
        <v>1.17</v>
      </c>
      <c r="G372" s="131">
        <v>5.2</v>
      </c>
      <c r="H372" s="131">
        <f>F372*G372</f>
        <v>6.084</v>
      </c>
      <c r="I372" s="131"/>
      <c r="J372" s="131"/>
      <c r="K372" s="131"/>
      <c r="L372" s="131"/>
      <c r="M372" s="131">
        <f>H372+J372+L372</f>
        <v>6.084</v>
      </c>
    </row>
    <row r="373" spans="1:13" s="269" customFormat="1" ht="13.5">
      <c r="A373" s="62"/>
      <c r="B373" s="291"/>
      <c r="C373" s="79" t="s">
        <v>313</v>
      </c>
      <c r="D373" s="65" t="s">
        <v>43</v>
      </c>
      <c r="E373" s="62">
        <v>0.0413</v>
      </c>
      <c r="F373" s="131">
        <f>F366*E373</f>
        <v>0.193284</v>
      </c>
      <c r="G373" s="131">
        <v>3.2</v>
      </c>
      <c r="H373" s="131">
        <f>F373*G373</f>
        <v>0.6185088000000001</v>
      </c>
      <c r="I373" s="131"/>
      <c r="J373" s="131"/>
      <c r="K373" s="131"/>
      <c r="L373" s="131"/>
      <c r="M373" s="131">
        <f>H373+J373+L373</f>
        <v>0.6185088000000001</v>
      </c>
    </row>
    <row r="374" spans="1:13" s="135" customFormat="1" ht="14.25" customHeight="1">
      <c r="A374" s="28">
        <v>66</v>
      </c>
      <c r="B374" s="149" t="s">
        <v>178</v>
      </c>
      <c r="C374" s="43" t="s">
        <v>220</v>
      </c>
      <c r="D374" s="28" t="s">
        <v>64</v>
      </c>
      <c r="E374" s="28"/>
      <c r="F374" s="164">
        <v>109.13</v>
      </c>
      <c r="G374" s="30"/>
      <c r="H374" s="30"/>
      <c r="I374" s="30"/>
      <c r="J374" s="30"/>
      <c r="K374" s="30"/>
      <c r="L374" s="30"/>
      <c r="M374" s="30"/>
    </row>
    <row r="375" spans="1:13" s="135" customFormat="1" ht="15.75" customHeight="1">
      <c r="A375" s="1"/>
      <c r="B375" s="336"/>
      <c r="C375" s="4" t="s">
        <v>54</v>
      </c>
      <c r="D375" s="1" t="s">
        <v>366</v>
      </c>
      <c r="E375" s="1">
        <v>1.16</v>
      </c>
      <c r="F375" s="13">
        <f>F374*E375</f>
        <v>126.59079999999999</v>
      </c>
      <c r="G375" s="13"/>
      <c r="H375" s="13"/>
      <c r="I375" s="13">
        <v>7.8</v>
      </c>
      <c r="J375" s="13">
        <f>F375*I375</f>
        <v>987.4082399999999</v>
      </c>
      <c r="K375" s="13"/>
      <c r="L375" s="13"/>
      <c r="M375" s="13">
        <f>H375+J375+L375</f>
        <v>987.4082399999999</v>
      </c>
    </row>
    <row r="376" spans="1:13" s="135" customFormat="1" ht="13.5">
      <c r="A376" s="1"/>
      <c r="B376" s="337"/>
      <c r="C376" s="4" t="s">
        <v>62</v>
      </c>
      <c r="D376" s="1" t="s">
        <v>43</v>
      </c>
      <c r="E376" s="1">
        <v>0.13</v>
      </c>
      <c r="F376" s="13">
        <f>F374*E376</f>
        <v>14.1869</v>
      </c>
      <c r="G376" s="13"/>
      <c r="H376" s="13"/>
      <c r="I376" s="13"/>
      <c r="J376" s="13">
        <f>F376*I376</f>
        <v>0</v>
      </c>
      <c r="K376" s="13">
        <v>3.2</v>
      </c>
      <c r="L376" s="13">
        <f>F376*K376</f>
        <v>45.39808</v>
      </c>
      <c r="M376" s="13">
        <f>H376+J376+L376</f>
        <v>45.39808</v>
      </c>
    </row>
    <row r="377" spans="1:13" s="135" customFormat="1" ht="13.5">
      <c r="A377" s="1"/>
      <c r="B377" s="337"/>
      <c r="C377" s="4" t="s">
        <v>56</v>
      </c>
      <c r="D377" s="1"/>
      <c r="E377" s="1"/>
      <c r="F377" s="13">
        <f>E377*2353</f>
        <v>0</v>
      </c>
      <c r="G377" s="13"/>
      <c r="H377" s="13"/>
      <c r="I377" s="13"/>
      <c r="J377" s="13">
        <f>F377*I377</f>
        <v>0</v>
      </c>
      <c r="K377" s="13"/>
      <c r="L377" s="13"/>
      <c r="M377" s="13"/>
    </row>
    <row r="378" spans="1:13" s="135" customFormat="1" ht="13.5">
      <c r="A378" s="1"/>
      <c r="B378" s="120"/>
      <c r="C378" s="4" t="s">
        <v>219</v>
      </c>
      <c r="D378" s="1" t="s">
        <v>64</v>
      </c>
      <c r="E378" s="1">
        <v>1</v>
      </c>
      <c r="F378" s="13">
        <f>F374*E378</f>
        <v>109.13</v>
      </c>
      <c r="G378" s="13">
        <v>125</v>
      </c>
      <c r="H378" s="13">
        <f>F378*G378</f>
        <v>13641.25</v>
      </c>
      <c r="I378" s="13"/>
      <c r="J378" s="13">
        <f>F378*I378</f>
        <v>0</v>
      </c>
      <c r="K378" s="13"/>
      <c r="L378" s="13"/>
      <c r="M378" s="13">
        <f>H378+J378+L378</f>
        <v>13641.25</v>
      </c>
    </row>
    <row r="379" spans="1:13" s="135" customFormat="1" ht="16.5" customHeight="1">
      <c r="A379" s="1"/>
      <c r="B379" s="337"/>
      <c r="C379" s="4" t="s">
        <v>57</v>
      </c>
      <c r="D379" s="1" t="s">
        <v>43</v>
      </c>
      <c r="E379" s="1">
        <v>0.0206</v>
      </c>
      <c r="F379" s="13">
        <f>F374*E379</f>
        <v>2.248078</v>
      </c>
      <c r="G379" s="13">
        <v>3.2</v>
      </c>
      <c r="H379" s="13">
        <f>F379*G379</f>
        <v>7.1938496</v>
      </c>
      <c r="I379" s="13"/>
      <c r="J379" s="13">
        <f>F379*I379</f>
        <v>0</v>
      </c>
      <c r="K379" s="13"/>
      <c r="L379" s="13"/>
      <c r="M379" s="13">
        <f>H379+J379+L379</f>
        <v>7.1938496</v>
      </c>
    </row>
    <row r="380" spans="1:13" s="135" customFormat="1" ht="27">
      <c r="A380" s="28">
        <v>67</v>
      </c>
      <c r="B380" s="149" t="s">
        <v>178</v>
      </c>
      <c r="C380" s="43" t="s">
        <v>691</v>
      </c>
      <c r="D380" s="28" t="s">
        <v>64</v>
      </c>
      <c r="E380" s="28"/>
      <c r="F380" s="164">
        <v>55.56</v>
      </c>
      <c r="G380" s="30"/>
      <c r="H380" s="30"/>
      <c r="I380" s="30"/>
      <c r="J380" s="30"/>
      <c r="K380" s="30"/>
      <c r="L380" s="30"/>
      <c r="M380" s="30"/>
    </row>
    <row r="381" spans="1:13" s="135" customFormat="1" ht="15.75" customHeight="1">
      <c r="A381" s="1"/>
      <c r="B381" s="336"/>
      <c r="C381" s="4" t="s">
        <v>54</v>
      </c>
      <c r="D381" s="1" t="s">
        <v>366</v>
      </c>
      <c r="E381" s="1">
        <v>1.16</v>
      </c>
      <c r="F381" s="13">
        <f>F380*E381</f>
        <v>64.4496</v>
      </c>
      <c r="G381" s="13"/>
      <c r="H381" s="13"/>
      <c r="I381" s="13">
        <v>7.8</v>
      </c>
      <c r="J381" s="13">
        <f>F381*I381</f>
        <v>502.70688</v>
      </c>
      <c r="K381" s="13"/>
      <c r="L381" s="13"/>
      <c r="M381" s="13">
        <f>H381+J381+L381</f>
        <v>502.70688</v>
      </c>
    </row>
    <row r="382" spans="1:13" s="135" customFormat="1" ht="13.5">
      <c r="A382" s="1"/>
      <c r="B382" s="337"/>
      <c r="C382" s="4" t="s">
        <v>62</v>
      </c>
      <c r="D382" s="1" t="s">
        <v>43</v>
      </c>
      <c r="E382" s="1">
        <v>0.13</v>
      </c>
      <c r="F382" s="13">
        <f>F380*E382</f>
        <v>7.2228</v>
      </c>
      <c r="G382" s="13"/>
      <c r="H382" s="13"/>
      <c r="I382" s="13"/>
      <c r="J382" s="13">
        <f>F382*I382</f>
        <v>0</v>
      </c>
      <c r="K382" s="13">
        <v>3.2</v>
      </c>
      <c r="L382" s="13">
        <f>F382*K382</f>
        <v>23.11296</v>
      </c>
      <c r="M382" s="13">
        <f>H382+J382+L382</f>
        <v>23.11296</v>
      </c>
    </row>
    <row r="383" spans="1:13" s="135" customFormat="1" ht="13.5">
      <c r="A383" s="1"/>
      <c r="B383" s="337"/>
      <c r="C383" s="4" t="s">
        <v>56</v>
      </c>
      <c r="D383" s="1"/>
      <c r="E383" s="1"/>
      <c r="F383" s="13">
        <f>E383*2353</f>
        <v>0</v>
      </c>
      <c r="G383" s="13"/>
      <c r="H383" s="13"/>
      <c r="I383" s="13"/>
      <c r="J383" s="13">
        <f>F383*I383</f>
        <v>0</v>
      </c>
      <c r="K383" s="13"/>
      <c r="L383" s="13"/>
      <c r="M383" s="13"/>
    </row>
    <row r="384" spans="1:13" s="135" customFormat="1" ht="13.5">
      <c r="A384" s="1"/>
      <c r="B384" s="120"/>
      <c r="C384" s="4" t="s">
        <v>219</v>
      </c>
      <c r="D384" s="1" t="s">
        <v>64</v>
      </c>
      <c r="E384" s="1">
        <v>1</v>
      </c>
      <c r="F384" s="13">
        <f>F380*E384</f>
        <v>55.56</v>
      </c>
      <c r="G384" s="13">
        <v>130</v>
      </c>
      <c r="H384" s="13">
        <f>F384*G384</f>
        <v>7222.8</v>
      </c>
      <c r="I384" s="13"/>
      <c r="J384" s="13">
        <f>F384*I384</f>
        <v>0</v>
      </c>
      <c r="K384" s="13"/>
      <c r="L384" s="13"/>
      <c r="M384" s="13">
        <f>H384+J384+L384</f>
        <v>7222.8</v>
      </c>
    </row>
    <row r="385" spans="1:13" s="135" customFormat="1" ht="16.5" customHeight="1">
      <c r="A385" s="1"/>
      <c r="B385" s="337"/>
      <c r="C385" s="4" t="s">
        <v>57</v>
      </c>
      <c r="D385" s="1" t="s">
        <v>43</v>
      </c>
      <c r="E385" s="1">
        <v>0.0206</v>
      </c>
      <c r="F385" s="13">
        <f>F380*E385</f>
        <v>1.144536</v>
      </c>
      <c r="G385" s="13">
        <v>3.2</v>
      </c>
      <c r="H385" s="13">
        <f>F385*G385</f>
        <v>3.6625152</v>
      </c>
      <c r="I385" s="13"/>
      <c r="J385" s="13">
        <f>F385*I385</f>
        <v>0</v>
      </c>
      <c r="K385" s="13"/>
      <c r="L385" s="13"/>
      <c r="M385" s="13">
        <f>H385+J385+L385</f>
        <v>3.6625152</v>
      </c>
    </row>
    <row r="386" spans="1:13" s="268" customFormat="1" ht="40.5">
      <c r="A386" s="28">
        <v>68</v>
      </c>
      <c r="B386" s="149" t="s">
        <v>684</v>
      </c>
      <c r="C386" s="114" t="s">
        <v>754</v>
      </c>
      <c r="D386" s="152" t="s">
        <v>59</v>
      </c>
      <c r="E386" s="338"/>
      <c r="F386" s="164">
        <v>2</v>
      </c>
      <c r="G386" s="30"/>
      <c r="H386" s="30"/>
      <c r="I386" s="30"/>
      <c r="J386" s="30"/>
      <c r="K386" s="30"/>
      <c r="L386" s="30"/>
      <c r="M386" s="30"/>
    </row>
    <row r="387" spans="1:13" s="268" customFormat="1" ht="14.25" customHeight="1">
      <c r="A387" s="1"/>
      <c r="B387" s="120"/>
      <c r="C387" s="19" t="s">
        <v>54</v>
      </c>
      <c r="D387" s="18" t="s">
        <v>55</v>
      </c>
      <c r="E387" s="1">
        <v>2.43</v>
      </c>
      <c r="F387" s="13">
        <f>F386*E387</f>
        <v>4.86</v>
      </c>
      <c r="G387" s="13"/>
      <c r="H387" s="13"/>
      <c r="I387" s="13">
        <v>6</v>
      </c>
      <c r="J387" s="13">
        <f>F387*I387</f>
        <v>29.160000000000004</v>
      </c>
      <c r="K387" s="13"/>
      <c r="L387" s="13"/>
      <c r="M387" s="13">
        <f>H387+J387+L387</f>
        <v>29.160000000000004</v>
      </c>
    </row>
    <row r="388" spans="1:13" s="146" customFormat="1" ht="15.75" customHeight="1">
      <c r="A388" s="1"/>
      <c r="B388" s="257"/>
      <c r="C388" s="19" t="s">
        <v>99</v>
      </c>
      <c r="D388" s="18" t="s">
        <v>43</v>
      </c>
      <c r="E388" s="14">
        <v>0.18</v>
      </c>
      <c r="F388" s="13">
        <f>F386*E388</f>
        <v>0.36</v>
      </c>
      <c r="G388" s="13"/>
      <c r="H388" s="13"/>
      <c r="I388" s="13"/>
      <c r="J388" s="13"/>
      <c r="K388" s="13">
        <v>3.2</v>
      </c>
      <c r="L388" s="13">
        <f>F388*K388</f>
        <v>1.152</v>
      </c>
      <c r="M388" s="13">
        <f>H388+J388+L388</f>
        <v>1.152</v>
      </c>
    </row>
    <row r="389" spans="1:13" s="135" customFormat="1" ht="13.5" customHeight="1">
      <c r="A389" s="1"/>
      <c r="B389" s="120"/>
      <c r="C389" s="19" t="s">
        <v>56</v>
      </c>
      <c r="D389" s="1"/>
      <c r="E389" s="1"/>
      <c r="F389" s="2">
        <f>E389*1</f>
        <v>0</v>
      </c>
      <c r="G389" s="1"/>
      <c r="H389" s="2"/>
      <c r="I389" s="3"/>
      <c r="J389" s="2"/>
      <c r="K389" s="3"/>
      <c r="L389" s="2"/>
      <c r="M389" s="2">
        <f>H389+J389+L389</f>
        <v>0</v>
      </c>
    </row>
    <row r="390" spans="1:13" s="135" customFormat="1" ht="18" customHeight="1">
      <c r="A390" s="1"/>
      <c r="B390" s="120"/>
      <c r="C390" s="260" t="s">
        <v>685</v>
      </c>
      <c r="D390" s="62" t="s">
        <v>59</v>
      </c>
      <c r="E390" s="1">
        <v>1</v>
      </c>
      <c r="F390" s="89">
        <f>F386*E390</f>
        <v>2</v>
      </c>
      <c r="G390" s="89">
        <v>424.88</v>
      </c>
      <c r="H390" s="89">
        <f>F390*G390</f>
        <v>849.76</v>
      </c>
      <c r="I390" s="89"/>
      <c r="J390" s="89"/>
      <c r="K390" s="89"/>
      <c r="L390" s="89"/>
      <c r="M390" s="89">
        <f>H390+J390+L390</f>
        <v>849.76</v>
      </c>
    </row>
    <row r="391" spans="1:13" s="332" customFormat="1" ht="13.5">
      <c r="A391" s="62"/>
      <c r="B391" s="120"/>
      <c r="C391" s="63" t="s">
        <v>3</v>
      </c>
      <c r="D391" s="69" t="s">
        <v>43</v>
      </c>
      <c r="E391" s="62">
        <v>0.91</v>
      </c>
      <c r="F391" s="209">
        <f>F386*E391</f>
        <v>1.82</v>
      </c>
      <c r="G391" s="209">
        <v>3.2</v>
      </c>
      <c r="H391" s="209">
        <f>F391*G391</f>
        <v>5.824000000000001</v>
      </c>
      <c r="I391" s="209"/>
      <c r="J391" s="209"/>
      <c r="K391" s="209"/>
      <c r="L391" s="209"/>
      <c r="M391" s="209">
        <f>H391+J391+L391</f>
        <v>5.824000000000001</v>
      </c>
    </row>
    <row r="392" spans="1:13" ht="15.75" customHeight="1">
      <c r="A392" s="52"/>
      <c r="B392" s="325"/>
      <c r="C392" s="277" t="s">
        <v>23</v>
      </c>
      <c r="D392" s="52"/>
      <c r="E392" s="52"/>
      <c r="F392" s="161"/>
      <c r="G392" s="161"/>
      <c r="H392" s="161">
        <f>SUM(H354:H391)</f>
        <v>132980.3548736</v>
      </c>
      <c r="I392" s="161"/>
      <c r="J392" s="161">
        <f>SUM(J354:J391)</f>
        <v>6892.7199359999995</v>
      </c>
      <c r="K392" s="161"/>
      <c r="L392" s="161">
        <f>SUM(L354:L391)</f>
        <v>1445.5921119999998</v>
      </c>
      <c r="M392" s="161">
        <f>SUM(M354:M391)</f>
        <v>141318.66692160003</v>
      </c>
    </row>
    <row r="393" spans="1:13" ht="16.5">
      <c r="A393" s="47"/>
      <c r="B393" s="126"/>
      <c r="C393" s="333" t="s">
        <v>166</v>
      </c>
      <c r="D393" s="47"/>
      <c r="E393" s="47"/>
      <c r="F393" s="108"/>
      <c r="G393" s="108"/>
      <c r="H393" s="108"/>
      <c r="I393" s="108"/>
      <c r="J393" s="108"/>
      <c r="K393" s="108"/>
      <c r="L393" s="108"/>
      <c r="M393" s="108"/>
    </row>
    <row r="394" spans="1:13" ht="31.5">
      <c r="A394" s="47"/>
      <c r="B394" s="339"/>
      <c r="C394" s="116" t="s">
        <v>565</v>
      </c>
      <c r="D394" s="286"/>
      <c r="E394" s="286"/>
      <c r="F394" s="108"/>
      <c r="G394" s="108"/>
      <c r="H394" s="108"/>
      <c r="I394" s="108"/>
      <c r="J394" s="108"/>
      <c r="K394" s="108"/>
      <c r="L394" s="108"/>
      <c r="M394" s="108"/>
    </row>
    <row r="395" spans="1:13" ht="27">
      <c r="A395" s="1">
        <v>69</v>
      </c>
      <c r="B395" s="120" t="s">
        <v>194</v>
      </c>
      <c r="C395" s="4" t="s">
        <v>564</v>
      </c>
      <c r="D395" s="1" t="s">
        <v>66</v>
      </c>
      <c r="E395" s="1"/>
      <c r="F395" s="292">
        <f>F411*0.02</f>
        <v>2.122</v>
      </c>
      <c r="G395" s="13"/>
      <c r="H395" s="13"/>
      <c r="I395" s="13"/>
      <c r="J395" s="13"/>
      <c r="K395" s="13"/>
      <c r="L395" s="13"/>
      <c r="M395" s="13"/>
    </row>
    <row r="396" spans="1:13" ht="13.5">
      <c r="A396" s="1"/>
      <c r="B396" s="120"/>
      <c r="C396" s="19" t="s">
        <v>54</v>
      </c>
      <c r="D396" s="1" t="s">
        <v>366</v>
      </c>
      <c r="E396" s="1">
        <v>3.58</v>
      </c>
      <c r="F396" s="13">
        <f>F395*E396</f>
        <v>7.59676</v>
      </c>
      <c r="G396" s="13"/>
      <c r="H396" s="13"/>
      <c r="I396" s="13">
        <v>6</v>
      </c>
      <c r="J396" s="13">
        <f>F396*I396</f>
        <v>45.58056</v>
      </c>
      <c r="K396" s="13"/>
      <c r="L396" s="13"/>
      <c r="M396" s="13">
        <f>H396+J396+L396</f>
        <v>45.58056</v>
      </c>
    </row>
    <row r="397" spans="1:13" ht="13.5">
      <c r="A397" s="1"/>
      <c r="B397" s="120"/>
      <c r="C397" s="19" t="s">
        <v>62</v>
      </c>
      <c r="D397" s="1" t="s">
        <v>43</v>
      </c>
      <c r="E397" s="1">
        <v>1.08</v>
      </c>
      <c r="F397" s="13">
        <f>F395*E397</f>
        <v>2.29176</v>
      </c>
      <c r="G397" s="13"/>
      <c r="H397" s="13"/>
      <c r="I397" s="13"/>
      <c r="J397" s="13"/>
      <c r="K397" s="13">
        <v>3.2</v>
      </c>
      <c r="L397" s="13">
        <f>F397*K397</f>
        <v>7.333632000000001</v>
      </c>
      <c r="M397" s="13">
        <f>H397+J397+L397</f>
        <v>7.333632000000001</v>
      </c>
    </row>
    <row r="398" spans="1:13" ht="13.5">
      <c r="A398" s="1"/>
      <c r="B398" s="120"/>
      <c r="C398" s="19" t="s">
        <v>56</v>
      </c>
      <c r="D398" s="1"/>
      <c r="E398" s="1"/>
      <c r="F398" s="13">
        <f>E398*2353</f>
        <v>0</v>
      </c>
      <c r="G398" s="13"/>
      <c r="H398" s="13"/>
      <c r="I398" s="13"/>
      <c r="J398" s="13"/>
      <c r="K398" s="13"/>
      <c r="L398" s="13"/>
      <c r="M398" s="13"/>
    </row>
    <row r="399" spans="1:13" ht="13.5">
      <c r="A399" s="1"/>
      <c r="B399" s="120"/>
      <c r="C399" s="19" t="s">
        <v>299</v>
      </c>
      <c r="D399" s="1" t="s">
        <v>66</v>
      </c>
      <c r="E399" s="1">
        <v>1.1</v>
      </c>
      <c r="F399" s="13">
        <f>F395*E399</f>
        <v>2.3342</v>
      </c>
      <c r="G399" s="13">
        <v>41</v>
      </c>
      <c r="H399" s="13">
        <f>F399*G399</f>
        <v>95.7022</v>
      </c>
      <c r="I399" s="13"/>
      <c r="J399" s="13"/>
      <c r="K399" s="13"/>
      <c r="L399" s="13"/>
      <c r="M399" s="13">
        <f>H399+J399+L399</f>
        <v>95.7022</v>
      </c>
    </row>
    <row r="400" spans="1:13" s="332" customFormat="1" ht="25.5">
      <c r="A400" s="76">
        <v>70</v>
      </c>
      <c r="B400" s="141" t="s">
        <v>371</v>
      </c>
      <c r="C400" s="114" t="s">
        <v>563</v>
      </c>
      <c r="D400" s="76" t="s">
        <v>64</v>
      </c>
      <c r="E400" s="76"/>
      <c r="F400" s="312">
        <f>F411+F418</f>
        <v>248.1</v>
      </c>
      <c r="G400" s="204"/>
      <c r="H400" s="204"/>
      <c r="I400" s="204"/>
      <c r="J400" s="204"/>
      <c r="K400" s="204"/>
      <c r="L400" s="204"/>
      <c r="M400" s="204"/>
    </row>
    <row r="401" spans="1:13" s="332" customFormat="1" ht="13.5">
      <c r="A401" s="62"/>
      <c r="B401" s="142"/>
      <c r="C401" s="79" t="s">
        <v>4</v>
      </c>
      <c r="D401" s="1" t="s">
        <v>366</v>
      </c>
      <c r="E401" s="62">
        <f>0.188+0.0034*8</f>
        <v>0.2152</v>
      </c>
      <c r="F401" s="89">
        <f>F400*E401</f>
        <v>53.39112</v>
      </c>
      <c r="G401" s="89"/>
      <c r="H401" s="89"/>
      <c r="I401" s="89">
        <v>7.8</v>
      </c>
      <c r="J401" s="89">
        <f>F401*I401</f>
        <v>416.450736</v>
      </c>
      <c r="K401" s="89"/>
      <c r="L401" s="89"/>
      <c r="M401" s="89">
        <f>H401+J401+L401</f>
        <v>416.450736</v>
      </c>
    </row>
    <row r="402" spans="1:13" s="269" customFormat="1" ht="27">
      <c r="A402" s="62"/>
      <c r="B402" s="142"/>
      <c r="C402" s="79" t="s">
        <v>372</v>
      </c>
      <c r="D402" s="65" t="s">
        <v>43</v>
      </c>
      <c r="E402" s="62">
        <f>0.0095+0.0023*8</f>
        <v>0.0279</v>
      </c>
      <c r="F402" s="89">
        <f>F400*E402</f>
        <v>6.92199</v>
      </c>
      <c r="G402" s="89"/>
      <c r="H402" s="89"/>
      <c r="I402" s="89"/>
      <c r="J402" s="89"/>
      <c r="K402" s="89">
        <v>3.2</v>
      </c>
      <c r="L402" s="89">
        <f>F402*K402</f>
        <v>22.150368</v>
      </c>
      <c r="M402" s="89">
        <f>H402+J402+L402</f>
        <v>22.150368</v>
      </c>
    </row>
    <row r="403" spans="1:13" s="332" customFormat="1" ht="13.5">
      <c r="A403" s="62"/>
      <c r="B403" s="142"/>
      <c r="C403" s="79" t="s">
        <v>56</v>
      </c>
      <c r="D403" s="62"/>
      <c r="E403" s="62"/>
      <c r="F403" s="89"/>
      <c r="G403" s="89"/>
      <c r="H403" s="89"/>
      <c r="I403" s="89"/>
      <c r="J403" s="89"/>
      <c r="K403" s="89"/>
      <c r="L403" s="89"/>
      <c r="M403" s="89"/>
    </row>
    <row r="404" spans="1:13" s="332" customFormat="1" ht="13.5">
      <c r="A404" s="62"/>
      <c r="B404" s="142"/>
      <c r="C404" s="79" t="s">
        <v>373</v>
      </c>
      <c r="D404" s="62" t="s">
        <v>66</v>
      </c>
      <c r="E404" s="62">
        <f>0.0204+0.0051*8</f>
        <v>0.061200000000000004</v>
      </c>
      <c r="F404" s="89">
        <f>F400*E404</f>
        <v>15.183720000000001</v>
      </c>
      <c r="G404" s="89">
        <v>91</v>
      </c>
      <c r="H404" s="89">
        <f>F404*G404</f>
        <v>1381.7185200000001</v>
      </c>
      <c r="I404" s="89"/>
      <c r="J404" s="89"/>
      <c r="K404" s="89"/>
      <c r="L404" s="89"/>
      <c r="M404" s="89">
        <f>H404+J404+L404</f>
        <v>1381.7185200000001</v>
      </c>
    </row>
    <row r="405" spans="1:13" s="332" customFormat="1" ht="13.5">
      <c r="A405" s="62"/>
      <c r="B405" s="143"/>
      <c r="C405" s="248" t="s">
        <v>3</v>
      </c>
      <c r="D405" s="69" t="s">
        <v>43</v>
      </c>
      <c r="E405" s="67">
        <v>0.0636</v>
      </c>
      <c r="F405" s="209">
        <f>F400*E405</f>
        <v>15.779160000000001</v>
      </c>
      <c r="G405" s="209">
        <v>3.2</v>
      </c>
      <c r="H405" s="209">
        <f>F405*G405</f>
        <v>50.493312</v>
      </c>
      <c r="I405" s="209"/>
      <c r="J405" s="209"/>
      <c r="K405" s="209"/>
      <c r="L405" s="209"/>
      <c r="M405" s="209">
        <f>H405+J405+L405</f>
        <v>50.493312</v>
      </c>
    </row>
    <row r="406" spans="1:13" s="135" customFormat="1" ht="30" customHeight="1">
      <c r="A406" s="28">
        <v>71</v>
      </c>
      <c r="B406" s="120" t="s">
        <v>374</v>
      </c>
      <c r="C406" s="43" t="s">
        <v>713</v>
      </c>
      <c r="D406" s="28" t="s">
        <v>64</v>
      </c>
      <c r="E406" s="28"/>
      <c r="F406" s="312">
        <f>F411+F418</f>
        <v>248.1</v>
      </c>
      <c r="G406" s="30"/>
      <c r="H406" s="30"/>
      <c r="I406" s="30"/>
      <c r="J406" s="30"/>
      <c r="K406" s="30"/>
      <c r="L406" s="30"/>
      <c r="M406" s="30"/>
    </row>
    <row r="407" spans="1:13" s="135" customFormat="1" ht="15.75" customHeight="1">
      <c r="A407" s="1"/>
      <c r="B407" s="120"/>
      <c r="C407" s="4" t="s">
        <v>54</v>
      </c>
      <c r="D407" s="1" t="s">
        <v>366</v>
      </c>
      <c r="E407" s="1">
        <v>0.271</v>
      </c>
      <c r="F407" s="13">
        <f>F406*E407</f>
        <v>67.2351</v>
      </c>
      <c r="G407" s="13"/>
      <c r="H407" s="13"/>
      <c r="I407" s="13">
        <v>6</v>
      </c>
      <c r="J407" s="13">
        <f>F407*I407</f>
        <v>403.41060000000004</v>
      </c>
      <c r="K407" s="13"/>
      <c r="L407" s="13"/>
      <c r="M407" s="13">
        <f>H407+J407+L407</f>
        <v>403.41060000000004</v>
      </c>
    </row>
    <row r="408" spans="1:13" s="135" customFormat="1" ht="13.5">
      <c r="A408" s="1"/>
      <c r="B408" s="120"/>
      <c r="C408" s="4" t="s">
        <v>99</v>
      </c>
      <c r="D408" s="1" t="s">
        <v>43</v>
      </c>
      <c r="E408" s="1">
        <v>0.023</v>
      </c>
      <c r="F408" s="13">
        <f>F406*E408</f>
        <v>5.7063</v>
      </c>
      <c r="G408" s="13"/>
      <c r="H408" s="13"/>
      <c r="I408" s="13"/>
      <c r="J408" s="13"/>
      <c r="K408" s="13">
        <v>3.2</v>
      </c>
      <c r="L408" s="13">
        <f>F408*K408</f>
        <v>18.26016</v>
      </c>
      <c r="M408" s="13">
        <f>H408+J408+L408</f>
        <v>18.26016</v>
      </c>
    </row>
    <row r="409" spans="1:13" s="135" customFormat="1" ht="13.5">
      <c r="A409" s="1"/>
      <c r="B409" s="120"/>
      <c r="C409" s="4" t="s">
        <v>56</v>
      </c>
      <c r="D409" s="1"/>
      <c r="E409" s="1"/>
      <c r="F409" s="13"/>
      <c r="G409" s="13"/>
      <c r="H409" s="13"/>
      <c r="I409" s="13"/>
      <c r="J409" s="13"/>
      <c r="K409" s="13"/>
      <c r="L409" s="13"/>
      <c r="M409" s="13"/>
    </row>
    <row r="410" spans="1:13" s="135" customFormat="1" ht="27">
      <c r="A410" s="1"/>
      <c r="B410" s="120"/>
      <c r="C410" s="4" t="s">
        <v>376</v>
      </c>
      <c r="D410" s="1" t="s">
        <v>64</v>
      </c>
      <c r="E410" s="1">
        <v>1.03</v>
      </c>
      <c r="F410" s="13">
        <f>F406*E410</f>
        <v>255.543</v>
      </c>
      <c r="G410" s="13">
        <v>10.1</v>
      </c>
      <c r="H410" s="13">
        <f>F410*G410</f>
        <v>2580.9843</v>
      </c>
      <c r="I410" s="13"/>
      <c r="J410" s="13"/>
      <c r="K410" s="13"/>
      <c r="L410" s="13"/>
      <c r="M410" s="13">
        <f>H410+J410+L410</f>
        <v>2580.9843</v>
      </c>
    </row>
    <row r="411" spans="1:13" ht="27">
      <c r="A411" s="28">
        <v>72</v>
      </c>
      <c r="B411" s="149" t="s">
        <v>877</v>
      </c>
      <c r="C411" s="43" t="s">
        <v>561</v>
      </c>
      <c r="D411" s="28" t="s">
        <v>64</v>
      </c>
      <c r="E411" s="28"/>
      <c r="F411" s="312">
        <v>106.1</v>
      </c>
      <c r="G411" s="30"/>
      <c r="H411" s="30"/>
      <c r="I411" s="30"/>
      <c r="J411" s="30"/>
      <c r="K411" s="30"/>
      <c r="L411" s="30"/>
      <c r="M411" s="30"/>
    </row>
    <row r="412" spans="1:13" s="121" customFormat="1" ht="15.75" customHeight="1">
      <c r="A412" s="1"/>
      <c r="B412" s="120"/>
      <c r="C412" s="4" t="s">
        <v>54</v>
      </c>
      <c r="D412" s="1" t="s">
        <v>366</v>
      </c>
      <c r="E412" s="1">
        <v>1.08</v>
      </c>
      <c r="F412" s="13">
        <f>F411*E412</f>
        <v>114.58800000000001</v>
      </c>
      <c r="G412" s="13"/>
      <c r="H412" s="13"/>
      <c r="I412" s="13">
        <v>7.8</v>
      </c>
      <c r="J412" s="13">
        <f>F412*I412</f>
        <v>893.7864000000001</v>
      </c>
      <c r="K412" s="13"/>
      <c r="L412" s="13"/>
      <c r="M412" s="13">
        <f>H412+J412+L412</f>
        <v>893.7864000000001</v>
      </c>
    </row>
    <row r="413" spans="1:13" s="121" customFormat="1" ht="13.5">
      <c r="A413" s="1"/>
      <c r="B413" s="120"/>
      <c r="C413" s="4" t="s">
        <v>62</v>
      </c>
      <c r="D413" s="1" t="s">
        <v>43</v>
      </c>
      <c r="E413" s="1">
        <v>0.0452</v>
      </c>
      <c r="F413" s="13">
        <f>F411*E413</f>
        <v>4.795719999999999</v>
      </c>
      <c r="G413" s="13"/>
      <c r="H413" s="13"/>
      <c r="I413" s="13"/>
      <c r="J413" s="13"/>
      <c r="K413" s="13">
        <v>3.2</v>
      </c>
      <c r="L413" s="13">
        <f>F413*K413</f>
        <v>15.346303999999998</v>
      </c>
      <c r="M413" s="13">
        <f>H413+J413+L413</f>
        <v>15.346303999999998</v>
      </c>
    </row>
    <row r="414" spans="1:13" s="121" customFormat="1" ht="13.5">
      <c r="A414" s="1"/>
      <c r="B414" s="120"/>
      <c r="C414" s="4" t="s">
        <v>56</v>
      </c>
      <c r="D414" s="1"/>
      <c r="E414" s="1"/>
      <c r="F414" s="13">
        <f>E414*2353</f>
        <v>0</v>
      </c>
      <c r="G414" s="13"/>
      <c r="H414" s="13"/>
      <c r="I414" s="13"/>
      <c r="J414" s="13"/>
      <c r="K414" s="13"/>
      <c r="L414" s="13"/>
      <c r="M414" s="13"/>
    </row>
    <row r="415" spans="1:13" s="121" customFormat="1" ht="13.5">
      <c r="A415" s="1"/>
      <c r="B415" s="120"/>
      <c r="C415" s="4" t="s">
        <v>560</v>
      </c>
      <c r="D415" s="1" t="s">
        <v>64</v>
      </c>
      <c r="E415" s="1">
        <v>1.02</v>
      </c>
      <c r="F415" s="13">
        <f>F411*E415</f>
        <v>108.222</v>
      </c>
      <c r="G415" s="13">
        <v>15</v>
      </c>
      <c r="H415" s="13">
        <f>F415*G415</f>
        <v>1623.33</v>
      </c>
      <c r="I415" s="13"/>
      <c r="J415" s="13"/>
      <c r="K415" s="13"/>
      <c r="L415" s="13"/>
      <c r="M415" s="13">
        <f>H415+J415+L415</f>
        <v>1623.33</v>
      </c>
    </row>
    <row r="416" spans="1:13" s="121" customFormat="1" ht="13.5">
      <c r="A416" s="1"/>
      <c r="B416" s="120"/>
      <c r="C416" s="4" t="s">
        <v>375</v>
      </c>
      <c r="D416" s="1" t="s">
        <v>65</v>
      </c>
      <c r="E416" s="1">
        <v>5</v>
      </c>
      <c r="F416" s="13">
        <f>F411*E416</f>
        <v>530.5</v>
      </c>
      <c r="G416" s="13">
        <v>0.34</v>
      </c>
      <c r="H416" s="13">
        <f>F416*G416</f>
        <v>180.37</v>
      </c>
      <c r="I416" s="13"/>
      <c r="J416" s="13"/>
      <c r="K416" s="13"/>
      <c r="L416" s="13"/>
      <c r="M416" s="13">
        <f>H416+J416+L416</f>
        <v>180.37</v>
      </c>
    </row>
    <row r="417" spans="1:13" s="121" customFormat="1" ht="13.5">
      <c r="A417" s="1"/>
      <c r="B417" s="120"/>
      <c r="C417" s="4" t="s">
        <v>57</v>
      </c>
      <c r="D417" s="1" t="s">
        <v>43</v>
      </c>
      <c r="E417" s="1">
        <v>0.0466</v>
      </c>
      <c r="F417" s="13">
        <f>F411*E417</f>
        <v>4.94426</v>
      </c>
      <c r="G417" s="13">
        <v>3.2</v>
      </c>
      <c r="H417" s="13">
        <f>F417*G417</f>
        <v>15.821632000000001</v>
      </c>
      <c r="I417" s="13"/>
      <c r="J417" s="13"/>
      <c r="K417" s="13"/>
      <c r="L417" s="13"/>
      <c r="M417" s="13">
        <f>H417+J417+L417</f>
        <v>15.821632000000001</v>
      </c>
    </row>
    <row r="418" spans="1:13" ht="27">
      <c r="A418" s="28">
        <v>73</v>
      </c>
      <c r="B418" s="149" t="s">
        <v>877</v>
      </c>
      <c r="C418" s="43" t="s">
        <v>562</v>
      </c>
      <c r="D418" s="28" t="s">
        <v>64</v>
      </c>
      <c r="E418" s="28"/>
      <c r="F418" s="312">
        <v>142</v>
      </c>
      <c r="G418" s="30"/>
      <c r="H418" s="30"/>
      <c r="I418" s="30"/>
      <c r="J418" s="30"/>
      <c r="K418" s="30"/>
      <c r="L418" s="30"/>
      <c r="M418" s="30"/>
    </row>
    <row r="419" spans="1:13" s="121" customFormat="1" ht="15.75" customHeight="1">
      <c r="A419" s="1"/>
      <c r="B419" s="120"/>
      <c r="C419" s="4" t="s">
        <v>54</v>
      </c>
      <c r="D419" s="1" t="s">
        <v>366</v>
      </c>
      <c r="E419" s="1">
        <v>1.08</v>
      </c>
      <c r="F419" s="13">
        <f>F418*E419</f>
        <v>153.36</v>
      </c>
      <c r="G419" s="13"/>
      <c r="H419" s="13"/>
      <c r="I419" s="13">
        <v>7.8</v>
      </c>
      <c r="J419" s="13">
        <f>F419*I419</f>
        <v>1196.208</v>
      </c>
      <c r="K419" s="13"/>
      <c r="L419" s="13"/>
      <c r="M419" s="13">
        <f>H419+J419+L419</f>
        <v>1196.208</v>
      </c>
    </row>
    <row r="420" spans="1:13" s="121" customFormat="1" ht="13.5">
      <c r="A420" s="1"/>
      <c r="B420" s="120"/>
      <c r="C420" s="4" t="s">
        <v>62</v>
      </c>
      <c r="D420" s="1" t="s">
        <v>43</v>
      </c>
      <c r="E420" s="1">
        <v>0.0452</v>
      </c>
      <c r="F420" s="13">
        <f>F418*E420</f>
        <v>6.418399999999999</v>
      </c>
      <c r="G420" s="13"/>
      <c r="H420" s="13"/>
      <c r="I420" s="13"/>
      <c r="J420" s="13"/>
      <c r="K420" s="13">
        <v>3.2</v>
      </c>
      <c r="L420" s="13">
        <f>F420*K420</f>
        <v>20.53888</v>
      </c>
      <c r="M420" s="13">
        <f>H420+J420+L420</f>
        <v>20.53888</v>
      </c>
    </row>
    <row r="421" spans="1:13" s="121" customFormat="1" ht="13.5">
      <c r="A421" s="1"/>
      <c r="B421" s="120"/>
      <c r="C421" s="4" t="s">
        <v>56</v>
      </c>
      <c r="D421" s="1"/>
      <c r="E421" s="1"/>
      <c r="F421" s="13">
        <f>E421*2353</f>
        <v>0</v>
      </c>
      <c r="G421" s="13"/>
      <c r="H421" s="13"/>
      <c r="I421" s="13"/>
      <c r="J421" s="13"/>
      <c r="K421" s="13"/>
      <c r="L421" s="13"/>
      <c r="M421" s="13"/>
    </row>
    <row r="422" spans="1:13" s="121" customFormat="1" ht="13.5">
      <c r="A422" s="1"/>
      <c r="B422" s="120"/>
      <c r="C422" s="4" t="s">
        <v>560</v>
      </c>
      <c r="D422" s="1" t="s">
        <v>64</v>
      </c>
      <c r="E422" s="1">
        <v>1.02</v>
      </c>
      <c r="F422" s="13">
        <f>F418*E422</f>
        <v>144.84</v>
      </c>
      <c r="G422" s="13">
        <v>15</v>
      </c>
      <c r="H422" s="13">
        <f>F422*G422</f>
        <v>2172.6</v>
      </c>
      <c r="I422" s="13"/>
      <c r="J422" s="13"/>
      <c r="K422" s="13"/>
      <c r="L422" s="13"/>
      <c r="M422" s="13">
        <f>H422+J422+L422</f>
        <v>2172.6</v>
      </c>
    </row>
    <row r="423" spans="1:13" s="121" customFormat="1" ht="13.5">
      <c r="A423" s="1"/>
      <c r="B423" s="120"/>
      <c r="C423" s="4" t="s">
        <v>668</v>
      </c>
      <c r="D423" s="1" t="s">
        <v>65</v>
      </c>
      <c r="E423" s="1">
        <v>5</v>
      </c>
      <c r="F423" s="13">
        <f>F418*E423</f>
        <v>710</v>
      </c>
      <c r="G423" s="13">
        <v>1.17</v>
      </c>
      <c r="H423" s="13">
        <f>F423*G423</f>
        <v>830.6999999999999</v>
      </c>
      <c r="I423" s="13"/>
      <c r="J423" s="13"/>
      <c r="K423" s="13"/>
      <c r="L423" s="13"/>
      <c r="M423" s="13">
        <f>H423+J423+L423</f>
        <v>830.6999999999999</v>
      </c>
    </row>
    <row r="424" spans="1:13" s="121" customFormat="1" ht="13.5">
      <c r="A424" s="1"/>
      <c r="B424" s="120"/>
      <c r="C424" s="4" t="s">
        <v>57</v>
      </c>
      <c r="D424" s="1" t="s">
        <v>43</v>
      </c>
      <c r="E424" s="1">
        <v>0.0466</v>
      </c>
      <c r="F424" s="13">
        <f>F418*E424</f>
        <v>6.6172</v>
      </c>
      <c r="G424" s="13">
        <v>3.2</v>
      </c>
      <c r="H424" s="13">
        <f>F424*G424</f>
        <v>21.175040000000003</v>
      </c>
      <c r="I424" s="13"/>
      <c r="J424" s="13"/>
      <c r="K424" s="13"/>
      <c r="L424" s="13"/>
      <c r="M424" s="13">
        <f>H424+J424+L424</f>
        <v>21.175040000000003</v>
      </c>
    </row>
    <row r="425" spans="1:13" s="121" customFormat="1" ht="15.75">
      <c r="A425" s="47"/>
      <c r="B425" s="126"/>
      <c r="C425" s="116" t="s">
        <v>558</v>
      </c>
      <c r="D425" s="47"/>
      <c r="E425" s="47"/>
      <c r="F425" s="108"/>
      <c r="G425" s="108"/>
      <c r="H425" s="108"/>
      <c r="I425" s="108"/>
      <c r="J425" s="108"/>
      <c r="K425" s="108"/>
      <c r="L425" s="108"/>
      <c r="M425" s="108"/>
    </row>
    <row r="426" spans="1:13" s="332" customFormat="1" ht="25.5">
      <c r="A426" s="76">
        <v>74</v>
      </c>
      <c r="B426" s="141" t="s">
        <v>371</v>
      </c>
      <c r="C426" s="114" t="s">
        <v>563</v>
      </c>
      <c r="D426" s="76" t="s">
        <v>64</v>
      </c>
      <c r="E426" s="76"/>
      <c r="F426" s="312">
        <f>F442</f>
        <v>1773</v>
      </c>
      <c r="G426" s="204"/>
      <c r="H426" s="204"/>
      <c r="I426" s="204"/>
      <c r="J426" s="204"/>
      <c r="K426" s="204"/>
      <c r="L426" s="204"/>
      <c r="M426" s="204"/>
    </row>
    <row r="427" spans="1:13" s="332" customFormat="1" ht="13.5">
      <c r="A427" s="62"/>
      <c r="B427" s="142"/>
      <c r="C427" s="79" t="s">
        <v>4</v>
      </c>
      <c r="D427" s="1" t="s">
        <v>366</v>
      </c>
      <c r="E427" s="62">
        <f>0.188+0.0034*8</f>
        <v>0.2152</v>
      </c>
      <c r="F427" s="89">
        <f>F426*E427</f>
        <v>381.5496</v>
      </c>
      <c r="G427" s="89"/>
      <c r="H427" s="89"/>
      <c r="I427" s="13">
        <v>7.8</v>
      </c>
      <c r="J427" s="89">
        <f>F427*I427</f>
        <v>2976.08688</v>
      </c>
      <c r="K427" s="89"/>
      <c r="L427" s="89"/>
      <c r="M427" s="89">
        <f>H427+J427+L427</f>
        <v>2976.08688</v>
      </c>
    </row>
    <row r="428" spans="1:13" s="269" customFormat="1" ht="27">
      <c r="A428" s="62"/>
      <c r="B428" s="142"/>
      <c r="C428" s="79" t="s">
        <v>372</v>
      </c>
      <c r="D428" s="65" t="s">
        <v>43</v>
      </c>
      <c r="E428" s="62">
        <f>0.0095+0.0023*8</f>
        <v>0.0279</v>
      </c>
      <c r="F428" s="89">
        <f>F426*E428</f>
        <v>49.4667</v>
      </c>
      <c r="G428" s="89"/>
      <c r="H428" s="89"/>
      <c r="I428" s="89"/>
      <c r="J428" s="89"/>
      <c r="K428" s="89">
        <v>3.2</v>
      </c>
      <c r="L428" s="89">
        <f>F428*K428</f>
        <v>158.29344000000003</v>
      </c>
      <c r="M428" s="89">
        <f>H428+J428+L428</f>
        <v>158.29344000000003</v>
      </c>
    </row>
    <row r="429" spans="1:13" s="332" customFormat="1" ht="13.5">
      <c r="A429" s="62"/>
      <c r="B429" s="142"/>
      <c r="C429" s="79" t="s">
        <v>56</v>
      </c>
      <c r="D429" s="62"/>
      <c r="E429" s="62"/>
      <c r="F429" s="89"/>
      <c r="G429" s="89"/>
      <c r="H429" s="89"/>
      <c r="I429" s="89"/>
      <c r="J429" s="89"/>
      <c r="K429" s="89"/>
      <c r="L429" s="89"/>
      <c r="M429" s="89"/>
    </row>
    <row r="430" spans="1:13" s="332" customFormat="1" ht="13.5">
      <c r="A430" s="62"/>
      <c r="B430" s="142"/>
      <c r="C430" s="79" t="s">
        <v>373</v>
      </c>
      <c r="D430" s="62" t="s">
        <v>66</v>
      </c>
      <c r="E430" s="62">
        <f>0.0204+0.0051*8</f>
        <v>0.061200000000000004</v>
      </c>
      <c r="F430" s="89">
        <f>F426*E430</f>
        <v>108.50760000000001</v>
      </c>
      <c r="G430" s="89">
        <v>91</v>
      </c>
      <c r="H430" s="89">
        <f>F430*G430</f>
        <v>9874.1916</v>
      </c>
      <c r="I430" s="89"/>
      <c r="J430" s="89"/>
      <c r="K430" s="89"/>
      <c r="L430" s="89"/>
      <c r="M430" s="89">
        <f>H430+J430+L430</f>
        <v>9874.1916</v>
      </c>
    </row>
    <row r="431" spans="1:13" s="332" customFormat="1" ht="13.5">
      <c r="A431" s="62"/>
      <c r="B431" s="143"/>
      <c r="C431" s="248" t="s">
        <v>3</v>
      </c>
      <c r="D431" s="69" t="s">
        <v>43</v>
      </c>
      <c r="E431" s="67">
        <v>0.0636</v>
      </c>
      <c r="F431" s="209">
        <f>F426*E431</f>
        <v>112.76280000000001</v>
      </c>
      <c r="G431" s="209">
        <v>3.2</v>
      </c>
      <c r="H431" s="209">
        <f>F431*G431</f>
        <v>360.84096000000005</v>
      </c>
      <c r="I431" s="209"/>
      <c r="J431" s="209"/>
      <c r="K431" s="209"/>
      <c r="L431" s="209"/>
      <c r="M431" s="209">
        <f>H431+J431+L431</f>
        <v>360.84096000000005</v>
      </c>
    </row>
    <row r="432" spans="1:13" s="135" customFormat="1" ht="30" customHeight="1">
      <c r="A432" s="28">
        <v>75</v>
      </c>
      <c r="B432" s="120" t="s">
        <v>374</v>
      </c>
      <c r="C432" s="43" t="s">
        <v>713</v>
      </c>
      <c r="D432" s="28" t="s">
        <v>64</v>
      </c>
      <c r="E432" s="28"/>
      <c r="F432" s="292">
        <f>F442</f>
        <v>1773</v>
      </c>
      <c r="G432" s="30"/>
      <c r="H432" s="30"/>
      <c r="I432" s="30"/>
      <c r="J432" s="30"/>
      <c r="K432" s="30"/>
      <c r="L432" s="30"/>
      <c r="M432" s="30"/>
    </row>
    <row r="433" spans="1:13" s="135" customFormat="1" ht="15.75" customHeight="1">
      <c r="A433" s="1"/>
      <c r="B433" s="120"/>
      <c r="C433" s="4" t="s">
        <v>54</v>
      </c>
      <c r="D433" s="1" t="s">
        <v>366</v>
      </c>
      <c r="E433" s="1">
        <v>0.271</v>
      </c>
      <c r="F433" s="13">
        <f>F432*E433</f>
        <v>480.48300000000006</v>
      </c>
      <c r="G433" s="13"/>
      <c r="H433" s="13"/>
      <c r="I433" s="13">
        <v>6</v>
      </c>
      <c r="J433" s="13">
        <f>F433*I433</f>
        <v>2882.898</v>
      </c>
      <c r="K433" s="13"/>
      <c r="L433" s="13"/>
      <c r="M433" s="13">
        <f>H433+J433+L433</f>
        <v>2882.898</v>
      </c>
    </row>
    <row r="434" spans="1:13" s="135" customFormat="1" ht="13.5">
      <c r="A434" s="1"/>
      <c r="B434" s="120"/>
      <c r="C434" s="4" t="s">
        <v>99</v>
      </c>
      <c r="D434" s="1" t="s">
        <v>43</v>
      </c>
      <c r="E434" s="1">
        <v>0.023</v>
      </c>
      <c r="F434" s="13">
        <f>F432*E434</f>
        <v>40.778999999999996</v>
      </c>
      <c r="G434" s="13"/>
      <c r="H434" s="13"/>
      <c r="I434" s="13"/>
      <c r="J434" s="13"/>
      <c r="K434" s="13">
        <v>3.2</v>
      </c>
      <c r="L434" s="13">
        <f>F434*K434</f>
        <v>130.4928</v>
      </c>
      <c r="M434" s="13">
        <f>H434+J434+L434</f>
        <v>130.4928</v>
      </c>
    </row>
    <row r="435" spans="1:13" s="135" customFormat="1" ht="13.5">
      <c r="A435" s="1"/>
      <c r="B435" s="120"/>
      <c r="C435" s="4" t="s">
        <v>56</v>
      </c>
      <c r="D435" s="1"/>
      <c r="E435" s="1"/>
      <c r="F435" s="13"/>
      <c r="G435" s="13"/>
      <c r="H435" s="13"/>
      <c r="I435" s="13"/>
      <c r="J435" s="13"/>
      <c r="K435" s="13"/>
      <c r="L435" s="13"/>
      <c r="M435" s="13"/>
    </row>
    <row r="436" spans="1:13" s="135" customFormat="1" ht="27">
      <c r="A436" s="1"/>
      <c r="B436" s="120"/>
      <c r="C436" s="4" t="s">
        <v>376</v>
      </c>
      <c r="D436" s="1" t="s">
        <v>64</v>
      </c>
      <c r="E436" s="1">
        <v>1.03</v>
      </c>
      <c r="F436" s="13">
        <f>F432*E436</f>
        <v>1826.19</v>
      </c>
      <c r="G436" s="13">
        <v>10.1</v>
      </c>
      <c r="H436" s="13">
        <f>F436*G436</f>
        <v>18444.519</v>
      </c>
      <c r="I436" s="13"/>
      <c r="J436" s="13"/>
      <c r="K436" s="13"/>
      <c r="L436" s="13"/>
      <c r="M436" s="13">
        <f>H436+J436+L436</f>
        <v>18444.519</v>
      </c>
    </row>
    <row r="437" spans="1:13" s="121" customFormat="1" ht="27">
      <c r="A437" s="28">
        <v>76</v>
      </c>
      <c r="B437" s="149" t="s">
        <v>98</v>
      </c>
      <c r="C437" s="43" t="s">
        <v>867</v>
      </c>
      <c r="D437" s="28" t="s">
        <v>64</v>
      </c>
      <c r="E437" s="28"/>
      <c r="F437" s="312">
        <f>F442</f>
        <v>1773</v>
      </c>
      <c r="G437" s="30"/>
      <c r="H437" s="30"/>
      <c r="I437" s="30"/>
      <c r="J437" s="30"/>
      <c r="K437" s="30"/>
      <c r="L437" s="30"/>
      <c r="M437" s="30"/>
    </row>
    <row r="438" spans="1:13" s="121" customFormat="1" ht="15" customHeight="1">
      <c r="A438" s="1"/>
      <c r="B438" s="120"/>
      <c r="C438" s="4" t="s">
        <v>133</v>
      </c>
      <c r="D438" s="1" t="s">
        <v>55</v>
      </c>
      <c r="E438" s="1">
        <v>0.188</v>
      </c>
      <c r="F438" s="13">
        <f>F437*E438</f>
        <v>333.324</v>
      </c>
      <c r="G438" s="13"/>
      <c r="H438" s="13"/>
      <c r="I438" s="13">
        <v>7.8</v>
      </c>
      <c r="J438" s="13">
        <f>F438*I438</f>
        <v>2599.9272</v>
      </c>
      <c r="K438" s="13"/>
      <c r="L438" s="13"/>
      <c r="M438" s="13">
        <f>H438+J438+L438</f>
        <v>2599.9272</v>
      </c>
    </row>
    <row r="439" spans="1:13" s="268" customFormat="1" ht="15.75" customHeight="1">
      <c r="A439" s="1"/>
      <c r="B439" s="120"/>
      <c r="C439" s="4" t="s">
        <v>352</v>
      </c>
      <c r="D439" s="1" t="s">
        <v>43</v>
      </c>
      <c r="E439" s="1">
        <v>0.0095</v>
      </c>
      <c r="F439" s="13">
        <f>F437*E439</f>
        <v>16.8435</v>
      </c>
      <c r="G439" s="13"/>
      <c r="H439" s="13"/>
      <c r="I439" s="13"/>
      <c r="J439" s="13"/>
      <c r="K439" s="13">
        <v>3.2</v>
      </c>
      <c r="L439" s="13">
        <f>F439*K439</f>
        <v>53.8992</v>
      </c>
      <c r="M439" s="13">
        <f>H439+J439+L439</f>
        <v>53.8992</v>
      </c>
    </row>
    <row r="440" spans="1:13" s="121" customFormat="1" ht="13.5">
      <c r="A440" s="1"/>
      <c r="B440" s="120"/>
      <c r="C440" s="4" t="s">
        <v>56</v>
      </c>
      <c r="D440" s="1"/>
      <c r="E440" s="1"/>
      <c r="F440" s="13">
        <f>E440*2353</f>
        <v>0</v>
      </c>
      <c r="G440" s="13"/>
      <c r="H440" s="13"/>
      <c r="I440" s="13"/>
      <c r="J440" s="13"/>
      <c r="K440" s="13"/>
      <c r="L440" s="13"/>
      <c r="M440" s="13"/>
    </row>
    <row r="441" spans="1:13" s="121" customFormat="1" ht="27">
      <c r="A441" s="249"/>
      <c r="B441" s="122"/>
      <c r="C441" s="123" t="s">
        <v>566</v>
      </c>
      <c r="D441" s="37" t="s">
        <v>65</v>
      </c>
      <c r="E441" s="37">
        <v>30</v>
      </c>
      <c r="F441" s="199">
        <f>F437*E441</f>
        <v>53190</v>
      </c>
      <c r="G441" s="199">
        <v>1.2</v>
      </c>
      <c r="H441" s="199">
        <f>F441*G441</f>
        <v>63828</v>
      </c>
      <c r="I441" s="199"/>
      <c r="J441" s="199"/>
      <c r="K441" s="199"/>
      <c r="L441" s="199"/>
      <c r="M441" s="199">
        <f>H441+J441+L441</f>
        <v>63828</v>
      </c>
    </row>
    <row r="442" spans="1:13" s="121" customFormat="1" ht="54">
      <c r="A442" s="1">
        <v>77</v>
      </c>
      <c r="B442" s="120" t="s">
        <v>550</v>
      </c>
      <c r="C442" s="43" t="s">
        <v>679</v>
      </c>
      <c r="D442" s="1" t="s">
        <v>64</v>
      </c>
      <c r="E442" s="1"/>
      <c r="F442" s="292">
        <v>1773</v>
      </c>
      <c r="G442" s="1"/>
      <c r="H442" s="2"/>
      <c r="I442" s="3"/>
      <c r="J442" s="2"/>
      <c r="K442" s="3"/>
      <c r="L442" s="2"/>
      <c r="M442" s="2"/>
    </row>
    <row r="443" spans="1:13" s="121" customFormat="1" ht="14.25" customHeight="1">
      <c r="A443" s="1"/>
      <c r="B443" s="120"/>
      <c r="C443" s="4" t="s">
        <v>54</v>
      </c>
      <c r="D443" s="1" t="s">
        <v>55</v>
      </c>
      <c r="E443" s="1">
        <v>0.755</v>
      </c>
      <c r="F443" s="2">
        <f>F442*E443</f>
        <v>1338.615</v>
      </c>
      <c r="G443" s="1"/>
      <c r="H443" s="2"/>
      <c r="I443" s="13">
        <v>6</v>
      </c>
      <c r="J443" s="2">
        <f>F443*I443</f>
        <v>8031.6900000000005</v>
      </c>
      <c r="K443" s="3"/>
      <c r="L443" s="2"/>
      <c r="M443" s="2">
        <f>H443+J443+L443</f>
        <v>8031.6900000000005</v>
      </c>
    </row>
    <row r="444" spans="1:13" s="121" customFormat="1" ht="13.5">
      <c r="A444" s="1"/>
      <c r="B444" s="120"/>
      <c r="C444" s="4" t="s">
        <v>62</v>
      </c>
      <c r="D444" s="1" t="s">
        <v>43</v>
      </c>
      <c r="E444" s="1">
        <v>0.0075</v>
      </c>
      <c r="F444" s="2">
        <f>F442*E444</f>
        <v>13.2975</v>
      </c>
      <c r="G444" s="1"/>
      <c r="H444" s="2"/>
      <c r="I444" s="3"/>
      <c r="J444" s="2"/>
      <c r="K444" s="3">
        <v>3.2</v>
      </c>
      <c r="L444" s="2">
        <f>F444*K444</f>
        <v>42.552</v>
      </c>
      <c r="M444" s="2">
        <f>H444+J444+L444</f>
        <v>42.552</v>
      </c>
    </row>
    <row r="445" spans="1:13" s="121" customFormat="1" ht="13.5">
      <c r="A445" s="1"/>
      <c r="B445" s="120"/>
      <c r="C445" s="4" t="s">
        <v>56</v>
      </c>
      <c r="D445" s="1"/>
      <c r="E445" s="1"/>
      <c r="F445" s="2">
        <f>E445*2353</f>
        <v>0</v>
      </c>
      <c r="G445" s="1"/>
      <c r="H445" s="2"/>
      <c r="I445" s="3"/>
      <c r="J445" s="2"/>
      <c r="K445" s="3"/>
      <c r="L445" s="2"/>
      <c r="M445" s="2"/>
    </row>
    <row r="446" spans="1:13" s="121" customFormat="1" ht="13.5">
      <c r="A446" s="1"/>
      <c r="B446" s="120"/>
      <c r="C446" s="4" t="s">
        <v>567</v>
      </c>
      <c r="D446" s="1" t="s">
        <v>64</v>
      </c>
      <c r="E446" s="1">
        <v>1.02</v>
      </c>
      <c r="F446" s="2">
        <f>F442*E446</f>
        <v>1808.46</v>
      </c>
      <c r="G446" s="89">
        <v>48</v>
      </c>
      <c r="H446" s="89">
        <f aca="true" t="shared" si="18" ref="H446:H451">F446*G446</f>
        <v>86806.08</v>
      </c>
      <c r="I446" s="89"/>
      <c r="J446" s="89"/>
      <c r="K446" s="89"/>
      <c r="L446" s="89"/>
      <c r="M446" s="89">
        <f aca="true" t="shared" si="19" ref="M446:M451">H446+J446+L446</f>
        <v>86806.08</v>
      </c>
    </row>
    <row r="447" spans="1:13" s="135" customFormat="1" ht="13.5">
      <c r="A447" s="1"/>
      <c r="B447" s="120"/>
      <c r="C447" s="4" t="s">
        <v>751</v>
      </c>
      <c r="D447" s="1" t="s">
        <v>115</v>
      </c>
      <c r="E447" s="1">
        <v>0.38</v>
      </c>
      <c r="F447" s="235">
        <f>F442*E447</f>
        <v>673.74</v>
      </c>
      <c r="G447" s="235">
        <v>1</v>
      </c>
      <c r="H447" s="235">
        <f t="shared" si="18"/>
        <v>673.74</v>
      </c>
      <c r="I447" s="235"/>
      <c r="J447" s="235"/>
      <c r="K447" s="235"/>
      <c r="L447" s="235"/>
      <c r="M447" s="235">
        <f t="shared" si="19"/>
        <v>673.74</v>
      </c>
    </row>
    <row r="448" spans="1:13" s="135" customFormat="1" ht="13.5">
      <c r="A448" s="1"/>
      <c r="B448" s="120"/>
      <c r="C448" s="4" t="s">
        <v>752</v>
      </c>
      <c r="D448" s="1" t="s">
        <v>115</v>
      </c>
      <c r="E448" s="1">
        <v>1</v>
      </c>
      <c r="F448" s="235">
        <f>F442*E448</f>
        <v>1773</v>
      </c>
      <c r="G448" s="235">
        <v>0.52</v>
      </c>
      <c r="H448" s="235">
        <f t="shared" si="18"/>
        <v>921.96</v>
      </c>
      <c r="I448" s="235"/>
      <c r="J448" s="235"/>
      <c r="K448" s="235"/>
      <c r="L448" s="235"/>
      <c r="M448" s="235">
        <f t="shared" si="19"/>
        <v>921.96</v>
      </c>
    </row>
    <row r="449" spans="1:13" s="121" customFormat="1" ht="13.5">
      <c r="A449" s="1"/>
      <c r="B449" s="120"/>
      <c r="C449" s="4" t="s">
        <v>551</v>
      </c>
      <c r="D449" s="1" t="s">
        <v>65</v>
      </c>
      <c r="E449" s="1">
        <v>0.5</v>
      </c>
      <c r="F449" s="2">
        <f>F442*E449</f>
        <v>886.5</v>
      </c>
      <c r="G449" s="89">
        <v>3</v>
      </c>
      <c r="H449" s="89">
        <f t="shared" si="18"/>
        <v>2659.5</v>
      </c>
      <c r="I449" s="89"/>
      <c r="J449" s="89"/>
      <c r="K449" s="89"/>
      <c r="L449" s="89"/>
      <c r="M449" s="89">
        <f t="shared" si="19"/>
        <v>2659.5</v>
      </c>
    </row>
    <row r="450" spans="1:13" s="121" customFormat="1" ht="13.5">
      <c r="A450" s="37"/>
      <c r="B450" s="122"/>
      <c r="C450" s="36" t="s">
        <v>57</v>
      </c>
      <c r="D450" s="37" t="s">
        <v>43</v>
      </c>
      <c r="E450" s="37">
        <v>0.18</v>
      </c>
      <c r="F450" s="199">
        <f>F442*E450</f>
        <v>319.14</v>
      </c>
      <c r="G450" s="209">
        <v>3.2</v>
      </c>
      <c r="H450" s="209">
        <f t="shared" si="18"/>
        <v>1021.248</v>
      </c>
      <c r="I450" s="209"/>
      <c r="J450" s="209"/>
      <c r="K450" s="209"/>
      <c r="L450" s="209"/>
      <c r="M450" s="209">
        <f t="shared" si="19"/>
        <v>1021.248</v>
      </c>
    </row>
    <row r="451" spans="1:13" s="121" customFormat="1" ht="27">
      <c r="A451" s="1">
        <v>78</v>
      </c>
      <c r="B451" s="120"/>
      <c r="C451" s="4" t="s">
        <v>753</v>
      </c>
      <c r="D451" s="1" t="s">
        <v>85</v>
      </c>
      <c r="E451" s="1"/>
      <c r="F451" s="292">
        <v>1137.4</v>
      </c>
      <c r="G451" s="237">
        <v>4.6</v>
      </c>
      <c r="H451" s="237">
        <f t="shared" si="18"/>
        <v>5232.04</v>
      </c>
      <c r="I451" s="237"/>
      <c r="J451" s="237"/>
      <c r="K451" s="237"/>
      <c r="L451" s="237"/>
      <c r="M451" s="237">
        <f t="shared" si="19"/>
        <v>5232.04</v>
      </c>
    </row>
    <row r="452" spans="1:13" s="332" customFormat="1" ht="13.5" customHeight="1">
      <c r="A452" s="76">
        <v>79</v>
      </c>
      <c r="B452" s="252" t="s">
        <v>568</v>
      </c>
      <c r="C452" s="114" t="s">
        <v>569</v>
      </c>
      <c r="D452" s="76" t="s">
        <v>64</v>
      </c>
      <c r="E452" s="76"/>
      <c r="F452" s="164">
        <f>F451*0.08</f>
        <v>90.992</v>
      </c>
      <c r="G452" s="204"/>
      <c r="H452" s="204"/>
      <c r="I452" s="204"/>
      <c r="J452" s="204"/>
      <c r="K452" s="204"/>
      <c r="L452" s="204"/>
      <c r="M452" s="204"/>
    </row>
    <row r="453" spans="1:13" s="332" customFormat="1" ht="13.5">
      <c r="A453" s="62"/>
      <c r="B453" s="171"/>
      <c r="C453" s="79" t="s">
        <v>54</v>
      </c>
      <c r="D453" s="62" t="s">
        <v>55</v>
      </c>
      <c r="E453" s="62">
        <v>0.118</v>
      </c>
      <c r="F453" s="89">
        <f>F452*E453</f>
        <v>10.737056</v>
      </c>
      <c r="G453" s="89"/>
      <c r="H453" s="89"/>
      <c r="I453" s="89">
        <v>7.8</v>
      </c>
      <c r="J453" s="89">
        <f>F453*I453</f>
        <v>83.7490368</v>
      </c>
      <c r="K453" s="89"/>
      <c r="L453" s="89"/>
      <c r="M453" s="89">
        <f>H453+J453+L453</f>
        <v>83.7490368</v>
      </c>
    </row>
    <row r="454" spans="1:13" s="332" customFormat="1" ht="13.5">
      <c r="A454" s="62"/>
      <c r="B454" s="171"/>
      <c r="C454" s="79" t="s">
        <v>56</v>
      </c>
      <c r="D454" s="62"/>
      <c r="E454" s="62"/>
      <c r="F454" s="89"/>
      <c r="G454" s="89"/>
      <c r="H454" s="89"/>
      <c r="I454" s="253"/>
      <c r="J454" s="89"/>
      <c r="K454" s="89"/>
      <c r="L454" s="89"/>
      <c r="M454" s="89"/>
    </row>
    <row r="455" spans="1:13" s="332" customFormat="1" ht="13.5">
      <c r="A455" s="62"/>
      <c r="B455" s="171"/>
      <c r="C455" s="63" t="s">
        <v>322</v>
      </c>
      <c r="D455" s="62" t="s">
        <v>65</v>
      </c>
      <c r="E455" s="62">
        <v>0.208</v>
      </c>
      <c r="F455" s="89">
        <f>F452*E455</f>
        <v>18.926336</v>
      </c>
      <c r="G455" s="89">
        <v>5.2</v>
      </c>
      <c r="H455" s="89">
        <f>F455*G455</f>
        <v>98.4169472</v>
      </c>
      <c r="I455" s="89"/>
      <c r="J455" s="89"/>
      <c r="K455" s="89"/>
      <c r="L455" s="89"/>
      <c r="M455" s="89">
        <f>H455+J455+L455</f>
        <v>98.4169472</v>
      </c>
    </row>
    <row r="456" spans="1:13" s="332" customFormat="1" ht="13.5">
      <c r="A456" s="67"/>
      <c r="B456" s="172"/>
      <c r="C456" s="68" t="s">
        <v>3</v>
      </c>
      <c r="D456" s="69" t="s">
        <v>43</v>
      </c>
      <c r="E456" s="67">
        <v>0.0012</v>
      </c>
      <c r="F456" s="209">
        <f>F452*E456</f>
        <v>0.10919039999999999</v>
      </c>
      <c r="G456" s="209">
        <v>3.2</v>
      </c>
      <c r="H456" s="209">
        <f>F456*G456</f>
        <v>0.34940928</v>
      </c>
      <c r="I456" s="209"/>
      <c r="J456" s="209"/>
      <c r="K456" s="209"/>
      <c r="L456" s="209"/>
      <c r="M456" s="209">
        <f>H456+J456+L456</f>
        <v>0.34940928</v>
      </c>
    </row>
    <row r="457" spans="1:13" s="332" customFormat="1" ht="15.75" customHeight="1">
      <c r="A457" s="76">
        <v>80</v>
      </c>
      <c r="B457" s="141" t="s">
        <v>317</v>
      </c>
      <c r="C457" s="114" t="s">
        <v>687</v>
      </c>
      <c r="D457" s="76" t="s">
        <v>115</v>
      </c>
      <c r="E457" s="76"/>
      <c r="F457" s="168">
        <v>25.5</v>
      </c>
      <c r="G457" s="130"/>
      <c r="H457" s="130"/>
      <c r="I457" s="130"/>
      <c r="J457" s="130"/>
      <c r="K457" s="130"/>
      <c r="L457" s="130"/>
      <c r="M457" s="130"/>
    </row>
    <row r="458" spans="1:13" s="332" customFormat="1" ht="13.5" customHeight="1">
      <c r="A458" s="62"/>
      <c r="B458" s="142"/>
      <c r="C458" s="79" t="s">
        <v>54</v>
      </c>
      <c r="D458" s="1" t="s">
        <v>366</v>
      </c>
      <c r="E458" s="62">
        <v>0.15</v>
      </c>
      <c r="F458" s="131">
        <f>F457*E458</f>
        <v>3.8249999999999997</v>
      </c>
      <c r="G458" s="131"/>
      <c r="H458" s="131"/>
      <c r="I458" s="131">
        <v>7.8</v>
      </c>
      <c r="J458" s="131">
        <f>F458*I458</f>
        <v>29.834999999999997</v>
      </c>
      <c r="K458" s="131"/>
      <c r="L458" s="131"/>
      <c r="M458" s="131">
        <f>H458+J458+L458</f>
        <v>29.834999999999997</v>
      </c>
    </row>
    <row r="459" spans="1:13" s="332" customFormat="1" ht="13.5" customHeight="1">
      <c r="A459" s="62"/>
      <c r="B459" s="142"/>
      <c r="C459" s="79" t="s">
        <v>62</v>
      </c>
      <c r="D459" s="65" t="s">
        <v>43</v>
      </c>
      <c r="E459" s="62">
        <v>0.002</v>
      </c>
      <c r="F459" s="131">
        <f>F457*E459</f>
        <v>0.051000000000000004</v>
      </c>
      <c r="G459" s="131"/>
      <c r="H459" s="131"/>
      <c r="I459" s="131"/>
      <c r="J459" s="131"/>
      <c r="K459" s="131">
        <v>3.2</v>
      </c>
      <c r="L459" s="131">
        <f>F459*K459</f>
        <v>0.1632</v>
      </c>
      <c r="M459" s="131">
        <f>H459+J459+L459</f>
        <v>0.1632</v>
      </c>
    </row>
    <row r="460" spans="1:13" s="332" customFormat="1" ht="13.5" customHeight="1">
      <c r="A460" s="62"/>
      <c r="B460" s="142"/>
      <c r="C460" s="79" t="s">
        <v>56</v>
      </c>
      <c r="D460" s="62"/>
      <c r="E460" s="62"/>
      <c r="F460" s="131"/>
      <c r="G460" s="131"/>
      <c r="H460" s="131"/>
      <c r="I460" s="131"/>
      <c r="J460" s="131"/>
      <c r="K460" s="131"/>
      <c r="L460" s="131"/>
      <c r="M460" s="131"/>
    </row>
    <row r="461" spans="1:13" s="332" customFormat="1" ht="13.5" customHeight="1">
      <c r="A461" s="62"/>
      <c r="B461" s="142"/>
      <c r="C461" s="79" t="s">
        <v>750</v>
      </c>
      <c r="D461" s="62" t="s">
        <v>115</v>
      </c>
      <c r="E461" s="62">
        <v>1.01</v>
      </c>
      <c r="F461" s="131">
        <f>F457*E461</f>
        <v>25.755</v>
      </c>
      <c r="G461" s="131">
        <v>7.8</v>
      </c>
      <c r="H461" s="131">
        <f>F461*G461</f>
        <v>200.88899999999998</v>
      </c>
      <c r="I461" s="131"/>
      <c r="J461" s="131"/>
      <c r="K461" s="131"/>
      <c r="L461" s="131"/>
      <c r="M461" s="131">
        <f>H461+J461+L461</f>
        <v>200.88899999999998</v>
      </c>
    </row>
    <row r="462" spans="1:13" s="332" customFormat="1" ht="13.5" customHeight="1">
      <c r="A462" s="62"/>
      <c r="B462" s="143"/>
      <c r="C462" s="79" t="s">
        <v>57</v>
      </c>
      <c r="D462" s="65" t="s">
        <v>43</v>
      </c>
      <c r="E462" s="62">
        <v>0.002</v>
      </c>
      <c r="F462" s="131">
        <f>F457*E462</f>
        <v>0.051000000000000004</v>
      </c>
      <c r="G462" s="131">
        <v>3.2</v>
      </c>
      <c r="H462" s="131">
        <f>F462*G462</f>
        <v>0.1632</v>
      </c>
      <c r="I462" s="131"/>
      <c r="J462" s="131"/>
      <c r="K462" s="131"/>
      <c r="L462" s="131"/>
      <c r="M462" s="131">
        <f>H462+J462+L462</f>
        <v>0.1632</v>
      </c>
    </row>
    <row r="463" spans="1:13" ht="13.5">
      <c r="A463" s="52"/>
      <c r="B463" s="325"/>
      <c r="C463" s="277" t="s">
        <v>24</v>
      </c>
      <c r="D463" s="52"/>
      <c r="E463" s="52"/>
      <c r="F463" s="161"/>
      <c r="G463" s="161"/>
      <c r="H463" s="161">
        <f>SUM(H395:H462)</f>
        <v>199074.83312047998</v>
      </c>
      <c r="I463" s="161"/>
      <c r="J463" s="161">
        <f>SUM(J395:J462)</f>
        <v>19559.6224128</v>
      </c>
      <c r="K463" s="161"/>
      <c r="L463" s="161">
        <f>SUM(L395:L462)</f>
        <v>469.02998400000007</v>
      </c>
      <c r="M463" s="161">
        <f>SUM(M395:M462)</f>
        <v>219103.48551728</v>
      </c>
    </row>
    <row r="464" spans="1:13" ht="16.5">
      <c r="A464" s="47"/>
      <c r="B464" s="126"/>
      <c r="C464" s="333" t="s">
        <v>370</v>
      </c>
      <c r="D464" s="47"/>
      <c r="E464" s="47"/>
      <c r="F464" s="108"/>
      <c r="G464" s="108"/>
      <c r="H464" s="108"/>
      <c r="I464" s="108"/>
      <c r="J464" s="108"/>
      <c r="K464" s="108"/>
      <c r="L464" s="108"/>
      <c r="M464" s="108"/>
    </row>
    <row r="465" spans="1:13" ht="18" customHeight="1">
      <c r="A465" s="1">
        <v>81</v>
      </c>
      <c r="B465" s="20" t="s">
        <v>300</v>
      </c>
      <c r="C465" s="4" t="s">
        <v>314</v>
      </c>
      <c r="D465" s="1" t="s">
        <v>64</v>
      </c>
      <c r="E465" s="1"/>
      <c r="F465" s="165">
        <v>580</v>
      </c>
      <c r="G465" s="13"/>
      <c r="H465" s="13"/>
      <c r="I465" s="13"/>
      <c r="J465" s="13"/>
      <c r="K465" s="13"/>
      <c r="L465" s="13"/>
      <c r="M465" s="13"/>
    </row>
    <row r="466" spans="1:13" ht="13.5">
      <c r="A466" s="1"/>
      <c r="B466" s="120"/>
      <c r="C466" s="19" t="s">
        <v>54</v>
      </c>
      <c r="D466" s="1" t="s">
        <v>366</v>
      </c>
      <c r="E466" s="1">
        <f>0.64*1.16</f>
        <v>0.7424</v>
      </c>
      <c r="F466" s="13">
        <f>F465*E466</f>
        <v>430.592</v>
      </c>
      <c r="G466" s="13"/>
      <c r="H466" s="13"/>
      <c r="I466" s="13">
        <v>7.8</v>
      </c>
      <c r="J466" s="13">
        <f>F466*I466</f>
        <v>3358.6175999999996</v>
      </c>
      <c r="K466" s="13"/>
      <c r="L466" s="13"/>
      <c r="M466" s="13">
        <f>H466+J466+L466</f>
        <v>3358.6175999999996</v>
      </c>
    </row>
    <row r="467" spans="1:13" ht="27">
      <c r="A467" s="1"/>
      <c r="B467" s="120"/>
      <c r="C467" s="19" t="s">
        <v>95</v>
      </c>
      <c r="D467" s="14" t="s">
        <v>365</v>
      </c>
      <c r="E467" s="1">
        <f>0.041*1.15</f>
        <v>0.04715</v>
      </c>
      <c r="F467" s="13">
        <f>F465*E467</f>
        <v>27.346999999999998</v>
      </c>
      <c r="G467" s="13"/>
      <c r="H467" s="13"/>
      <c r="I467" s="13"/>
      <c r="J467" s="13"/>
      <c r="K467" s="13">
        <v>8.05</v>
      </c>
      <c r="L467" s="13">
        <f>F467*K467</f>
        <v>220.14335</v>
      </c>
      <c r="M467" s="13">
        <f>H467+J467+L467</f>
        <v>220.14335</v>
      </c>
    </row>
    <row r="468" spans="1:13" ht="13.5">
      <c r="A468" s="1"/>
      <c r="B468" s="120"/>
      <c r="C468" s="19" t="s">
        <v>62</v>
      </c>
      <c r="D468" s="1" t="s">
        <v>43</v>
      </c>
      <c r="E468" s="1">
        <v>0.021</v>
      </c>
      <c r="F468" s="13">
        <f>F465*E468</f>
        <v>12.180000000000001</v>
      </c>
      <c r="G468" s="13"/>
      <c r="H468" s="13"/>
      <c r="I468" s="13"/>
      <c r="J468" s="13"/>
      <c r="K468" s="13">
        <v>3.2</v>
      </c>
      <c r="L468" s="13">
        <f>F468*K468</f>
        <v>38.976000000000006</v>
      </c>
      <c r="M468" s="13">
        <f>H468+J468+L468</f>
        <v>38.976000000000006</v>
      </c>
    </row>
    <row r="469" spans="1:13" ht="13.5">
      <c r="A469" s="1"/>
      <c r="B469" s="120"/>
      <c r="C469" s="19" t="s">
        <v>56</v>
      </c>
      <c r="D469" s="1"/>
      <c r="E469" s="1"/>
      <c r="F469" s="13">
        <f>F465*E469</f>
        <v>0</v>
      </c>
      <c r="G469" s="13"/>
      <c r="H469" s="13"/>
      <c r="I469" s="13"/>
      <c r="J469" s="13"/>
      <c r="K469" s="13"/>
      <c r="L469" s="13"/>
      <c r="M469" s="13"/>
    </row>
    <row r="470" spans="1:13" ht="13.5">
      <c r="A470" s="1"/>
      <c r="B470" s="120"/>
      <c r="C470" s="19" t="s">
        <v>96</v>
      </c>
      <c r="D470" s="1" t="s">
        <v>66</v>
      </c>
      <c r="E470" s="1">
        <f>0.0178*1.05</f>
        <v>0.018690000000000002</v>
      </c>
      <c r="F470" s="13">
        <f>F465*E470</f>
        <v>10.840200000000001</v>
      </c>
      <c r="G470" s="13">
        <v>92</v>
      </c>
      <c r="H470" s="13">
        <f>F470*G470</f>
        <v>997.2984000000001</v>
      </c>
      <c r="I470" s="13"/>
      <c r="J470" s="13"/>
      <c r="K470" s="13"/>
      <c r="L470" s="13"/>
      <c r="M470" s="13">
        <f>H470+J470+L470</f>
        <v>997.2984000000001</v>
      </c>
    </row>
    <row r="471" spans="1:13" ht="13.5">
      <c r="A471" s="1"/>
      <c r="B471" s="120"/>
      <c r="C471" s="19" t="s">
        <v>97</v>
      </c>
      <c r="D471" s="1" t="s">
        <v>64</v>
      </c>
      <c r="E471" s="1">
        <v>0.0528</v>
      </c>
      <c r="F471" s="13">
        <f>F465*E471</f>
        <v>30.624</v>
      </c>
      <c r="G471" s="13">
        <v>2.7</v>
      </c>
      <c r="H471" s="13">
        <f>F471*G471</f>
        <v>82.6848</v>
      </c>
      <c r="I471" s="13"/>
      <c r="J471" s="13"/>
      <c r="K471" s="13"/>
      <c r="L471" s="13"/>
      <c r="M471" s="13">
        <f>H471+J471+L471</f>
        <v>82.6848</v>
      </c>
    </row>
    <row r="472" spans="1:13" ht="13.5">
      <c r="A472" s="1"/>
      <c r="B472" s="120"/>
      <c r="C472" s="19" t="s">
        <v>57</v>
      </c>
      <c r="D472" s="1" t="s">
        <v>43</v>
      </c>
      <c r="E472" s="1">
        <v>0.003</v>
      </c>
      <c r="F472" s="13">
        <f>F465*E472</f>
        <v>1.74</v>
      </c>
      <c r="G472" s="13">
        <v>3.2</v>
      </c>
      <c r="H472" s="13">
        <f>F472*G472</f>
        <v>5.5680000000000005</v>
      </c>
      <c r="I472" s="13"/>
      <c r="J472" s="13"/>
      <c r="K472" s="13"/>
      <c r="L472" s="13"/>
      <c r="M472" s="13">
        <f>H472+J472+L472</f>
        <v>5.5680000000000005</v>
      </c>
    </row>
    <row r="473" spans="1:13" ht="27">
      <c r="A473" s="28">
        <v>82</v>
      </c>
      <c r="B473" s="149" t="s">
        <v>195</v>
      </c>
      <c r="C473" s="43" t="s">
        <v>748</v>
      </c>
      <c r="D473" s="28" t="s">
        <v>64</v>
      </c>
      <c r="E473" s="28"/>
      <c r="F473" s="312">
        <v>117.6</v>
      </c>
      <c r="G473" s="30"/>
      <c r="H473" s="30"/>
      <c r="I473" s="30"/>
      <c r="J473" s="30"/>
      <c r="K473" s="30"/>
      <c r="L473" s="30"/>
      <c r="M473" s="30"/>
    </row>
    <row r="474" spans="1:13" ht="13.5">
      <c r="A474" s="1"/>
      <c r="B474" s="120"/>
      <c r="C474" s="19" t="s">
        <v>54</v>
      </c>
      <c r="D474" s="1" t="s">
        <v>366</v>
      </c>
      <c r="E474" s="1">
        <v>1.79</v>
      </c>
      <c r="F474" s="13">
        <f>F473*E474</f>
        <v>210.504</v>
      </c>
      <c r="G474" s="13"/>
      <c r="H474" s="13"/>
      <c r="I474" s="13">
        <v>7.8</v>
      </c>
      <c r="J474" s="13">
        <f>F474*I474</f>
        <v>1641.9312</v>
      </c>
      <c r="K474" s="13"/>
      <c r="L474" s="13"/>
      <c r="M474" s="13">
        <f>H474+J474+L474</f>
        <v>1641.9312</v>
      </c>
    </row>
    <row r="475" spans="1:13" ht="13.5">
      <c r="A475" s="1"/>
      <c r="B475" s="120"/>
      <c r="C475" s="19" t="s">
        <v>62</v>
      </c>
      <c r="D475" s="1" t="s">
        <v>43</v>
      </c>
      <c r="E475" s="1">
        <v>0.076</v>
      </c>
      <c r="F475" s="13">
        <f>F473*E475</f>
        <v>8.9376</v>
      </c>
      <c r="G475" s="13"/>
      <c r="H475" s="13"/>
      <c r="I475" s="13"/>
      <c r="J475" s="13"/>
      <c r="K475" s="13">
        <v>3.2</v>
      </c>
      <c r="L475" s="13">
        <f>F475*K475</f>
        <v>28.60032</v>
      </c>
      <c r="M475" s="13">
        <f>H475+J475+L475</f>
        <v>28.60032</v>
      </c>
    </row>
    <row r="476" spans="1:13" ht="13.5">
      <c r="A476" s="1"/>
      <c r="B476" s="120"/>
      <c r="C476" s="19" t="s">
        <v>56</v>
      </c>
      <c r="D476" s="1"/>
      <c r="E476" s="1"/>
      <c r="F476" s="13">
        <f>F474*E476</f>
        <v>0</v>
      </c>
      <c r="G476" s="13"/>
      <c r="H476" s="13"/>
      <c r="I476" s="13"/>
      <c r="J476" s="13"/>
      <c r="K476" s="13"/>
      <c r="L476" s="13"/>
      <c r="M476" s="13"/>
    </row>
    <row r="477" spans="1:13" ht="13.5">
      <c r="A477" s="1"/>
      <c r="B477" s="120"/>
      <c r="C477" s="19" t="s">
        <v>96</v>
      </c>
      <c r="D477" s="1" t="s">
        <v>66</v>
      </c>
      <c r="E477" s="1">
        <v>0.044</v>
      </c>
      <c r="F477" s="13">
        <f>F473*E477</f>
        <v>5.1743999999999994</v>
      </c>
      <c r="G477" s="13">
        <v>92</v>
      </c>
      <c r="H477" s="13">
        <f>F477*G477</f>
        <v>476.04479999999995</v>
      </c>
      <c r="I477" s="13"/>
      <c r="J477" s="13"/>
      <c r="K477" s="13"/>
      <c r="L477" s="13"/>
      <c r="M477" s="13">
        <f>H477+J477+L477</f>
        <v>476.04479999999995</v>
      </c>
    </row>
    <row r="478" spans="1:13" ht="54">
      <c r="A478" s="28">
        <v>83</v>
      </c>
      <c r="B478" s="149" t="s">
        <v>578</v>
      </c>
      <c r="C478" s="43" t="s">
        <v>746</v>
      </c>
      <c r="D478" s="28" t="s">
        <v>64</v>
      </c>
      <c r="E478" s="28"/>
      <c r="F478" s="312">
        <f>3703.79+76.1+117.6</f>
        <v>3897.49</v>
      </c>
      <c r="G478" s="30"/>
      <c r="H478" s="30"/>
      <c r="I478" s="30"/>
      <c r="J478" s="30"/>
      <c r="K478" s="30"/>
      <c r="L478" s="30"/>
      <c r="M478" s="30"/>
    </row>
    <row r="479" spans="1:13" ht="13.5">
      <c r="A479" s="1"/>
      <c r="B479" s="120"/>
      <c r="C479" s="4" t="s">
        <v>54</v>
      </c>
      <c r="D479" s="1" t="s">
        <v>366</v>
      </c>
      <c r="E479" s="1">
        <v>0.41</v>
      </c>
      <c r="F479" s="13">
        <f>F478*E479</f>
        <v>1597.9708999999998</v>
      </c>
      <c r="G479" s="13"/>
      <c r="H479" s="13"/>
      <c r="I479" s="13">
        <v>7.8</v>
      </c>
      <c r="J479" s="13">
        <f>F479*I479</f>
        <v>12464.173019999998</v>
      </c>
      <c r="K479" s="13"/>
      <c r="L479" s="13"/>
      <c r="M479" s="13">
        <f>H479+J479+L479</f>
        <v>12464.173019999998</v>
      </c>
    </row>
    <row r="480" spans="1:13" ht="13.5">
      <c r="A480" s="1"/>
      <c r="B480" s="120"/>
      <c r="C480" s="4" t="s">
        <v>62</v>
      </c>
      <c r="D480" s="1" t="s">
        <v>43</v>
      </c>
      <c r="E480" s="1">
        <v>0.009</v>
      </c>
      <c r="F480" s="13">
        <f>F478*E480</f>
        <v>35.07740999999999</v>
      </c>
      <c r="G480" s="13"/>
      <c r="H480" s="13"/>
      <c r="I480" s="13"/>
      <c r="J480" s="13"/>
      <c r="K480" s="13">
        <v>3.2</v>
      </c>
      <c r="L480" s="13">
        <f>F480*K480</f>
        <v>112.24771199999998</v>
      </c>
      <c r="M480" s="13">
        <f>H480+J480+L480</f>
        <v>112.24771199999998</v>
      </c>
    </row>
    <row r="481" spans="1:13" ht="13.5">
      <c r="A481" s="1"/>
      <c r="B481" s="120"/>
      <c r="C481" s="4" t="s">
        <v>56</v>
      </c>
      <c r="D481" s="1"/>
      <c r="E481" s="1"/>
      <c r="F481" s="13">
        <f>F478*E481</f>
        <v>0</v>
      </c>
      <c r="G481" s="13"/>
      <c r="H481" s="13"/>
      <c r="I481" s="13"/>
      <c r="J481" s="13"/>
      <c r="K481" s="13"/>
      <c r="L481" s="13"/>
      <c r="M481" s="13"/>
    </row>
    <row r="482" spans="1:13" ht="13.5">
      <c r="A482" s="1"/>
      <c r="B482" s="120"/>
      <c r="C482" s="4" t="s">
        <v>100</v>
      </c>
      <c r="D482" s="1" t="s">
        <v>65</v>
      </c>
      <c r="E482" s="1">
        <v>0.63</v>
      </c>
      <c r="F482" s="13">
        <f>F478*E482</f>
        <v>2455.4186999999997</v>
      </c>
      <c r="G482" s="13">
        <v>3.3</v>
      </c>
      <c r="H482" s="13">
        <f>F482*G482</f>
        <v>8102.881709999999</v>
      </c>
      <c r="I482" s="13"/>
      <c r="J482" s="13"/>
      <c r="K482" s="13"/>
      <c r="L482" s="13"/>
      <c r="M482" s="13">
        <f>H482+J482+L482</f>
        <v>8102.881709999999</v>
      </c>
    </row>
    <row r="483" spans="1:13" ht="13.5">
      <c r="A483" s="1"/>
      <c r="B483" s="120"/>
      <c r="C483" s="4" t="s">
        <v>101</v>
      </c>
      <c r="D483" s="1" t="s">
        <v>65</v>
      </c>
      <c r="E483" s="1">
        <v>0.51</v>
      </c>
      <c r="F483" s="13">
        <f>F478*E483</f>
        <v>1987.7198999999998</v>
      </c>
      <c r="G483" s="13">
        <v>0.5</v>
      </c>
      <c r="H483" s="13">
        <f>F483*G483</f>
        <v>993.8599499999999</v>
      </c>
      <c r="I483" s="13"/>
      <c r="J483" s="13"/>
      <c r="K483" s="13"/>
      <c r="L483" s="13"/>
      <c r="M483" s="13">
        <f>H483+J483+L483</f>
        <v>993.8599499999999</v>
      </c>
    </row>
    <row r="484" spans="1:13" ht="13.5">
      <c r="A484" s="1"/>
      <c r="B484" s="120"/>
      <c r="C484" s="4" t="s">
        <v>57</v>
      </c>
      <c r="D484" s="1" t="s">
        <v>43</v>
      </c>
      <c r="E484" s="1">
        <v>0.007</v>
      </c>
      <c r="F484" s="13">
        <f>F478*E484</f>
        <v>27.282429999999998</v>
      </c>
      <c r="G484" s="13">
        <v>3.2</v>
      </c>
      <c r="H484" s="13">
        <f>F484*G484</f>
        <v>87.303776</v>
      </c>
      <c r="I484" s="13"/>
      <c r="J484" s="13"/>
      <c r="K484" s="13"/>
      <c r="L484" s="13"/>
      <c r="M484" s="13">
        <f>H484+J484+L484</f>
        <v>87.303776</v>
      </c>
    </row>
    <row r="485" spans="1:13" s="121" customFormat="1" ht="27">
      <c r="A485" s="28">
        <v>84</v>
      </c>
      <c r="B485" s="149" t="s">
        <v>92</v>
      </c>
      <c r="C485" s="43" t="s">
        <v>579</v>
      </c>
      <c r="D485" s="28" t="s">
        <v>64</v>
      </c>
      <c r="E485" s="28"/>
      <c r="F485" s="312">
        <v>690.38</v>
      </c>
      <c r="G485" s="30"/>
      <c r="H485" s="30"/>
      <c r="I485" s="30"/>
      <c r="J485" s="30"/>
      <c r="K485" s="30"/>
      <c r="L485" s="30"/>
      <c r="M485" s="30"/>
    </row>
    <row r="486" spans="1:13" s="121" customFormat="1" ht="15" customHeight="1">
      <c r="A486" s="1"/>
      <c r="B486" s="120"/>
      <c r="C486" s="4" t="s">
        <v>54</v>
      </c>
      <c r="D486" s="1" t="s">
        <v>366</v>
      </c>
      <c r="E486" s="1">
        <v>1.7</v>
      </c>
      <c r="F486" s="13">
        <f>F485*E486</f>
        <v>1173.646</v>
      </c>
      <c r="G486" s="13"/>
      <c r="H486" s="13"/>
      <c r="I486" s="13">
        <v>7.8</v>
      </c>
      <c r="J486" s="13">
        <f>F486*I486</f>
        <v>9154.4388</v>
      </c>
      <c r="K486" s="13"/>
      <c r="L486" s="13"/>
      <c r="M486" s="13">
        <f>H486+J486+L486</f>
        <v>9154.4388</v>
      </c>
    </row>
    <row r="487" spans="1:13" s="121" customFormat="1" ht="13.5">
      <c r="A487" s="1"/>
      <c r="B487" s="120"/>
      <c r="C487" s="4" t="s">
        <v>62</v>
      </c>
      <c r="D487" s="1" t="s">
        <v>43</v>
      </c>
      <c r="E487" s="1">
        <v>0.02</v>
      </c>
      <c r="F487" s="13">
        <f>F485*E487</f>
        <v>13.8076</v>
      </c>
      <c r="G487" s="13"/>
      <c r="H487" s="13"/>
      <c r="I487" s="13"/>
      <c r="J487" s="13"/>
      <c r="K487" s="13">
        <v>3.2</v>
      </c>
      <c r="L487" s="13">
        <f>F487*K487</f>
        <v>44.18432000000001</v>
      </c>
      <c r="M487" s="13">
        <f>H487+J487+L487</f>
        <v>44.18432000000001</v>
      </c>
    </row>
    <row r="488" spans="1:13" s="121" customFormat="1" ht="13.5">
      <c r="A488" s="1"/>
      <c r="B488" s="120"/>
      <c r="C488" s="4" t="s">
        <v>56</v>
      </c>
      <c r="D488" s="1"/>
      <c r="E488" s="1"/>
      <c r="F488" s="13">
        <f>E488*2353</f>
        <v>0</v>
      </c>
      <c r="G488" s="13"/>
      <c r="H488" s="13"/>
      <c r="I488" s="13"/>
      <c r="J488" s="13"/>
      <c r="K488" s="13"/>
      <c r="L488" s="13"/>
      <c r="M488" s="13"/>
    </row>
    <row r="489" spans="1:13" s="121" customFormat="1" ht="13.5">
      <c r="A489" s="1"/>
      <c r="B489" s="120"/>
      <c r="C489" s="4" t="s">
        <v>96</v>
      </c>
      <c r="D489" s="1" t="s">
        <v>66</v>
      </c>
      <c r="E489" s="1">
        <v>0.015</v>
      </c>
      <c r="F489" s="13">
        <f>F485*E489</f>
        <v>10.355699999999999</v>
      </c>
      <c r="G489" s="13">
        <v>92</v>
      </c>
      <c r="H489" s="13">
        <f>F489*G489</f>
        <v>952.7243999999998</v>
      </c>
      <c r="I489" s="13"/>
      <c r="J489" s="13"/>
      <c r="K489" s="13"/>
      <c r="L489" s="13"/>
      <c r="M489" s="13">
        <f>H489+J489+L489</f>
        <v>952.7243999999998</v>
      </c>
    </row>
    <row r="490" spans="1:13" s="121" customFormat="1" ht="13.5">
      <c r="A490" s="1"/>
      <c r="B490" s="120"/>
      <c r="C490" s="4" t="s">
        <v>200</v>
      </c>
      <c r="D490" s="1" t="s">
        <v>64</v>
      </c>
      <c r="E490" s="1">
        <v>1</v>
      </c>
      <c r="F490" s="13">
        <f>F485*E490</f>
        <v>690.38</v>
      </c>
      <c r="G490" s="13">
        <v>15</v>
      </c>
      <c r="H490" s="13">
        <f>F490*G490</f>
        <v>10355.7</v>
      </c>
      <c r="I490" s="13"/>
      <c r="J490" s="13"/>
      <c r="K490" s="13"/>
      <c r="L490" s="13"/>
      <c r="M490" s="13">
        <f>H490+J490+L490</f>
        <v>10355.7</v>
      </c>
    </row>
    <row r="491" spans="1:13" s="121" customFormat="1" ht="13.5">
      <c r="A491" s="1"/>
      <c r="B491" s="120"/>
      <c r="C491" s="4" t="s">
        <v>57</v>
      </c>
      <c r="D491" s="1" t="s">
        <v>43</v>
      </c>
      <c r="E491" s="1">
        <v>0.007</v>
      </c>
      <c r="F491" s="13">
        <f>F485*E491</f>
        <v>4.83266</v>
      </c>
      <c r="G491" s="13">
        <v>3.2</v>
      </c>
      <c r="H491" s="13">
        <f>F491*G491</f>
        <v>15.464512</v>
      </c>
      <c r="I491" s="13"/>
      <c r="J491" s="13"/>
      <c r="K491" s="13"/>
      <c r="L491" s="13"/>
      <c r="M491" s="13">
        <f>H491+J491+L491</f>
        <v>15.464512</v>
      </c>
    </row>
    <row r="492" spans="1:13" s="135" customFormat="1" ht="40.5">
      <c r="A492" s="28">
        <v>85</v>
      </c>
      <c r="B492" s="149" t="s">
        <v>355</v>
      </c>
      <c r="C492" s="86" t="s">
        <v>682</v>
      </c>
      <c r="D492" s="28" t="s">
        <v>64</v>
      </c>
      <c r="E492" s="28"/>
      <c r="F492" s="312">
        <v>600</v>
      </c>
      <c r="G492" s="30"/>
      <c r="H492" s="30"/>
      <c r="I492" s="30"/>
      <c r="J492" s="30"/>
      <c r="K492" s="30"/>
      <c r="L492" s="30"/>
      <c r="M492" s="30"/>
    </row>
    <row r="493" spans="1:13" s="135" customFormat="1" ht="16.5" customHeight="1">
      <c r="A493" s="128"/>
      <c r="B493" s="120"/>
      <c r="C493" s="19" t="s">
        <v>54</v>
      </c>
      <c r="D493" s="1" t="s">
        <v>366</v>
      </c>
      <c r="E493" s="1">
        <v>0.411</v>
      </c>
      <c r="F493" s="13">
        <f>F492*E493</f>
        <v>246.6</v>
      </c>
      <c r="G493" s="13"/>
      <c r="H493" s="13"/>
      <c r="I493" s="13">
        <v>6</v>
      </c>
      <c r="J493" s="13">
        <f>F493*I493</f>
        <v>1479.6</v>
      </c>
      <c r="K493" s="13"/>
      <c r="L493" s="13"/>
      <c r="M493" s="13">
        <f>H493+J493+L493</f>
        <v>1479.6</v>
      </c>
    </row>
    <row r="494" spans="1:13" s="135" customFormat="1" ht="18.75" customHeight="1">
      <c r="A494" s="128"/>
      <c r="B494" s="120"/>
      <c r="C494" s="19" t="s">
        <v>99</v>
      </c>
      <c r="D494" s="1" t="s">
        <v>43</v>
      </c>
      <c r="E494" s="1">
        <v>0.0039</v>
      </c>
      <c r="F494" s="13">
        <f>F492*E494</f>
        <v>2.34</v>
      </c>
      <c r="G494" s="13"/>
      <c r="H494" s="13"/>
      <c r="I494" s="13"/>
      <c r="J494" s="13"/>
      <c r="K494" s="13">
        <v>3.2</v>
      </c>
      <c r="L494" s="13">
        <f>F494*K494</f>
        <v>7.4879999999999995</v>
      </c>
      <c r="M494" s="13">
        <f>H494+J494+L494</f>
        <v>7.4879999999999995</v>
      </c>
    </row>
    <row r="495" spans="1:13" s="135" customFormat="1" ht="11.25" customHeight="1">
      <c r="A495" s="128"/>
      <c r="B495" s="120"/>
      <c r="C495" s="19" t="s">
        <v>56</v>
      </c>
      <c r="D495" s="1"/>
      <c r="E495" s="1"/>
      <c r="F495" s="13">
        <f>E495*2353</f>
        <v>0</v>
      </c>
      <c r="G495" s="13"/>
      <c r="H495" s="13"/>
      <c r="I495" s="13"/>
      <c r="J495" s="13"/>
      <c r="K495" s="13"/>
      <c r="L495" s="13"/>
      <c r="M495" s="13"/>
    </row>
    <row r="496" spans="1:13" s="135" customFormat="1" ht="15.75" customHeight="1">
      <c r="A496" s="128"/>
      <c r="B496" s="120"/>
      <c r="C496" s="19" t="s">
        <v>666</v>
      </c>
      <c r="D496" s="1" t="s">
        <v>64</v>
      </c>
      <c r="E496" s="1">
        <v>1.03</v>
      </c>
      <c r="F496" s="13">
        <f>F492*E496</f>
        <v>618</v>
      </c>
      <c r="G496" s="13">
        <v>8.5</v>
      </c>
      <c r="H496" s="13">
        <f>F496*G496</f>
        <v>5253</v>
      </c>
      <c r="I496" s="13"/>
      <c r="J496" s="13"/>
      <c r="K496" s="13"/>
      <c r="L496" s="13"/>
      <c r="M496" s="13">
        <f>H496+J496+L496</f>
        <v>5253</v>
      </c>
    </row>
    <row r="497" spans="1:13" s="332" customFormat="1" ht="40.5">
      <c r="A497" s="76">
        <v>86</v>
      </c>
      <c r="B497" s="501" t="s">
        <v>580</v>
      </c>
      <c r="C497" s="86" t="s">
        <v>694</v>
      </c>
      <c r="D497" s="76" t="s">
        <v>64</v>
      </c>
      <c r="E497" s="76"/>
      <c r="F497" s="312">
        <v>1063.7</v>
      </c>
      <c r="G497" s="204"/>
      <c r="H497" s="204"/>
      <c r="I497" s="204"/>
      <c r="J497" s="204"/>
      <c r="K497" s="204"/>
      <c r="L497" s="204"/>
      <c r="M497" s="204"/>
    </row>
    <row r="498" spans="1:13" s="332" customFormat="1" ht="13.5">
      <c r="A498" s="254"/>
      <c r="B498" s="502"/>
      <c r="C498" s="63" t="s">
        <v>54</v>
      </c>
      <c r="D498" s="62" t="s">
        <v>64</v>
      </c>
      <c r="E498" s="62">
        <v>1</v>
      </c>
      <c r="F498" s="89">
        <f>F497*E498</f>
        <v>1063.7</v>
      </c>
      <c r="G498" s="89"/>
      <c r="H498" s="89"/>
      <c r="I498" s="89">
        <v>5</v>
      </c>
      <c r="J498" s="89">
        <f>F498*I498</f>
        <v>5318.5</v>
      </c>
      <c r="K498" s="89"/>
      <c r="L498" s="89"/>
      <c r="M498" s="89">
        <f>H498+J498+L498</f>
        <v>5318.5</v>
      </c>
    </row>
    <row r="499" spans="1:13" s="332" customFormat="1" ht="13.5">
      <c r="A499" s="254"/>
      <c r="B499" s="502"/>
      <c r="C499" s="63" t="s">
        <v>581</v>
      </c>
      <c r="D499" s="65" t="s">
        <v>43</v>
      </c>
      <c r="E499" s="62">
        <v>0.105</v>
      </c>
      <c r="F499" s="89">
        <f>F497*E499</f>
        <v>111.6885</v>
      </c>
      <c r="G499" s="89"/>
      <c r="H499" s="89"/>
      <c r="I499" s="89"/>
      <c r="J499" s="89"/>
      <c r="K499" s="89">
        <v>3.2</v>
      </c>
      <c r="L499" s="89">
        <f>F499*K499</f>
        <v>357.4032</v>
      </c>
      <c r="M499" s="89">
        <f>H499+J499+L499</f>
        <v>357.4032</v>
      </c>
    </row>
    <row r="500" spans="1:13" s="332" customFormat="1" ht="13.5">
      <c r="A500" s="254"/>
      <c r="B500" s="502"/>
      <c r="C500" s="79" t="s">
        <v>56</v>
      </c>
      <c r="D500" s="62"/>
      <c r="E500" s="62"/>
      <c r="F500" s="89"/>
      <c r="G500" s="89"/>
      <c r="H500" s="89"/>
      <c r="I500" s="89"/>
      <c r="J500" s="89"/>
      <c r="K500" s="89"/>
      <c r="L500" s="89"/>
      <c r="M500" s="89"/>
    </row>
    <row r="501" spans="1:13" s="332" customFormat="1" ht="27">
      <c r="A501" s="254"/>
      <c r="B501" s="502"/>
      <c r="C501" s="63" t="s">
        <v>586</v>
      </c>
      <c r="D501" s="62" t="s">
        <v>64</v>
      </c>
      <c r="E501" s="62">
        <v>1.03</v>
      </c>
      <c r="F501" s="89">
        <f>F497*E501</f>
        <v>1095.611</v>
      </c>
      <c r="G501" s="89">
        <v>12</v>
      </c>
      <c r="H501" s="89">
        <f>F501*G501</f>
        <v>13147.332000000002</v>
      </c>
      <c r="I501" s="89"/>
      <c r="J501" s="89"/>
      <c r="K501" s="89"/>
      <c r="L501" s="89"/>
      <c r="M501" s="89">
        <f>H501+J501+L501</f>
        <v>13147.332000000002</v>
      </c>
    </row>
    <row r="502" spans="1:13" s="332" customFormat="1" ht="13.5">
      <c r="A502" s="254"/>
      <c r="B502" s="502"/>
      <c r="C502" s="63" t="s">
        <v>582</v>
      </c>
      <c r="D502" s="69" t="s">
        <v>43</v>
      </c>
      <c r="E502" s="62">
        <v>0.94</v>
      </c>
      <c r="F502" s="89">
        <f>F497*E502</f>
        <v>999.878</v>
      </c>
      <c r="G502" s="89">
        <v>3.2</v>
      </c>
      <c r="H502" s="89">
        <f>F502*G502</f>
        <v>3199.6096000000002</v>
      </c>
      <c r="I502" s="89"/>
      <c r="J502" s="89"/>
      <c r="K502" s="89"/>
      <c r="L502" s="89"/>
      <c r="M502" s="89">
        <f>H502+J502+L502</f>
        <v>3199.6096000000002</v>
      </c>
    </row>
    <row r="503" spans="1:13" s="332" customFormat="1" ht="40.5">
      <c r="A503" s="76">
        <v>87</v>
      </c>
      <c r="B503" s="501" t="s">
        <v>580</v>
      </c>
      <c r="C503" s="86" t="s">
        <v>695</v>
      </c>
      <c r="D503" s="76" t="s">
        <v>64</v>
      </c>
      <c r="E503" s="76"/>
      <c r="F503" s="312">
        <v>106.1</v>
      </c>
      <c r="G503" s="204"/>
      <c r="H503" s="204"/>
      <c r="I503" s="204"/>
      <c r="J503" s="204"/>
      <c r="K503" s="204"/>
      <c r="L503" s="204"/>
      <c r="M503" s="204"/>
    </row>
    <row r="504" spans="1:13" s="332" customFormat="1" ht="13.5">
      <c r="A504" s="254"/>
      <c r="B504" s="502"/>
      <c r="C504" s="63" t="s">
        <v>54</v>
      </c>
      <c r="D504" s="62" t="s">
        <v>64</v>
      </c>
      <c r="E504" s="62">
        <v>1</v>
      </c>
      <c r="F504" s="89">
        <f>F503*E504</f>
        <v>106.1</v>
      </c>
      <c r="G504" s="89"/>
      <c r="H504" s="89"/>
      <c r="I504" s="89">
        <v>5</v>
      </c>
      <c r="J504" s="89">
        <f>F504*I504</f>
        <v>530.5</v>
      </c>
      <c r="K504" s="89"/>
      <c r="L504" s="89"/>
      <c r="M504" s="89">
        <f>H504+J504+L504</f>
        <v>530.5</v>
      </c>
    </row>
    <row r="505" spans="1:13" s="332" customFormat="1" ht="13.5">
      <c r="A505" s="254"/>
      <c r="B505" s="502"/>
      <c r="C505" s="63" t="s">
        <v>583</v>
      </c>
      <c r="D505" s="65" t="s">
        <v>43</v>
      </c>
      <c r="E505" s="62">
        <v>0.105</v>
      </c>
      <c r="F505" s="89">
        <f>F503*E505</f>
        <v>11.1405</v>
      </c>
      <c r="G505" s="89"/>
      <c r="H505" s="89"/>
      <c r="I505" s="89"/>
      <c r="J505" s="89"/>
      <c r="K505" s="89">
        <v>3.2</v>
      </c>
      <c r="L505" s="89">
        <f>F505*K505</f>
        <v>35.6496</v>
      </c>
      <c r="M505" s="89">
        <f>H505+J505+L505</f>
        <v>35.6496</v>
      </c>
    </row>
    <row r="506" spans="1:13" s="332" customFormat="1" ht="13.5">
      <c r="A506" s="254"/>
      <c r="B506" s="502"/>
      <c r="C506" s="79" t="s">
        <v>56</v>
      </c>
      <c r="D506" s="62"/>
      <c r="E506" s="62"/>
      <c r="F506" s="89"/>
      <c r="G506" s="89"/>
      <c r="H506" s="89"/>
      <c r="I506" s="89"/>
      <c r="J506" s="89"/>
      <c r="K506" s="89"/>
      <c r="L506" s="89"/>
      <c r="M506" s="89"/>
    </row>
    <row r="507" spans="1:13" s="332" customFormat="1" ht="27">
      <c r="A507" s="254"/>
      <c r="B507" s="502"/>
      <c r="C507" s="63" t="s">
        <v>584</v>
      </c>
      <c r="D507" s="62" t="s">
        <v>64</v>
      </c>
      <c r="E507" s="62">
        <v>1.03</v>
      </c>
      <c r="F507" s="89">
        <f>F503*E507</f>
        <v>109.283</v>
      </c>
      <c r="G507" s="89">
        <v>13.8</v>
      </c>
      <c r="H507" s="89">
        <f>F507*G507</f>
        <v>1508.1054000000001</v>
      </c>
      <c r="I507" s="89"/>
      <c r="J507" s="89"/>
      <c r="K507" s="89"/>
      <c r="L507" s="89"/>
      <c r="M507" s="89">
        <f>H507+J507+L507</f>
        <v>1508.1054000000001</v>
      </c>
    </row>
    <row r="508" spans="1:13" s="332" customFormat="1" ht="13.5">
      <c r="A508" s="255"/>
      <c r="B508" s="503"/>
      <c r="C508" s="68" t="s">
        <v>585</v>
      </c>
      <c r="D508" s="69" t="s">
        <v>43</v>
      </c>
      <c r="E508" s="67">
        <v>0.95</v>
      </c>
      <c r="F508" s="209">
        <f>F503*E508</f>
        <v>100.79499999999999</v>
      </c>
      <c r="G508" s="209">
        <v>3.2</v>
      </c>
      <c r="H508" s="209">
        <f>F508*G508</f>
        <v>322.544</v>
      </c>
      <c r="I508" s="209"/>
      <c r="J508" s="209"/>
      <c r="K508" s="209"/>
      <c r="L508" s="209"/>
      <c r="M508" s="209">
        <f>H508+J508+L508</f>
        <v>322.544</v>
      </c>
    </row>
    <row r="509" spans="1:13" ht="30" customHeight="1">
      <c r="A509" s="28">
        <v>88</v>
      </c>
      <c r="B509" s="340" t="s">
        <v>302</v>
      </c>
      <c r="C509" s="43" t="s">
        <v>377</v>
      </c>
      <c r="D509" s="28" t="s">
        <v>64</v>
      </c>
      <c r="E509" s="28"/>
      <c r="F509" s="312">
        <f>F497+F503</f>
        <v>1169.8</v>
      </c>
      <c r="G509" s="30"/>
      <c r="H509" s="30"/>
      <c r="I509" s="30"/>
      <c r="J509" s="30"/>
      <c r="K509" s="30"/>
      <c r="L509" s="30"/>
      <c r="M509" s="30"/>
    </row>
    <row r="510" spans="1:13" ht="13.5">
      <c r="A510" s="1"/>
      <c r="B510" s="341"/>
      <c r="C510" s="4" t="s">
        <v>54</v>
      </c>
      <c r="D510" s="1" t="s">
        <v>366</v>
      </c>
      <c r="E510" s="1">
        <v>0.516</v>
      </c>
      <c r="F510" s="13">
        <f>F509*E510</f>
        <v>603.6168</v>
      </c>
      <c r="G510" s="13"/>
      <c r="H510" s="13"/>
      <c r="I510" s="13">
        <v>7.8</v>
      </c>
      <c r="J510" s="13">
        <f>F510*I510</f>
        <v>4708.21104</v>
      </c>
      <c r="K510" s="13"/>
      <c r="L510" s="13"/>
      <c r="M510" s="13">
        <f>H510+J510+L510</f>
        <v>4708.21104</v>
      </c>
    </row>
    <row r="511" spans="1:13" ht="13.5">
      <c r="A511" s="1"/>
      <c r="B511" s="341"/>
      <c r="C511" s="4" t="s">
        <v>62</v>
      </c>
      <c r="D511" s="1" t="s">
        <v>43</v>
      </c>
      <c r="E511" s="1">
        <v>0.01</v>
      </c>
      <c r="F511" s="13">
        <f>F509*E511</f>
        <v>11.698</v>
      </c>
      <c r="G511" s="13"/>
      <c r="H511" s="13"/>
      <c r="I511" s="13"/>
      <c r="J511" s="13"/>
      <c r="K511" s="13">
        <v>3.2</v>
      </c>
      <c r="L511" s="13">
        <f>F511*K511</f>
        <v>37.433600000000006</v>
      </c>
      <c r="M511" s="13">
        <f>H511+J511+L511</f>
        <v>37.433600000000006</v>
      </c>
    </row>
    <row r="512" spans="1:13" ht="13.5">
      <c r="A512" s="1"/>
      <c r="B512" s="341"/>
      <c r="C512" s="4" t="s">
        <v>56</v>
      </c>
      <c r="D512" s="1"/>
      <c r="E512" s="1"/>
      <c r="F512" s="13">
        <f>F509*E512</f>
        <v>0</v>
      </c>
      <c r="G512" s="13"/>
      <c r="H512" s="13"/>
      <c r="I512" s="13"/>
      <c r="J512" s="13"/>
      <c r="K512" s="13"/>
      <c r="L512" s="13"/>
      <c r="M512" s="13"/>
    </row>
    <row r="513" spans="1:13" ht="13.5">
      <c r="A513" s="1"/>
      <c r="B513" s="341"/>
      <c r="C513" s="4" t="s">
        <v>100</v>
      </c>
      <c r="D513" s="1" t="s">
        <v>65</v>
      </c>
      <c r="E513" s="1">
        <v>0.63</v>
      </c>
      <c r="F513" s="13">
        <f>F509*E513</f>
        <v>736.9739999999999</v>
      </c>
      <c r="G513" s="13">
        <v>3</v>
      </c>
      <c r="H513" s="13">
        <f>F513*G513</f>
        <v>2210.9219999999996</v>
      </c>
      <c r="I513" s="13"/>
      <c r="J513" s="13"/>
      <c r="K513" s="13"/>
      <c r="L513" s="13"/>
      <c r="M513" s="13">
        <f>H513+J513+L513</f>
        <v>2210.9219999999996</v>
      </c>
    </row>
    <row r="514" spans="1:13" ht="13.5">
      <c r="A514" s="1"/>
      <c r="B514" s="341"/>
      <c r="C514" s="4" t="s">
        <v>101</v>
      </c>
      <c r="D514" s="1" t="s">
        <v>65</v>
      </c>
      <c r="E514" s="1">
        <v>0.55</v>
      </c>
      <c r="F514" s="13">
        <f>F509*E514</f>
        <v>643.39</v>
      </c>
      <c r="G514" s="13">
        <v>0.5</v>
      </c>
      <c r="H514" s="13">
        <f>F514*G514</f>
        <v>321.695</v>
      </c>
      <c r="I514" s="13"/>
      <c r="J514" s="13"/>
      <c r="K514" s="13"/>
      <c r="L514" s="13"/>
      <c r="M514" s="13">
        <f>H514+J514+L514</f>
        <v>321.695</v>
      </c>
    </row>
    <row r="515" spans="1:13" ht="13.5">
      <c r="A515" s="1"/>
      <c r="B515" s="341"/>
      <c r="C515" s="4" t="s">
        <v>57</v>
      </c>
      <c r="D515" s="1" t="s">
        <v>43</v>
      </c>
      <c r="E515" s="1">
        <v>0.007</v>
      </c>
      <c r="F515" s="13">
        <f>F509*E515</f>
        <v>8.1886</v>
      </c>
      <c r="G515" s="13">
        <v>3.2</v>
      </c>
      <c r="H515" s="13">
        <f>F515*G515</f>
        <v>26.203519999999997</v>
      </c>
      <c r="I515" s="13"/>
      <c r="J515" s="13"/>
      <c r="K515" s="13"/>
      <c r="L515" s="13"/>
      <c r="M515" s="13">
        <f>H515+J515+L515</f>
        <v>26.203519999999997</v>
      </c>
    </row>
    <row r="516" spans="1:13" ht="13.5">
      <c r="A516" s="52"/>
      <c r="B516" s="325"/>
      <c r="C516" s="277" t="s">
        <v>29</v>
      </c>
      <c r="D516" s="52"/>
      <c r="E516" s="52"/>
      <c r="F516" s="161"/>
      <c r="G516" s="161"/>
      <c r="H516" s="161">
        <f>SUM(H465:H515)</f>
        <v>48058.94186800001</v>
      </c>
      <c r="I516" s="161"/>
      <c r="J516" s="161">
        <f>SUM(J465:J515)</f>
        <v>38655.97166</v>
      </c>
      <c r="K516" s="161"/>
      <c r="L516" s="161">
        <f>SUM(L465:L515)</f>
        <v>882.126102</v>
      </c>
      <c r="M516" s="161">
        <f>SUM(M465:M515)</f>
        <v>87597.03963</v>
      </c>
    </row>
    <row r="517" spans="1:13" ht="16.5">
      <c r="A517" s="47"/>
      <c r="B517" s="126"/>
      <c r="C517" s="333" t="s">
        <v>167</v>
      </c>
      <c r="D517" s="47"/>
      <c r="E517" s="47"/>
      <c r="F517" s="108"/>
      <c r="G517" s="108"/>
      <c r="H517" s="108"/>
      <c r="I517" s="108"/>
      <c r="J517" s="108"/>
      <c r="K517" s="108"/>
      <c r="L517" s="108"/>
      <c r="M517" s="108"/>
    </row>
    <row r="518" spans="1:13" ht="27">
      <c r="A518" s="28">
        <v>89</v>
      </c>
      <c r="B518" s="149" t="s">
        <v>25</v>
      </c>
      <c r="C518" s="139" t="s">
        <v>667</v>
      </c>
      <c r="D518" s="28" t="s">
        <v>85</v>
      </c>
      <c r="E518" s="28"/>
      <c r="F518" s="312">
        <v>294</v>
      </c>
      <c r="G518" s="30"/>
      <c r="H518" s="30"/>
      <c r="I518" s="30"/>
      <c r="J518" s="30"/>
      <c r="K518" s="30"/>
      <c r="L518" s="30"/>
      <c r="M518" s="30"/>
    </row>
    <row r="519" spans="1:13" ht="13.5">
      <c r="A519" s="1"/>
      <c r="B519" s="341"/>
      <c r="C519" s="19" t="s">
        <v>54</v>
      </c>
      <c r="D519" s="1" t="s">
        <v>55</v>
      </c>
      <c r="E519" s="1">
        <v>0.3</v>
      </c>
      <c r="F519" s="13">
        <f>F518*E519</f>
        <v>88.2</v>
      </c>
      <c r="G519" s="13"/>
      <c r="H519" s="13"/>
      <c r="I519" s="13">
        <v>7.8</v>
      </c>
      <c r="J519" s="13">
        <f>F519*I519</f>
        <v>687.96</v>
      </c>
      <c r="K519" s="13"/>
      <c r="L519" s="13"/>
      <c r="M519" s="13">
        <f>H519+J519+L519</f>
        <v>687.96</v>
      </c>
    </row>
    <row r="520" spans="1:13" ht="13.5">
      <c r="A520" s="1"/>
      <c r="B520" s="341"/>
      <c r="C520" s="19" t="s">
        <v>62</v>
      </c>
      <c r="D520" s="1" t="s">
        <v>43</v>
      </c>
      <c r="E520" s="1">
        <v>0.011</v>
      </c>
      <c r="F520" s="13">
        <f>F518*E520</f>
        <v>3.234</v>
      </c>
      <c r="G520" s="13"/>
      <c r="H520" s="13"/>
      <c r="I520" s="13"/>
      <c r="J520" s="13"/>
      <c r="K520" s="13">
        <v>3.2</v>
      </c>
      <c r="L520" s="13">
        <f>F520*K520</f>
        <v>10.3488</v>
      </c>
      <c r="M520" s="13">
        <f>H520+J520+L520</f>
        <v>10.3488</v>
      </c>
    </row>
    <row r="521" spans="1:13" ht="13.5">
      <c r="A521" s="1"/>
      <c r="B521" s="341"/>
      <c r="C521" s="19" t="s">
        <v>56</v>
      </c>
      <c r="D521" s="1"/>
      <c r="E521" s="1"/>
      <c r="F521" s="13"/>
      <c r="G521" s="13"/>
      <c r="H521" s="13"/>
      <c r="I521" s="13"/>
      <c r="J521" s="13"/>
      <c r="K521" s="13"/>
      <c r="L521" s="13"/>
      <c r="M521" s="13"/>
    </row>
    <row r="522" spans="1:13" ht="13.5">
      <c r="A522" s="1"/>
      <c r="B522" s="341"/>
      <c r="C522" s="19" t="s">
        <v>96</v>
      </c>
      <c r="D522" s="1" t="s">
        <v>66</v>
      </c>
      <c r="E522" s="1">
        <v>0.0067</v>
      </c>
      <c r="F522" s="13">
        <f>F518*E522</f>
        <v>1.9698</v>
      </c>
      <c r="G522" s="13">
        <v>92</v>
      </c>
      <c r="H522" s="13">
        <f>F522*G522</f>
        <v>181.2216</v>
      </c>
      <c r="I522" s="13"/>
      <c r="J522" s="13"/>
      <c r="K522" s="13"/>
      <c r="L522" s="13"/>
      <c r="M522" s="13">
        <f>H522+J522+L522</f>
        <v>181.2216</v>
      </c>
    </row>
    <row r="523" spans="1:13" s="135" customFormat="1" ht="27">
      <c r="A523" s="28">
        <v>90</v>
      </c>
      <c r="B523" s="340" t="s">
        <v>301</v>
      </c>
      <c r="C523" s="43" t="s">
        <v>716</v>
      </c>
      <c r="D523" s="28" t="s">
        <v>64</v>
      </c>
      <c r="E523" s="28"/>
      <c r="F523" s="462">
        <v>70</v>
      </c>
      <c r="G523" s="133"/>
      <c r="H523" s="133"/>
      <c r="I523" s="133"/>
      <c r="J523" s="133"/>
      <c r="K523" s="133"/>
      <c r="L523" s="133"/>
      <c r="M523" s="133"/>
    </row>
    <row r="524" spans="1:13" s="135" customFormat="1" ht="13.5" customHeight="1">
      <c r="A524" s="1"/>
      <c r="B524" s="20"/>
      <c r="C524" s="4" t="s">
        <v>54</v>
      </c>
      <c r="D524" s="1" t="s">
        <v>366</v>
      </c>
      <c r="E524" s="1">
        <v>0.75</v>
      </c>
      <c r="F524" s="115">
        <f>F523*E524</f>
        <v>52.5</v>
      </c>
      <c r="G524" s="115"/>
      <c r="H524" s="115"/>
      <c r="I524" s="13">
        <v>7.8</v>
      </c>
      <c r="J524" s="115">
        <f>F524*I524</f>
        <v>409.5</v>
      </c>
      <c r="K524" s="115"/>
      <c r="L524" s="115"/>
      <c r="M524" s="115">
        <f>H524+J524+L524</f>
        <v>409.5</v>
      </c>
    </row>
    <row r="525" spans="1:13" s="135" customFormat="1" ht="14.25" customHeight="1">
      <c r="A525" s="1"/>
      <c r="B525" s="20"/>
      <c r="C525" s="4" t="s">
        <v>95</v>
      </c>
      <c r="D525" s="14" t="s">
        <v>365</v>
      </c>
      <c r="E525" s="1">
        <v>0.0472</v>
      </c>
      <c r="F525" s="115">
        <f>F523*E525</f>
        <v>3.304</v>
      </c>
      <c r="G525" s="115"/>
      <c r="H525" s="115"/>
      <c r="I525" s="115"/>
      <c r="J525" s="115"/>
      <c r="K525" s="115">
        <v>8.05</v>
      </c>
      <c r="L525" s="115">
        <f>F525*K525</f>
        <v>26.5972</v>
      </c>
      <c r="M525" s="115">
        <f>H525+J525+L525</f>
        <v>26.5972</v>
      </c>
    </row>
    <row r="526" spans="1:13" s="135" customFormat="1" ht="13.5">
      <c r="A526" s="1"/>
      <c r="B526" s="20"/>
      <c r="C526" s="4" t="s">
        <v>62</v>
      </c>
      <c r="D526" s="1" t="s">
        <v>43</v>
      </c>
      <c r="E526" s="1">
        <v>0.021</v>
      </c>
      <c r="F526" s="115">
        <f>F523*E526</f>
        <v>1.4700000000000002</v>
      </c>
      <c r="G526" s="115"/>
      <c r="H526" s="115"/>
      <c r="I526" s="115"/>
      <c r="J526" s="115"/>
      <c r="K526" s="115">
        <v>3.2</v>
      </c>
      <c r="L526" s="115">
        <f>F526*K526</f>
        <v>4.704000000000001</v>
      </c>
      <c r="M526" s="115">
        <f>H526+J526+L526</f>
        <v>4.704000000000001</v>
      </c>
    </row>
    <row r="527" spans="1:13" s="135" customFormat="1" ht="13.5">
      <c r="A527" s="1"/>
      <c r="B527" s="20"/>
      <c r="C527" s="4" t="s">
        <v>56</v>
      </c>
      <c r="D527" s="1"/>
      <c r="E527" s="1"/>
      <c r="F527" s="115">
        <f>F523*E527</f>
        <v>0</v>
      </c>
      <c r="G527" s="115"/>
      <c r="H527" s="115"/>
      <c r="I527" s="115"/>
      <c r="J527" s="115"/>
      <c r="K527" s="115"/>
      <c r="L527" s="115"/>
      <c r="M527" s="115"/>
    </row>
    <row r="528" spans="1:13" s="135" customFormat="1" ht="13.5">
      <c r="A528" s="1"/>
      <c r="B528" s="20"/>
      <c r="C528" s="4" t="s">
        <v>96</v>
      </c>
      <c r="D528" s="1" t="s">
        <v>66</v>
      </c>
      <c r="E528" s="1">
        <v>0.01911</v>
      </c>
      <c r="F528" s="115">
        <f>F523*E528</f>
        <v>1.3377</v>
      </c>
      <c r="G528" s="115">
        <v>92</v>
      </c>
      <c r="H528" s="115">
        <f>F528*G528</f>
        <v>123.0684</v>
      </c>
      <c r="I528" s="115"/>
      <c r="J528" s="115"/>
      <c r="K528" s="115"/>
      <c r="L528" s="115"/>
      <c r="M528" s="115">
        <f>H528+J528+L528</f>
        <v>123.0684</v>
      </c>
    </row>
    <row r="529" spans="1:13" s="135" customFormat="1" ht="13.5">
      <c r="A529" s="1"/>
      <c r="B529" s="20"/>
      <c r="C529" s="4" t="s">
        <v>97</v>
      </c>
      <c r="D529" s="1" t="s">
        <v>64</v>
      </c>
      <c r="E529" s="1">
        <v>0.0528</v>
      </c>
      <c r="F529" s="115">
        <f>F523*E529</f>
        <v>3.696</v>
      </c>
      <c r="G529" s="115">
        <v>2.7</v>
      </c>
      <c r="H529" s="115">
        <f>F529*G529</f>
        <v>9.9792</v>
      </c>
      <c r="I529" s="115"/>
      <c r="J529" s="115"/>
      <c r="K529" s="115"/>
      <c r="L529" s="115"/>
      <c r="M529" s="115">
        <f>H529+J529+L529</f>
        <v>9.9792</v>
      </c>
    </row>
    <row r="530" spans="1:13" s="135" customFormat="1" ht="13.5">
      <c r="A530" s="1"/>
      <c r="B530" s="20"/>
      <c r="C530" s="4" t="s">
        <v>57</v>
      </c>
      <c r="D530" s="1" t="s">
        <v>43</v>
      </c>
      <c r="E530" s="1">
        <v>0.002</v>
      </c>
      <c r="F530" s="115">
        <f>F523*E530</f>
        <v>0.14</v>
      </c>
      <c r="G530" s="115">
        <v>3.2</v>
      </c>
      <c r="H530" s="115">
        <f>F530*G530</f>
        <v>0.44800000000000006</v>
      </c>
      <c r="I530" s="115"/>
      <c r="J530" s="115"/>
      <c r="K530" s="115"/>
      <c r="L530" s="115"/>
      <c r="M530" s="115">
        <f>H530+J530+L530</f>
        <v>0.44800000000000006</v>
      </c>
    </row>
    <row r="531" spans="1:13" ht="26.25">
      <c r="A531" s="47"/>
      <c r="B531" s="325"/>
      <c r="C531" s="277" t="s">
        <v>703</v>
      </c>
      <c r="D531" s="47"/>
      <c r="E531" s="47"/>
      <c r="F531" s="108"/>
      <c r="G531" s="108"/>
      <c r="H531" s="108"/>
      <c r="I531" s="108"/>
      <c r="J531" s="108"/>
      <c r="K531" s="108"/>
      <c r="L531" s="108"/>
      <c r="M531" s="108"/>
    </row>
    <row r="532" spans="1:13" s="135" customFormat="1" ht="54">
      <c r="A532" s="28">
        <v>91</v>
      </c>
      <c r="B532" s="149" t="s">
        <v>697</v>
      </c>
      <c r="C532" s="86" t="s">
        <v>763</v>
      </c>
      <c r="D532" s="28" t="s">
        <v>64</v>
      </c>
      <c r="E532" s="28"/>
      <c r="F532" s="164">
        <v>552</v>
      </c>
      <c r="G532" s="28"/>
      <c r="H532" s="11"/>
      <c r="I532" s="29"/>
      <c r="J532" s="11"/>
      <c r="K532" s="29"/>
      <c r="L532" s="11"/>
      <c r="M532" s="11"/>
    </row>
    <row r="533" spans="1:13" s="135" customFormat="1" ht="15.75" customHeight="1">
      <c r="A533" s="128"/>
      <c r="B533" s="120"/>
      <c r="C533" s="19" t="s">
        <v>54</v>
      </c>
      <c r="D533" s="1" t="s">
        <v>55</v>
      </c>
      <c r="E533" s="1">
        <f>19.5*0.05</f>
        <v>0.9750000000000001</v>
      </c>
      <c r="F533" s="2">
        <f>F532*E533</f>
        <v>538.2</v>
      </c>
      <c r="G533" s="13"/>
      <c r="H533" s="13"/>
      <c r="I533" s="13">
        <v>6</v>
      </c>
      <c r="J533" s="13">
        <f>F533*I533</f>
        <v>3229.2000000000003</v>
      </c>
      <c r="K533" s="13"/>
      <c r="L533" s="13"/>
      <c r="M533" s="13">
        <f>H533+J533+L533</f>
        <v>3229.2000000000003</v>
      </c>
    </row>
    <row r="534" spans="1:13" s="135" customFormat="1" ht="18.75" customHeight="1">
      <c r="A534" s="128"/>
      <c r="B534" s="120"/>
      <c r="C534" s="19" t="s">
        <v>99</v>
      </c>
      <c r="D534" s="1" t="s">
        <v>43</v>
      </c>
      <c r="E534" s="1">
        <f>0.61*0.05</f>
        <v>0.0305</v>
      </c>
      <c r="F534" s="2">
        <f>F532*E534</f>
        <v>16.836</v>
      </c>
      <c r="G534" s="13"/>
      <c r="H534" s="13"/>
      <c r="I534" s="13"/>
      <c r="J534" s="13"/>
      <c r="K534" s="13">
        <v>3.2</v>
      </c>
      <c r="L534" s="13">
        <f>F534*K534</f>
        <v>53.8752</v>
      </c>
      <c r="M534" s="13">
        <f>H534+J534+L534</f>
        <v>53.8752</v>
      </c>
    </row>
    <row r="535" spans="1:13" s="135" customFormat="1" ht="13.5">
      <c r="A535" s="128"/>
      <c r="B535" s="120"/>
      <c r="C535" s="19" t="s">
        <v>56</v>
      </c>
      <c r="D535" s="1"/>
      <c r="E535" s="1"/>
      <c r="F535" s="2">
        <f>E535*2353</f>
        <v>0</v>
      </c>
      <c r="G535" s="13"/>
      <c r="H535" s="13"/>
      <c r="I535" s="13"/>
      <c r="J535" s="13"/>
      <c r="K535" s="13"/>
      <c r="L535" s="13"/>
      <c r="M535" s="13"/>
    </row>
    <row r="536" spans="1:13" s="135" customFormat="1" ht="15.75" customHeight="1">
      <c r="A536" s="128"/>
      <c r="B536" s="120"/>
      <c r="C536" s="19" t="s">
        <v>666</v>
      </c>
      <c r="D536" s="1" t="s">
        <v>64</v>
      </c>
      <c r="E536" s="1">
        <v>1.03</v>
      </c>
      <c r="F536" s="2">
        <f>F532*E536</f>
        <v>568.5600000000001</v>
      </c>
      <c r="G536" s="13">
        <v>8.5</v>
      </c>
      <c r="H536" s="13">
        <f>F536*G536</f>
        <v>4832.76</v>
      </c>
      <c r="I536" s="13"/>
      <c r="J536" s="13"/>
      <c r="K536" s="13"/>
      <c r="L536" s="13"/>
      <c r="M536" s="13">
        <f>H536+J536+L536</f>
        <v>4832.76</v>
      </c>
    </row>
    <row r="537" spans="1:13" s="135" customFormat="1" ht="15.75" customHeight="1">
      <c r="A537" s="128"/>
      <c r="B537" s="120"/>
      <c r="C537" s="19" t="s">
        <v>375</v>
      </c>
      <c r="D537" s="1" t="s">
        <v>65</v>
      </c>
      <c r="E537" s="1">
        <f>70*0.05</f>
        <v>3.5</v>
      </c>
      <c r="F537" s="2">
        <f>F532*E537</f>
        <v>1932</v>
      </c>
      <c r="G537" s="13">
        <v>1.17</v>
      </c>
      <c r="H537" s="13">
        <f>F537*G537</f>
        <v>2260.44</v>
      </c>
      <c r="I537" s="13"/>
      <c r="J537" s="13"/>
      <c r="K537" s="13"/>
      <c r="L537" s="13"/>
      <c r="M537" s="13">
        <f>H537+J537+L537</f>
        <v>2260.44</v>
      </c>
    </row>
    <row r="538" spans="1:13" s="135" customFormat="1" ht="15.75" customHeight="1">
      <c r="A538" s="271"/>
      <c r="B538" s="122"/>
      <c r="C538" s="123" t="s">
        <v>696</v>
      </c>
      <c r="D538" s="37" t="s">
        <v>59</v>
      </c>
      <c r="E538" s="37">
        <v>5</v>
      </c>
      <c r="F538" s="199">
        <f>F532*E538</f>
        <v>2760</v>
      </c>
      <c r="G538" s="13">
        <v>0.18</v>
      </c>
      <c r="H538" s="13">
        <f>F538*G538</f>
        <v>496.79999999999995</v>
      </c>
      <c r="I538" s="13"/>
      <c r="J538" s="13"/>
      <c r="K538" s="13"/>
      <c r="L538" s="13"/>
      <c r="M538" s="13">
        <f>H538+J538+L538</f>
        <v>496.79999999999995</v>
      </c>
    </row>
    <row r="539" spans="1:13" s="135" customFormat="1" ht="13.5">
      <c r="A539" s="28">
        <v>92</v>
      </c>
      <c r="B539" s="149" t="s">
        <v>698</v>
      </c>
      <c r="C539" s="86" t="s">
        <v>699</v>
      </c>
      <c r="D539" s="28" t="s">
        <v>64</v>
      </c>
      <c r="E539" s="28"/>
      <c r="F539" s="164">
        <f>F532</f>
        <v>552</v>
      </c>
      <c r="G539" s="28"/>
      <c r="H539" s="11"/>
      <c r="I539" s="29"/>
      <c r="J539" s="11"/>
      <c r="K539" s="29"/>
      <c r="L539" s="11"/>
      <c r="M539" s="11"/>
    </row>
    <row r="540" spans="1:13" s="135" customFormat="1" ht="15.75" customHeight="1">
      <c r="A540" s="128"/>
      <c r="B540" s="120"/>
      <c r="C540" s="19" t="s">
        <v>54</v>
      </c>
      <c r="D540" s="1" t="s">
        <v>55</v>
      </c>
      <c r="E540" s="1">
        <v>0.112</v>
      </c>
      <c r="F540" s="2">
        <f>F539*E540</f>
        <v>61.824</v>
      </c>
      <c r="G540" s="13"/>
      <c r="H540" s="13"/>
      <c r="I540" s="13">
        <v>6</v>
      </c>
      <c r="J540" s="13">
        <f>F540*I540</f>
        <v>370.94399999999996</v>
      </c>
      <c r="K540" s="13"/>
      <c r="L540" s="13"/>
      <c r="M540" s="13">
        <f>H540+J540+L540</f>
        <v>370.94399999999996</v>
      </c>
    </row>
    <row r="541" spans="1:13" s="135" customFormat="1" ht="18.75" customHeight="1">
      <c r="A541" s="128"/>
      <c r="B541" s="120"/>
      <c r="C541" s="19" t="s">
        <v>99</v>
      </c>
      <c r="D541" s="1" t="s">
        <v>43</v>
      </c>
      <c r="E541" s="1">
        <v>0.0013</v>
      </c>
      <c r="F541" s="2">
        <f>F539*E541</f>
        <v>0.7176</v>
      </c>
      <c r="G541" s="13"/>
      <c r="H541" s="13"/>
      <c r="I541" s="13"/>
      <c r="J541" s="13"/>
      <c r="K541" s="13">
        <v>3.2</v>
      </c>
      <c r="L541" s="13">
        <f>F541*K541</f>
        <v>2.29632</v>
      </c>
      <c r="M541" s="13">
        <f>H541+J541+L541</f>
        <v>2.29632</v>
      </c>
    </row>
    <row r="542" spans="1:13" s="135" customFormat="1" ht="13.5">
      <c r="A542" s="128"/>
      <c r="B542" s="120"/>
      <c r="C542" s="19" t="s">
        <v>56</v>
      </c>
      <c r="D542" s="1"/>
      <c r="E542" s="1"/>
      <c r="F542" s="2">
        <f>E542*2353</f>
        <v>0</v>
      </c>
      <c r="G542" s="13"/>
      <c r="H542" s="13"/>
      <c r="I542" s="13"/>
      <c r="J542" s="13"/>
      <c r="K542" s="13"/>
      <c r="L542" s="13"/>
      <c r="M542" s="13"/>
    </row>
    <row r="543" spans="1:13" s="135" customFormat="1" ht="13.5">
      <c r="A543" s="262"/>
      <c r="B543" s="342"/>
      <c r="C543" s="343" t="s">
        <v>700</v>
      </c>
      <c r="D543" s="262" t="s">
        <v>64</v>
      </c>
      <c r="E543" s="262">
        <v>1.05</v>
      </c>
      <c r="F543" s="261">
        <f>F539*E543</f>
        <v>579.6</v>
      </c>
      <c r="G543" s="13">
        <v>1.7</v>
      </c>
      <c r="H543" s="13">
        <f>F543*G543</f>
        <v>985.32</v>
      </c>
      <c r="I543" s="13"/>
      <c r="J543" s="13"/>
      <c r="K543" s="13"/>
      <c r="L543" s="13"/>
      <c r="M543" s="13">
        <f>H543+J543+L543</f>
        <v>985.32</v>
      </c>
    </row>
    <row r="544" spans="1:13" s="135" customFormat="1" ht="27">
      <c r="A544" s="28">
        <v>93</v>
      </c>
      <c r="B544" s="149" t="s">
        <v>702</v>
      </c>
      <c r="C544" s="86" t="s">
        <v>764</v>
      </c>
      <c r="D544" s="28" t="s">
        <v>64</v>
      </c>
      <c r="E544" s="28"/>
      <c r="F544" s="164">
        <f>F539</f>
        <v>552</v>
      </c>
      <c r="G544" s="28"/>
      <c r="H544" s="11"/>
      <c r="I544" s="29"/>
      <c r="J544" s="11"/>
      <c r="K544" s="29"/>
      <c r="L544" s="11"/>
      <c r="M544" s="11"/>
    </row>
    <row r="545" spans="1:13" s="135" customFormat="1" ht="15.75" customHeight="1">
      <c r="A545" s="128"/>
      <c r="B545" s="120"/>
      <c r="C545" s="19" t="s">
        <v>54</v>
      </c>
      <c r="D545" s="1" t="s">
        <v>55</v>
      </c>
      <c r="E545" s="1">
        <v>0.726</v>
      </c>
      <c r="F545" s="2">
        <f>F544*E545</f>
        <v>400.752</v>
      </c>
      <c r="G545" s="13"/>
      <c r="H545" s="13"/>
      <c r="I545" s="13">
        <v>6</v>
      </c>
      <c r="J545" s="13">
        <f>F545*I545</f>
        <v>2404.512</v>
      </c>
      <c r="K545" s="13"/>
      <c r="L545" s="13"/>
      <c r="M545" s="13">
        <f>H545+J545+L545</f>
        <v>2404.512</v>
      </c>
    </row>
    <row r="546" spans="1:13" s="135" customFormat="1" ht="18.75" customHeight="1">
      <c r="A546" s="128"/>
      <c r="B546" s="120"/>
      <c r="C546" s="19" t="s">
        <v>99</v>
      </c>
      <c r="D546" s="1" t="s">
        <v>43</v>
      </c>
      <c r="E546" s="1">
        <v>0.0151</v>
      </c>
      <c r="F546" s="2">
        <f>F544*E546</f>
        <v>8.3352</v>
      </c>
      <c r="G546" s="13"/>
      <c r="H546" s="13"/>
      <c r="I546" s="13"/>
      <c r="J546" s="13"/>
      <c r="K546" s="13">
        <v>3.2</v>
      </c>
      <c r="L546" s="13">
        <f>F546*K546</f>
        <v>26.67264</v>
      </c>
      <c r="M546" s="13">
        <f>H546+J546+L546</f>
        <v>26.67264</v>
      </c>
    </row>
    <row r="547" spans="1:13" s="135" customFormat="1" ht="13.5">
      <c r="A547" s="128"/>
      <c r="B547" s="120"/>
      <c r="C547" s="19" t="s">
        <v>56</v>
      </c>
      <c r="D547" s="1"/>
      <c r="E547" s="1"/>
      <c r="F547" s="2">
        <f>E547*2353</f>
        <v>0</v>
      </c>
      <c r="G547" s="13"/>
      <c r="H547" s="13"/>
      <c r="I547" s="13"/>
      <c r="J547" s="13"/>
      <c r="K547" s="13"/>
      <c r="L547" s="13"/>
      <c r="M547" s="13"/>
    </row>
    <row r="548" spans="1:13" ht="13.5">
      <c r="A548" s="1"/>
      <c r="B548" s="120"/>
      <c r="C548" s="19" t="s">
        <v>375</v>
      </c>
      <c r="D548" s="1" t="s">
        <v>65</v>
      </c>
      <c r="E548" s="1">
        <v>7</v>
      </c>
      <c r="F548" s="2">
        <f>F544*E548</f>
        <v>3864</v>
      </c>
      <c r="G548" s="13">
        <v>1.17</v>
      </c>
      <c r="H548" s="13">
        <f>F548*G548</f>
        <v>4520.88</v>
      </c>
      <c r="I548" s="13"/>
      <c r="J548" s="13"/>
      <c r="K548" s="13"/>
      <c r="L548" s="13"/>
      <c r="M548" s="13">
        <f>H548+J548+L548</f>
        <v>4520.88</v>
      </c>
    </row>
    <row r="549" spans="1:13" ht="13.5">
      <c r="A549" s="37"/>
      <c r="B549" s="122"/>
      <c r="C549" s="123" t="s">
        <v>57</v>
      </c>
      <c r="D549" s="37" t="s">
        <v>43</v>
      </c>
      <c r="E549" s="37">
        <v>0.0059</v>
      </c>
      <c r="F549" s="199">
        <f>F543*E549</f>
        <v>3.4196400000000002</v>
      </c>
      <c r="G549" s="13">
        <v>3.2</v>
      </c>
      <c r="H549" s="13">
        <f>F549*G549</f>
        <v>10.942848000000001</v>
      </c>
      <c r="I549" s="13"/>
      <c r="J549" s="13"/>
      <c r="K549" s="13"/>
      <c r="L549" s="13"/>
      <c r="M549" s="13">
        <f>H549+J549+L549</f>
        <v>10.942848000000001</v>
      </c>
    </row>
    <row r="550" spans="1:13" s="332" customFormat="1" ht="54">
      <c r="A550" s="28">
        <v>94</v>
      </c>
      <c r="B550" s="141" t="s">
        <v>378</v>
      </c>
      <c r="C550" s="114" t="s">
        <v>717</v>
      </c>
      <c r="D550" s="76" t="s">
        <v>64</v>
      </c>
      <c r="E550" s="76"/>
      <c r="F550" s="168">
        <f>F544+F518*0.15+F523</f>
        <v>666.1</v>
      </c>
      <c r="G550" s="130"/>
      <c r="H550" s="130"/>
      <c r="I550" s="130"/>
      <c r="J550" s="130"/>
      <c r="K550" s="130"/>
      <c r="L550" s="130"/>
      <c r="M550" s="130"/>
    </row>
    <row r="551" spans="1:13" s="332" customFormat="1" ht="13.5">
      <c r="A551" s="62"/>
      <c r="B551" s="142"/>
      <c r="C551" s="111" t="s">
        <v>54</v>
      </c>
      <c r="D551" s="1" t="s">
        <v>366</v>
      </c>
      <c r="E551" s="65">
        <f>0.25</f>
        <v>0.25</v>
      </c>
      <c r="F551" s="131">
        <f>F550*E551</f>
        <v>166.525</v>
      </c>
      <c r="G551" s="131"/>
      <c r="H551" s="131"/>
      <c r="I551" s="131">
        <v>7.8</v>
      </c>
      <c r="J551" s="131">
        <f>F551*I551</f>
        <v>1298.895</v>
      </c>
      <c r="K551" s="131"/>
      <c r="L551" s="131"/>
      <c r="M551" s="131">
        <f>H551+J551+L551</f>
        <v>1298.895</v>
      </c>
    </row>
    <row r="552" spans="1:13" s="332" customFormat="1" ht="13.5">
      <c r="A552" s="62"/>
      <c r="B552" s="142"/>
      <c r="C552" s="79" t="s">
        <v>62</v>
      </c>
      <c r="D552" s="65" t="s">
        <v>43</v>
      </c>
      <c r="E552" s="62">
        <v>0.08</v>
      </c>
      <c r="F552" s="131">
        <f>F550*E552</f>
        <v>53.288000000000004</v>
      </c>
      <c r="G552" s="131"/>
      <c r="H552" s="131"/>
      <c r="I552" s="131"/>
      <c r="J552" s="131"/>
      <c r="K552" s="131">
        <v>3.2</v>
      </c>
      <c r="L552" s="131">
        <f>F552*K552</f>
        <v>170.52160000000003</v>
      </c>
      <c r="M552" s="131">
        <f>H552+J552+L552</f>
        <v>170.52160000000003</v>
      </c>
    </row>
    <row r="553" spans="1:13" s="332" customFormat="1" ht="13.5">
      <c r="A553" s="62"/>
      <c r="B553" s="142"/>
      <c r="C553" s="79" t="s">
        <v>56</v>
      </c>
      <c r="D553" s="62"/>
      <c r="E553" s="62"/>
      <c r="F553" s="131"/>
      <c r="G553" s="131"/>
      <c r="H553" s="131"/>
      <c r="I553" s="131"/>
      <c r="J553" s="131"/>
      <c r="K553" s="131"/>
      <c r="L553" s="131"/>
      <c r="M553" s="131"/>
    </row>
    <row r="554" spans="1:13" s="332" customFormat="1" ht="13.5">
      <c r="A554" s="62"/>
      <c r="B554" s="142"/>
      <c r="C554" s="79" t="s">
        <v>701</v>
      </c>
      <c r="D554" s="62" t="s">
        <v>66</v>
      </c>
      <c r="E554" s="62">
        <v>0.005</v>
      </c>
      <c r="F554" s="89">
        <f>F550*E554</f>
        <v>3.3305000000000002</v>
      </c>
      <c r="G554" s="89">
        <v>215</v>
      </c>
      <c r="H554" s="89">
        <f>F554*G554</f>
        <v>716.0575</v>
      </c>
      <c r="I554" s="89"/>
      <c r="J554" s="89"/>
      <c r="K554" s="89"/>
      <c r="L554" s="89"/>
      <c r="M554" s="89">
        <f>H554+J554+L554</f>
        <v>716.0575</v>
      </c>
    </row>
    <row r="555" spans="1:13" s="332" customFormat="1" ht="13.5">
      <c r="A555" s="62"/>
      <c r="B555" s="142"/>
      <c r="C555" s="79" t="s">
        <v>315</v>
      </c>
      <c r="D555" s="62" t="s">
        <v>65</v>
      </c>
      <c r="E555" s="62">
        <v>1</v>
      </c>
      <c r="F555" s="131">
        <f>F550*E555</f>
        <v>666.1</v>
      </c>
      <c r="G555" s="131">
        <v>3.2</v>
      </c>
      <c r="H555" s="131">
        <f>F555*G555</f>
        <v>2131.52</v>
      </c>
      <c r="I555" s="131"/>
      <c r="J555" s="131"/>
      <c r="K555" s="131"/>
      <c r="L555" s="131"/>
      <c r="M555" s="131">
        <f>H555+J555+L555</f>
        <v>2131.52</v>
      </c>
    </row>
    <row r="556" spans="1:13" s="332" customFormat="1" ht="13.5">
      <c r="A556" s="62"/>
      <c r="B556" s="142"/>
      <c r="C556" s="79" t="s">
        <v>353</v>
      </c>
      <c r="D556" s="62" t="s">
        <v>65</v>
      </c>
      <c r="E556" s="62">
        <v>0.15</v>
      </c>
      <c r="F556" s="131">
        <f>F550*E556</f>
        <v>99.915</v>
      </c>
      <c r="G556" s="131">
        <v>4</v>
      </c>
      <c r="H556" s="131">
        <f>F556*G556</f>
        <v>399.66</v>
      </c>
      <c r="I556" s="131"/>
      <c r="J556" s="131"/>
      <c r="K556" s="131"/>
      <c r="L556" s="131"/>
      <c r="M556" s="131">
        <f>H556+J556+L556</f>
        <v>399.66</v>
      </c>
    </row>
    <row r="557" spans="1:13" s="332" customFormat="1" ht="13.5">
      <c r="A557" s="62"/>
      <c r="B557" s="142"/>
      <c r="C557" s="79" t="s">
        <v>57</v>
      </c>
      <c r="D557" s="65" t="s">
        <v>43</v>
      </c>
      <c r="E557" s="62">
        <v>0.0042</v>
      </c>
      <c r="F557" s="131">
        <f>F550*E557</f>
        <v>2.7976199999999998</v>
      </c>
      <c r="G557" s="131">
        <v>3.2</v>
      </c>
      <c r="H557" s="131">
        <f>F557*G557</f>
        <v>8.952384</v>
      </c>
      <c r="I557" s="131"/>
      <c r="J557" s="131"/>
      <c r="K557" s="131"/>
      <c r="L557" s="131"/>
      <c r="M557" s="131">
        <f>H557+J557+L557</f>
        <v>8.952384</v>
      </c>
    </row>
    <row r="558" spans="1:13" ht="26.25">
      <c r="A558" s="47"/>
      <c r="B558" s="325"/>
      <c r="C558" s="277" t="s">
        <v>704</v>
      </c>
      <c r="D558" s="47"/>
      <c r="E558" s="47"/>
      <c r="F558" s="108"/>
      <c r="G558" s="108"/>
      <c r="H558" s="108"/>
      <c r="I558" s="108"/>
      <c r="J558" s="108"/>
      <c r="K558" s="108"/>
      <c r="L558" s="108"/>
      <c r="M558" s="108"/>
    </row>
    <row r="559" spans="1:13" s="135" customFormat="1" ht="54">
      <c r="A559" s="28">
        <v>95</v>
      </c>
      <c r="B559" s="149" t="s">
        <v>697</v>
      </c>
      <c r="C559" s="86" t="s">
        <v>763</v>
      </c>
      <c r="D559" s="28" t="s">
        <v>64</v>
      </c>
      <c r="E559" s="28"/>
      <c r="F559" s="164">
        <v>380</v>
      </c>
      <c r="G559" s="28"/>
      <c r="H559" s="11"/>
      <c r="I559" s="29"/>
      <c r="J559" s="11"/>
      <c r="K559" s="29"/>
      <c r="L559" s="11"/>
      <c r="M559" s="11"/>
    </row>
    <row r="560" spans="1:13" s="135" customFormat="1" ht="15.75" customHeight="1">
      <c r="A560" s="128"/>
      <c r="B560" s="120"/>
      <c r="C560" s="19" t="s">
        <v>54</v>
      </c>
      <c r="D560" s="1" t="s">
        <v>55</v>
      </c>
      <c r="E560" s="1">
        <f>19.5*0.05</f>
        <v>0.9750000000000001</v>
      </c>
      <c r="F560" s="2">
        <f>F559*E560</f>
        <v>370.50000000000006</v>
      </c>
      <c r="G560" s="13"/>
      <c r="H560" s="13"/>
      <c r="I560" s="13">
        <v>6</v>
      </c>
      <c r="J560" s="13">
        <f>F560*I560</f>
        <v>2223.0000000000005</v>
      </c>
      <c r="K560" s="13"/>
      <c r="L560" s="13"/>
      <c r="M560" s="13">
        <f>H560+J560+L560</f>
        <v>2223.0000000000005</v>
      </c>
    </row>
    <row r="561" spans="1:13" s="135" customFormat="1" ht="18.75" customHeight="1">
      <c r="A561" s="128"/>
      <c r="B561" s="120"/>
      <c r="C561" s="19" t="s">
        <v>99</v>
      </c>
      <c r="D561" s="1" t="s">
        <v>43</v>
      </c>
      <c r="E561" s="1">
        <f>0.61*0.05</f>
        <v>0.0305</v>
      </c>
      <c r="F561" s="2">
        <f>F559*E561</f>
        <v>11.59</v>
      </c>
      <c r="G561" s="13"/>
      <c r="H561" s="13"/>
      <c r="I561" s="13"/>
      <c r="J561" s="13"/>
      <c r="K561" s="13">
        <v>3.2</v>
      </c>
      <c r="L561" s="13">
        <f>F561*K561</f>
        <v>37.088</v>
      </c>
      <c r="M561" s="13">
        <f>H561+J561+L561</f>
        <v>37.088</v>
      </c>
    </row>
    <row r="562" spans="1:13" s="135" customFormat="1" ht="13.5">
      <c r="A562" s="128"/>
      <c r="B562" s="120"/>
      <c r="C562" s="19" t="s">
        <v>56</v>
      </c>
      <c r="D562" s="1"/>
      <c r="E562" s="1"/>
      <c r="F562" s="2">
        <f>E562*2353</f>
        <v>0</v>
      </c>
      <c r="G562" s="13"/>
      <c r="H562" s="13"/>
      <c r="I562" s="13"/>
      <c r="J562" s="13"/>
      <c r="K562" s="13"/>
      <c r="L562" s="13"/>
      <c r="M562" s="13"/>
    </row>
    <row r="563" spans="1:13" s="135" customFormat="1" ht="15.75" customHeight="1">
      <c r="A563" s="128"/>
      <c r="B563" s="120"/>
      <c r="C563" s="19" t="s">
        <v>666</v>
      </c>
      <c r="D563" s="1" t="s">
        <v>64</v>
      </c>
      <c r="E563" s="1">
        <v>0.98</v>
      </c>
      <c r="F563" s="2">
        <f>F559*E563</f>
        <v>372.4</v>
      </c>
      <c r="G563" s="13">
        <v>8.5</v>
      </c>
      <c r="H563" s="13">
        <f>F563*G563</f>
        <v>3165.3999999999996</v>
      </c>
      <c r="I563" s="13"/>
      <c r="J563" s="13"/>
      <c r="K563" s="13"/>
      <c r="L563" s="13"/>
      <c r="M563" s="13">
        <f>H563+J563+L563</f>
        <v>3165.3999999999996</v>
      </c>
    </row>
    <row r="564" spans="1:13" s="135" customFormat="1" ht="15.75" customHeight="1">
      <c r="A564" s="128"/>
      <c r="B564" s="120"/>
      <c r="C564" s="19" t="s">
        <v>375</v>
      </c>
      <c r="D564" s="1" t="s">
        <v>65</v>
      </c>
      <c r="E564" s="1">
        <f>70*0.05</f>
        <v>3.5</v>
      </c>
      <c r="F564" s="2">
        <f>F559*E564</f>
        <v>1330</v>
      </c>
      <c r="G564" s="13">
        <v>1.17</v>
      </c>
      <c r="H564" s="13">
        <f>F564*G564</f>
        <v>1556.1</v>
      </c>
      <c r="I564" s="13"/>
      <c r="J564" s="13"/>
      <c r="K564" s="13"/>
      <c r="L564" s="13"/>
      <c r="M564" s="13">
        <f>H564+J564+L564</f>
        <v>1556.1</v>
      </c>
    </row>
    <row r="565" spans="1:13" s="135" customFormat="1" ht="15.75" customHeight="1">
      <c r="A565" s="128"/>
      <c r="B565" s="120"/>
      <c r="C565" s="19" t="s">
        <v>84</v>
      </c>
      <c r="D565" s="1" t="s">
        <v>66</v>
      </c>
      <c r="E565" s="1">
        <f>0.05*0.05</f>
        <v>0.0025000000000000005</v>
      </c>
      <c r="F565" s="2">
        <f>F559*E565</f>
        <v>0.9500000000000002</v>
      </c>
      <c r="G565" s="13">
        <v>590</v>
      </c>
      <c r="H565" s="13">
        <f>F565*G565</f>
        <v>560.5000000000001</v>
      </c>
      <c r="I565" s="13"/>
      <c r="J565" s="13"/>
      <c r="K565" s="13"/>
      <c r="L565" s="13"/>
      <c r="M565" s="13">
        <f>H565+J565+L565</f>
        <v>560.5000000000001</v>
      </c>
    </row>
    <row r="566" spans="1:13" s="135" customFormat="1" ht="15.75" customHeight="1">
      <c r="A566" s="271"/>
      <c r="B566" s="122"/>
      <c r="C566" s="123" t="s">
        <v>696</v>
      </c>
      <c r="D566" s="37" t="s">
        <v>59</v>
      </c>
      <c r="E566" s="37">
        <v>5</v>
      </c>
      <c r="F566" s="199">
        <f>F559*E566</f>
        <v>1900</v>
      </c>
      <c r="G566" s="13">
        <v>0.18</v>
      </c>
      <c r="H566" s="13">
        <f>F566*G566</f>
        <v>342</v>
      </c>
      <c r="I566" s="13"/>
      <c r="J566" s="13"/>
      <c r="K566" s="13"/>
      <c r="L566" s="13"/>
      <c r="M566" s="13">
        <f>H566+J566+L566</f>
        <v>342</v>
      </c>
    </row>
    <row r="567" spans="1:13" s="135" customFormat="1" ht="13.5">
      <c r="A567" s="28">
        <v>96</v>
      </c>
      <c r="B567" s="149" t="s">
        <v>698</v>
      </c>
      <c r="C567" s="86" t="s">
        <v>705</v>
      </c>
      <c r="D567" s="28" t="s">
        <v>64</v>
      </c>
      <c r="E567" s="28"/>
      <c r="F567" s="164">
        <f>F559</f>
        <v>380</v>
      </c>
      <c r="G567" s="28"/>
      <c r="H567" s="11"/>
      <c r="I567" s="29"/>
      <c r="J567" s="11"/>
      <c r="K567" s="29"/>
      <c r="L567" s="11"/>
      <c r="M567" s="11"/>
    </row>
    <row r="568" spans="1:13" s="135" customFormat="1" ht="15.75" customHeight="1">
      <c r="A568" s="28"/>
      <c r="B568" s="120"/>
      <c r="C568" s="19" t="s">
        <v>54</v>
      </c>
      <c r="D568" s="1" t="s">
        <v>55</v>
      </c>
      <c r="E568" s="1">
        <v>0.112</v>
      </c>
      <c r="F568" s="2">
        <f>F567*E568</f>
        <v>42.56</v>
      </c>
      <c r="G568" s="13"/>
      <c r="H568" s="13"/>
      <c r="I568" s="13">
        <v>6</v>
      </c>
      <c r="J568" s="13">
        <f>F568*I568</f>
        <v>255.36</v>
      </c>
      <c r="K568" s="13"/>
      <c r="L568" s="13"/>
      <c r="M568" s="13">
        <f>H568+J568+L568</f>
        <v>255.36</v>
      </c>
    </row>
    <row r="569" spans="1:13" s="135" customFormat="1" ht="18.75" customHeight="1">
      <c r="A569" s="128"/>
      <c r="B569" s="120"/>
      <c r="C569" s="19" t="s">
        <v>99</v>
      </c>
      <c r="D569" s="1" t="s">
        <v>43</v>
      </c>
      <c r="E569" s="1">
        <v>0.0013</v>
      </c>
      <c r="F569" s="2">
        <f>F567*E569</f>
        <v>0.494</v>
      </c>
      <c r="G569" s="13"/>
      <c r="H569" s="13"/>
      <c r="I569" s="13"/>
      <c r="J569" s="13"/>
      <c r="K569" s="13">
        <v>3.2</v>
      </c>
      <c r="L569" s="13">
        <f>F569*K569</f>
        <v>1.5808</v>
      </c>
      <c r="M569" s="13">
        <f>H569+J569+L569</f>
        <v>1.5808</v>
      </c>
    </row>
    <row r="570" spans="1:13" s="135" customFormat="1" ht="13.5">
      <c r="A570" s="128"/>
      <c r="B570" s="120"/>
      <c r="C570" s="19" t="s">
        <v>56</v>
      </c>
      <c r="D570" s="1"/>
      <c r="E570" s="1"/>
      <c r="F570" s="2">
        <f>E570*2353</f>
        <v>0</v>
      </c>
      <c r="G570" s="13"/>
      <c r="H570" s="13"/>
      <c r="I570" s="13"/>
      <c r="J570" s="13"/>
      <c r="K570" s="13"/>
      <c r="L570" s="13"/>
      <c r="M570" s="13"/>
    </row>
    <row r="571" spans="1:13" s="135" customFormat="1" ht="13.5">
      <c r="A571" s="262"/>
      <c r="B571" s="342"/>
      <c r="C571" s="343" t="s">
        <v>706</v>
      </c>
      <c r="D571" s="262" t="s">
        <v>64</v>
      </c>
      <c r="E571" s="262">
        <v>1.05</v>
      </c>
      <c r="F571" s="261">
        <f>F567*E571</f>
        <v>399</v>
      </c>
      <c r="G571" s="13">
        <v>1</v>
      </c>
      <c r="H571" s="13">
        <f>F571*G571</f>
        <v>399</v>
      </c>
      <c r="I571" s="13"/>
      <c r="J571" s="13"/>
      <c r="K571" s="13"/>
      <c r="L571" s="13"/>
      <c r="M571" s="13">
        <f>H571+J571+L571</f>
        <v>399</v>
      </c>
    </row>
    <row r="572" spans="1:13" ht="54">
      <c r="A572" s="28">
        <v>97</v>
      </c>
      <c r="B572" s="28" t="s">
        <v>86</v>
      </c>
      <c r="C572" s="139" t="s">
        <v>765</v>
      </c>
      <c r="D572" s="28" t="s">
        <v>64</v>
      </c>
      <c r="E572" s="28"/>
      <c r="F572" s="164">
        <v>380</v>
      </c>
      <c r="G572" s="28"/>
      <c r="H572" s="11"/>
      <c r="I572" s="29"/>
      <c r="J572" s="11"/>
      <c r="K572" s="29"/>
      <c r="L572" s="11"/>
      <c r="M572" s="11"/>
    </row>
    <row r="573" spans="1:13" ht="13.5">
      <c r="A573" s="1"/>
      <c r="B573" s="341"/>
      <c r="C573" s="19" t="s">
        <v>54</v>
      </c>
      <c r="D573" s="1" t="s">
        <v>64</v>
      </c>
      <c r="E573" s="1">
        <v>1</v>
      </c>
      <c r="F573" s="2">
        <f>F572*E573</f>
        <v>380</v>
      </c>
      <c r="G573" s="1"/>
      <c r="H573" s="2"/>
      <c r="I573" s="3">
        <v>20</v>
      </c>
      <c r="J573" s="2">
        <f>F573*I573</f>
        <v>7600</v>
      </c>
      <c r="K573" s="3"/>
      <c r="L573" s="2"/>
      <c r="M573" s="2">
        <f>H573+J573+L573</f>
        <v>7600</v>
      </c>
    </row>
    <row r="574" spans="1:13" ht="13.5">
      <c r="A574" s="1"/>
      <c r="B574" s="341"/>
      <c r="C574" s="19" t="s">
        <v>56</v>
      </c>
      <c r="D574" s="1"/>
      <c r="E574" s="1"/>
      <c r="F574" s="2"/>
      <c r="G574" s="1"/>
      <c r="H574" s="2"/>
      <c r="I574" s="3"/>
      <c r="J574" s="2"/>
      <c r="K574" s="3"/>
      <c r="L574" s="2"/>
      <c r="M574" s="2"/>
    </row>
    <row r="575" spans="1:13" ht="27">
      <c r="A575" s="37"/>
      <c r="B575" s="344"/>
      <c r="C575" s="123" t="s">
        <v>766</v>
      </c>
      <c r="D575" s="37" t="s">
        <v>64</v>
      </c>
      <c r="E575" s="37">
        <v>1</v>
      </c>
      <c r="F575" s="199">
        <f>F572*E575</f>
        <v>380</v>
      </c>
      <c r="G575" s="37">
        <v>230</v>
      </c>
      <c r="H575" s="199">
        <f>F575*G575</f>
        <v>87400</v>
      </c>
      <c r="I575" s="250"/>
      <c r="J575" s="199"/>
      <c r="K575" s="250"/>
      <c r="L575" s="199"/>
      <c r="M575" s="199">
        <f>H575+J575+L575</f>
        <v>87400</v>
      </c>
    </row>
    <row r="576" spans="1:13" ht="26.25">
      <c r="A576" s="47"/>
      <c r="B576" s="325"/>
      <c r="C576" s="277" t="s">
        <v>707</v>
      </c>
      <c r="D576" s="47"/>
      <c r="E576" s="47"/>
      <c r="F576" s="108"/>
      <c r="G576" s="108"/>
      <c r="H576" s="108"/>
      <c r="I576" s="108"/>
      <c r="J576" s="108"/>
      <c r="K576" s="108"/>
      <c r="L576" s="108"/>
      <c r="M576" s="108"/>
    </row>
    <row r="577" spans="1:13" s="135" customFormat="1" ht="54">
      <c r="A577" s="28">
        <v>98</v>
      </c>
      <c r="B577" s="149" t="s">
        <v>697</v>
      </c>
      <c r="C577" s="86" t="s">
        <v>763</v>
      </c>
      <c r="D577" s="28" t="s">
        <v>64</v>
      </c>
      <c r="E577" s="28"/>
      <c r="F577" s="164">
        <v>165</v>
      </c>
      <c r="G577" s="28"/>
      <c r="H577" s="11"/>
      <c r="I577" s="29"/>
      <c r="J577" s="11"/>
      <c r="K577" s="29"/>
      <c r="L577" s="11"/>
      <c r="M577" s="11"/>
    </row>
    <row r="578" spans="1:13" s="135" customFormat="1" ht="15.75" customHeight="1">
      <c r="A578" s="128"/>
      <c r="B578" s="120"/>
      <c r="C578" s="19" t="s">
        <v>54</v>
      </c>
      <c r="D578" s="1" t="s">
        <v>55</v>
      </c>
      <c r="E578" s="1">
        <f>19.5*0.05</f>
        <v>0.9750000000000001</v>
      </c>
      <c r="F578" s="2">
        <f>F577*E578</f>
        <v>160.87500000000003</v>
      </c>
      <c r="G578" s="13"/>
      <c r="H578" s="13"/>
      <c r="I578" s="13">
        <v>6</v>
      </c>
      <c r="J578" s="13">
        <f>F578*I578</f>
        <v>965.2500000000002</v>
      </c>
      <c r="K578" s="13"/>
      <c r="L578" s="13"/>
      <c r="M578" s="13">
        <f>H578+J578+L578</f>
        <v>965.2500000000002</v>
      </c>
    </row>
    <row r="579" spans="1:13" s="135" customFormat="1" ht="18.75" customHeight="1">
      <c r="A579" s="128"/>
      <c r="B579" s="120"/>
      <c r="C579" s="19" t="s">
        <v>99</v>
      </c>
      <c r="D579" s="1" t="s">
        <v>43</v>
      </c>
      <c r="E579" s="1">
        <f>0.61*0.05</f>
        <v>0.0305</v>
      </c>
      <c r="F579" s="2">
        <f>F577*E579</f>
        <v>5.0325</v>
      </c>
      <c r="G579" s="13"/>
      <c r="H579" s="13"/>
      <c r="I579" s="13"/>
      <c r="J579" s="13"/>
      <c r="K579" s="13">
        <v>3.2</v>
      </c>
      <c r="L579" s="13">
        <f>F579*K579</f>
        <v>16.104</v>
      </c>
      <c r="M579" s="13">
        <f>H579+J579+L579</f>
        <v>16.104</v>
      </c>
    </row>
    <row r="580" spans="1:13" s="135" customFormat="1" ht="13.5">
      <c r="A580" s="128"/>
      <c r="B580" s="120"/>
      <c r="C580" s="19" t="s">
        <v>56</v>
      </c>
      <c r="D580" s="1"/>
      <c r="E580" s="1"/>
      <c r="F580" s="2">
        <f>E580*2353</f>
        <v>0</v>
      </c>
      <c r="G580" s="13"/>
      <c r="H580" s="13"/>
      <c r="I580" s="13"/>
      <c r="J580" s="13"/>
      <c r="K580" s="13"/>
      <c r="L580" s="13"/>
      <c r="M580" s="13"/>
    </row>
    <row r="581" spans="1:13" s="135" customFormat="1" ht="15.75" customHeight="1">
      <c r="A581" s="128"/>
      <c r="B581" s="120"/>
      <c r="C581" s="19" t="s">
        <v>666</v>
      </c>
      <c r="D581" s="1" t="s">
        <v>64</v>
      </c>
      <c r="E581" s="1">
        <v>1.03</v>
      </c>
      <c r="F581" s="2">
        <f>F577*E581</f>
        <v>169.95000000000002</v>
      </c>
      <c r="G581" s="13">
        <v>8.5</v>
      </c>
      <c r="H581" s="13">
        <f>F581*G581</f>
        <v>1444.575</v>
      </c>
      <c r="I581" s="13"/>
      <c r="J581" s="13"/>
      <c r="K581" s="13"/>
      <c r="L581" s="13"/>
      <c r="M581" s="13">
        <f>H581+J581+L581</f>
        <v>1444.575</v>
      </c>
    </row>
    <row r="582" spans="1:13" s="135" customFormat="1" ht="15.75" customHeight="1">
      <c r="A582" s="128"/>
      <c r="B582" s="120"/>
      <c r="C582" s="19" t="s">
        <v>375</v>
      </c>
      <c r="D582" s="1" t="s">
        <v>65</v>
      </c>
      <c r="E582" s="1">
        <f>70*0.05</f>
        <v>3.5</v>
      </c>
      <c r="F582" s="2">
        <f>F577*E582</f>
        <v>577.5</v>
      </c>
      <c r="G582" s="13">
        <v>1.17</v>
      </c>
      <c r="H582" s="13">
        <f>F582*G582</f>
        <v>675.675</v>
      </c>
      <c r="I582" s="13"/>
      <c r="J582" s="13"/>
      <c r="K582" s="13"/>
      <c r="L582" s="13"/>
      <c r="M582" s="13">
        <f>H582+J582+L582</f>
        <v>675.675</v>
      </c>
    </row>
    <row r="583" spans="1:13" s="135" customFormat="1" ht="15.75" customHeight="1">
      <c r="A583" s="128"/>
      <c r="B583" s="120"/>
      <c r="C583" s="19" t="s">
        <v>696</v>
      </c>
      <c r="D583" s="1" t="s">
        <v>59</v>
      </c>
      <c r="E583" s="1">
        <v>5</v>
      </c>
      <c r="F583" s="2">
        <f>F577*E583</f>
        <v>825</v>
      </c>
      <c r="G583" s="13">
        <v>0.18</v>
      </c>
      <c r="H583" s="13">
        <f>F583*G583</f>
        <v>148.5</v>
      </c>
      <c r="I583" s="13"/>
      <c r="J583" s="13"/>
      <c r="K583" s="13"/>
      <c r="L583" s="13"/>
      <c r="M583" s="13">
        <f>H583+J583+L583</f>
        <v>148.5</v>
      </c>
    </row>
    <row r="584" spans="1:13" s="268" customFormat="1" ht="27" customHeight="1">
      <c r="A584" s="265">
        <v>99</v>
      </c>
      <c r="B584" s="345" t="s">
        <v>708</v>
      </c>
      <c r="C584" s="264" t="s">
        <v>868</v>
      </c>
      <c r="D584" s="265" t="s">
        <v>64</v>
      </c>
      <c r="E584" s="265"/>
      <c r="F584" s="164">
        <f>F577</f>
        <v>165</v>
      </c>
      <c r="G584" s="265"/>
      <c r="H584" s="266"/>
      <c r="I584" s="267"/>
      <c r="J584" s="266"/>
      <c r="K584" s="267"/>
      <c r="L584" s="266"/>
      <c r="M584" s="266"/>
    </row>
    <row r="585" spans="1:13" s="268" customFormat="1" ht="13.5" customHeight="1">
      <c r="A585" s="262"/>
      <c r="B585" s="346"/>
      <c r="C585" s="343" t="s">
        <v>709</v>
      </c>
      <c r="D585" s="262" t="s">
        <v>55</v>
      </c>
      <c r="E585" s="262">
        <v>0.39</v>
      </c>
      <c r="F585" s="261">
        <f>F584*E585</f>
        <v>64.35000000000001</v>
      </c>
      <c r="G585" s="13"/>
      <c r="H585" s="13"/>
      <c r="I585" s="13">
        <v>6</v>
      </c>
      <c r="J585" s="13">
        <f>F585*I585</f>
        <v>386.1</v>
      </c>
      <c r="K585" s="13"/>
      <c r="L585" s="13"/>
      <c r="M585" s="13">
        <f>H585+J585+L585</f>
        <v>386.1</v>
      </c>
    </row>
    <row r="586" spans="1:13" s="268" customFormat="1" ht="13.5" customHeight="1">
      <c r="A586" s="262"/>
      <c r="B586" s="346"/>
      <c r="C586" s="343" t="s">
        <v>99</v>
      </c>
      <c r="D586" s="262" t="s">
        <v>43</v>
      </c>
      <c r="E586" s="262">
        <v>0.0016</v>
      </c>
      <c r="F586" s="261">
        <f>F584*E586</f>
        <v>0.264</v>
      </c>
      <c r="G586" s="13"/>
      <c r="H586" s="13"/>
      <c r="I586" s="13"/>
      <c r="J586" s="13"/>
      <c r="K586" s="13">
        <v>3.2</v>
      </c>
      <c r="L586" s="13">
        <f>F586*K586</f>
        <v>0.8448000000000001</v>
      </c>
      <c r="M586" s="13">
        <f>H586+J586+L586</f>
        <v>0.8448000000000001</v>
      </c>
    </row>
    <row r="587" spans="1:13" s="268" customFormat="1" ht="13.5" customHeight="1">
      <c r="A587" s="262"/>
      <c r="B587" s="346"/>
      <c r="C587" s="343" t="s">
        <v>56</v>
      </c>
      <c r="D587" s="262"/>
      <c r="E587" s="262"/>
      <c r="F587" s="262">
        <f>E587*6</f>
        <v>0</v>
      </c>
      <c r="G587" s="13"/>
      <c r="H587" s="13"/>
      <c r="I587" s="13"/>
      <c r="J587" s="13"/>
      <c r="K587" s="13"/>
      <c r="L587" s="13"/>
      <c r="M587" s="13"/>
    </row>
    <row r="588" spans="1:13" s="135" customFormat="1" ht="13.5">
      <c r="A588" s="262"/>
      <c r="B588" s="342"/>
      <c r="C588" s="343" t="s">
        <v>135</v>
      </c>
      <c r="D588" s="262" t="s">
        <v>65</v>
      </c>
      <c r="E588" s="262">
        <v>0.27</v>
      </c>
      <c r="F588" s="261">
        <f>F584*E588</f>
        <v>44.550000000000004</v>
      </c>
      <c r="G588" s="13">
        <v>2.2</v>
      </c>
      <c r="H588" s="13">
        <f>F588*G588</f>
        <v>98.01000000000002</v>
      </c>
      <c r="I588" s="13"/>
      <c r="J588" s="13"/>
      <c r="K588" s="13"/>
      <c r="L588" s="13"/>
      <c r="M588" s="13">
        <f>H588+J588+L588</f>
        <v>98.01000000000002</v>
      </c>
    </row>
    <row r="589" spans="1:13" s="135" customFormat="1" ht="13.5">
      <c r="A589" s="262"/>
      <c r="B589" s="342"/>
      <c r="C589" s="343" t="s">
        <v>711</v>
      </c>
      <c r="D589" s="262" t="s">
        <v>64</v>
      </c>
      <c r="E589" s="262">
        <v>1.05</v>
      </c>
      <c r="F589" s="261">
        <f>F584*E589</f>
        <v>173.25</v>
      </c>
      <c r="G589" s="13">
        <v>2.7</v>
      </c>
      <c r="H589" s="13">
        <f>F589*G589</f>
        <v>467.77500000000003</v>
      </c>
      <c r="I589" s="13"/>
      <c r="J589" s="13"/>
      <c r="K589" s="13"/>
      <c r="L589" s="13"/>
      <c r="M589" s="13">
        <f>H589+J589+L589</f>
        <v>467.77500000000003</v>
      </c>
    </row>
    <row r="590" spans="1:13" s="135" customFormat="1" ht="13.5">
      <c r="A590" s="262"/>
      <c r="B590" s="342"/>
      <c r="C590" s="343" t="s">
        <v>57</v>
      </c>
      <c r="D590" s="262" t="s">
        <v>43</v>
      </c>
      <c r="E590" s="262">
        <v>0.1</v>
      </c>
      <c r="F590" s="261">
        <f>F584*E590</f>
        <v>16.5</v>
      </c>
      <c r="G590" s="13">
        <v>3.2</v>
      </c>
      <c r="H590" s="13">
        <f>F590*G590</f>
        <v>52.800000000000004</v>
      </c>
      <c r="I590" s="13"/>
      <c r="J590" s="13"/>
      <c r="K590" s="13"/>
      <c r="L590" s="13"/>
      <c r="M590" s="13">
        <f>H590+J590+L590</f>
        <v>52.800000000000004</v>
      </c>
    </row>
    <row r="591" spans="1:13" s="135" customFormat="1" ht="54">
      <c r="A591" s="265">
        <v>100</v>
      </c>
      <c r="B591" s="345" t="s">
        <v>710</v>
      </c>
      <c r="C591" s="264" t="s">
        <v>712</v>
      </c>
      <c r="D591" s="265" t="s">
        <v>64</v>
      </c>
      <c r="E591" s="265"/>
      <c r="F591" s="164">
        <v>165</v>
      </c>
      <c r="G591" s="265"/>
      <c r="H591" s="266"/>
      <c r="I591" s="267"/>
      <c r="J591" s="266"/>
      <c r="K591" s="267"/>
      <c r="L591" s="266"/>
      <c r="M591" s="266"/>
    </row>
    <row r="592" spans="1:13" s="135" customFormat="1" ht="15.75" customHeight="1">
      <c r="A592" s="262"/>
      <c r="B592" s="342"/>
      <c r="C592" s="343" t="s">
        <v>54</v>
      </c>
      <c r="D592" s="262" t="s">
        <v>55</v>
      </c>
      <c r="E592" s="262">
        <v>10.2</v>
      </c>
      <c r="F592" s="261">
        <f>F591*E592</f>
        <v>1682.9999999999998</v>
      </c>
      <c r="G592" s="13"/>
      <c r="H592" s="13"/>
      <c r="I592" s="13">
        <v>6</v>
      </c>
      <c r="J592" s="13">
        <f>F592*I592</f>
        <v>10097.999999999998</v>
      </c>
      <c r="K592" s="13"/>
      <c r="L592" s="13"/>
      <c r="M592" s="13">
        <f>H592+J592+L592</f>
        <v>10097.999999999998</v>
      </c>
    </row>
    <row r="593" spans="1:13" s="135" customFormat="1" ht="13.5">
      <c r="A593" s="262"/>
      <c r="B593" s="342"/>
      <c r="C593" s="343" t="s">
        <v>62</v>
      </c>
      <c r="D593" s="262" t="s">
        <v>43</v>
      </c>
      <c r="E593" s="262">
        <v>0.15</v>
      </c>
      <c r="F593" s="261">
        <f>F591*E593</f>
        <v>24.75</v>
      </c>
      <c r="G593" s="13"/>
      <c r="H593" s="13"/>
      <c r="I593" s="13"/>
      <c r="J593" s="13"/>
      <c r="K593" s="13">
        <v>3.2</v>
      </c>
      <c r="L593" s="13">
        <f>F593*K593</f>
        <v>79.2</v>
      </c>
      <c r="M593" s="13">
        <f>H593+J593+L593</f>
        <v>79.2</v>
      </c>
    </row>
    <row r="594" spans="1:13" s="135" customFormat="1" ht="13.5">
      <c r="A594" s="262"/>
      <c r="B594" s="342"/>
      <c r="C594" s="343" t="s">
        <v>56</v>
      </c>
      <c r="D594" s="262"/>
      <c r="E594" s="262"/>
      <c r="F594" s="261">
        <f>E594*2353</f>
        <v>0</v>
      </c>
      <c r="G594" s="13"/>
      <c r="H594" s="13"/>
      <c r="I594" s="13"/>
      <c r="J594" s="13"/>
      <c r="K594" s="13"/>
      <c r="L594" s="13"/>
      <c r="M594" s="13"/>
    </row>
    <row r="595" spans="1:13" s="135" customFormat="1" ht="13.5">
      <c r="A595" s="262"/>
      <c r="B595" s="342"/>
      <c r="C595" s="343" t="s">
        <v>375</v>
      </c>
      <c r="D595" s="262" t="s">
        <v>65</v>
      </c>
      <c r="E595" s="262">
        <v>7</v>
      </c>
      <c r="F595" s="261">
        <f>F591*E595</f>
        <v>1155</v>
      </c>
      <c r="G595" s="13">
        <v>1.17</v>
      </c>
      <c r="H595" s="13">
        <f>F595*G595</f>
        <v>1351.35</v>
      </c>
      <c r="I595" s="13"/>
      <c r="J595" s="13"/>
      <c r="K595" s="13"/>
      <c r="L595" s="13"/>
      <c r="M595" s="13">
        <f>H595+J595+L595</f>
        <v>1351.35</v>
      </c>
    </row>
    <row r="596" spans="1:13" s="135" customFormat="1" ht="15.75" customHeight="1">
      <c r="A596" s="262"/>
      <c r="B596" s="342"/>
      <c r="C596" s="343" t="s">
        <v>554</v>
      </c>
      <c r="D596" s="262" t="s">
        <v>64</v>
      </c>
      <c r="E596" s="262">
        <v>0.98</v>
      </c>
      <c r="F596" s="261">
        <f>F591*E596</f>
        <v>161.7</v>
      </c>
      <c r="G596" s="13">
        <v>50</v>
      </c>
      <c r="H596" s="13">
        <f>F596*G596</f>
        <v>8084.999999999999</v>
      </c>
      <c r="I596" s="13"/>
      <c r="J596" s="13"/>
      <c r="K596" s="13"/>
      <c r="L596" s="13"/>
      <c r="M596" s="13">
        <f>H596+J596+L596</f>
        <v>8084.999999999999</v>
      </c>
    </row>
    <row r="597" spans="1:13" s="135" customFormat="1" ht="13.5">
      <c r="A597" s="347"/>
      <c r="B597" s="348"/>
      <c r="C597" s="349" t="s">
        <v>57</v>
      </c>
      <c r="D597" s="347" t="s">
        <v>43</v>
      </c>
      <c r="E597" s="347">
        <v>0.09</v>
      </c>
      <c r="F597" s="263">
        <f>F591*E597</f>
        <v>14.85</v>
      </c>
      <c r="G597" s="13">
        <v>3.2</v>
      </c>
      <c r="H597" s="13">
        <f>F597*G597</f>
        <v>47.52</v>
      </c>
      <c r="I597" s="13"/>
      <c r="J597" s="13"/>
      <c r="K597" s="13"/>
      <c r="L597" s="13"/>
      <c r="M597" s="13">
        <f>H597+J597+L597</f>
        <v>47.52</v>
      </c>
    </row>
    <row r="598" spans="1:13" s="332" customFormat="1" ht="40.5">
      <c r="A598" s="76">
        <v>101</v>
      </c>
      <c r="B598" s="141" t="s">
        <v>354</v>
      </c>
      <c r="C598" s="114" t="s">
        <v>689</v>
      </c>
      <c r="D598" s="76" t="s">
        <v>64</v>
      </c>
      <c r="E598" s="76"/>
      <c r="F598" s="168">
        <v>11.9</v>
      </c>
      <c r="G598" s="130"/>
      <c r="H598" s="130"/>
      <c r="I598" s="130"/>
      <c r="J598" s="130"/>
      <c r="K598" s="130"/>
      <c r="L598" s="130"/>
      <c r="M598" s="130"/>
    </row>
    <row r="599" spans="1:13" s="332" customFormat="1" ht="13.5">
      <c r="A599" s="62"/>
      <c r="B599" s="142"/>
      <c r="C599" s="79" t="s">
        <v>54</v>
      </c>
      <c r="D599" s="62" t="s">
        <v>55</v>
      </c>
      <c r="E599" s="62">
        <v>3.91</v>
      </c>
      <c r="F599" s="89">
        <f>F598*E599</f>
        <v>46.529</v>
      </c>
      <c r="G599" s="131"/>
      <c r="H599" s="131"/>
      <c r="I599" s="131">
        <v>7.8</v>
      </c>
      <c r="J599" s="131">
        <f>F599*I599</f>
        <v>362.9262</v>
      </c>
      <c r="K599" s="131"/>
      <c r="L599" s="131"/>
      <c r="M599" s="131">
        <f>H599+J599+L599</f>
        <v>362.9262</v>
      </c>
    </row>
    <row r="600" spans="1:13" s="332" customFormat="1" ht="13.5">
      <c r="A600" s="62"/>
      <c r="B600" s="142"/>
      <c r="C600" s="79" t="s">
        <v>62</v>
      </c>
      <c r="D600" s="65" t="s">
        <v>43</v>
      </c>
      <c r="E600" s="62">
        <v>0.048</v>
      </c>
      <c r="F600" s="89">
        <f>F598*E600</f>
        <v>0.5712</v>
      </c>
      <c r="G600" s="131"/>
      <c r="H600" s="131"/>
      <c r="I600" s="131"/>
      <c r="J600" s="131"/>
      <c r="K600" s="131">
        <v>3.2</v>
      </c>
      <c r="L600" s="131">
        <f>F600*K600</f>
        <v>1.8278400000000001</v>
      </c>
      <c r="M600" s="131">
        <f>H600+J600+L600</f>
        <v>1.8278400000000001</v>
      </c>
    </row>
    <row r="601" spans="1:13" s="332" customFormat="1" ht="13.5">
      <c r="A601" s="62"/>
      <c r="B601" s="142"/>
      <c r="C601" s="79" t="s">
        <v>56</v>
      </c>
      <c r="D601" s="62"/>
      <c r="E601" s="62"/>
      <c r="F601" s="89"/>
      <c r="G601" s="131"/>
      <c r="H601" s="131"/>
      <c r="I601" s="131"/>
      <c r="J601" s="131"/>
      <c r="K601" s="131"/>
      <c r="L601" s="131"/>
      <c r="M601" s="131"/>
    </row>
    <row r="602" spans="1:13" s="332" customFormat="1" ht="13.5">
      <c r="A602" s="62"/>
      <c r="B602" s="142"/>
      <c r="C602" s="79" t="s">
        <v>690</v>
      </c>
      <c r="D602" s="62" t="s">
        <v>64</v>
      </c>
      <c r="E602" s="62">
        <v>1</v>
      </c>
      <c r="F602" s="89">
        <f>F598*E602</f>
        <v>11.9</v>
      </c>
      <c r="G602" s="131">
        <v>50</v>
      </c>
      <c r="H602" s="131">
        <f>F602*G602</f>
        <v>595</v>
      </c>
      <c r="I602" s="131"/>
      <c r="J602" s="131"/>
      <c r="K602" s="131"/>
      <c r="L602" s="131"/>
      <c r="M602" s="131">
        <f>H602+J602+L602</f>
        <v>595</v>
      </c>
    </row>
    <row r="603" spans="1:13" s="332" customFormat="1" ht="13.5">
      <c r="A603" s="62"/>
      <c r="B603" s="142"/>
      <c r="C603" s="79" t="s">
        <v>96</v>
      </c>
      <c r="D603" s="62" t="s">
        <v>66</v>
      </c>
      <c r="E603" s="62">
        <v>0.025</v>
      </c>
      <c r="F603" s="89">
        <f>F598*E603</f>
        <v>0.29750000000000004</v>
      </c>
      <c r="G603" s="131">
        <v>92</v>
      </c>
      <c r="H603" s="131">
        <f>F603*G603</f>
        <v>27.370000000000005</v>
      </c>
      <c r="I603" s="131"/>
      <c r="J603" s="131"/>
      <c r="K603" s="131"/>
      <c r="L603" s="131"/>
      <c r="M603" s="131">
        <f>H603+J603+L603</f>
        <v>27.370000000000005</v>
      </c>
    </row>
    <row r="604" spans="1:13" s="332" customFormat="1" ht="13.5">
      <c r="A604" s="62"/>
      <c r="B604" s="142"/>
      <c r="C604" s="79" t="s">
        <v>57</v>
      </c>
      <c r="D604" s="65" t="s">
        <v>43</v>
      </c>
      <c r="E604" s="62">
        <v>1.43</v>
      </c>
      <c r="F604" s="89">
        <f>F598*E604</f>
        <v>17.017</v>
      </c>
      <c r="G604" s="131">
        <v>3.2</v>
      </c>
      <c r="H604" s="131">
        <f>F604*G604</f>
        <v>54.4544</v>
      </c>
      <c r="I604" s="131"/>
      <c r="J604" s="131"/>
      <c r="K604" s="131"/>
      <c r="L604" s="131"/>
      <c r="M604" s="131">
        <f>H604+J604+L604</f>
        <v>54.4544</v>
      </c>
    </row>
    <row r="605" spans="1:13" s="135" customFormat="1" ht="27">
      <c r="A605" s="28">
        <v>102</v>
      </c>
      <c r="B605" s="340" t="s">
        <v>86</v>
      </c>
      <c r="C605" s="117" t="s">
        <v>576</v>
      </c>
      <c r="D605" s="62" t="s">
        <v>115</v>
      </c>
      <c r="E605" s="28"/>
      <c r="F605" s="168">
        <v>820</v>
      </c>
      <c r="G605" s="30"/>
      <c r="H605" s="30"/>
      <c r="I605" s="30"/>
      <c r="J605" s="30"/>
      <c r="K605" s="30"/>
      <c r="L605" s="30"/>
      <c r="M605" s="30"/>
    </row>
    <row r="606" spans="1:13" s="135" customFormat="1" ht="13.5" customHeight="1">
      <c r="A606" s="1"/>
      <c r="B606" s="20"/>
      <c r="C606" s="19" t="s">
        <v>54</v>
      </c>
      <c r="D606" s="62" t="s">
        <v>115</v>
      </c>
      <c r="E606" s="1">
        <v>1</v>
      </c>
      <c r="F606" s="13">
        <f>F605*E606</f>
        <v>820</v>
      </c>
      <c r="G606" s="13"/>
      <c r="H606" s="13"/>
      <c r="I606" s="13">
        <v>0.5</v>
      </c>
      <c r="J606" s="13">
        <f>F606*I606</f>
        <v>410</v>
      </c>
      <c r="K606" s="13"/>
      <c r="L606" s="13"/>
      <c r="M606" s="13">
        <f>H606+J606+L606</f>
        <v>410</v>
      </c>
    </row>
    <row r="607" spans="1:13" s="216" customFormat="1" ht="13.5" customHeight="1">
      <c r="A607" s="214"/>
      <c r="B607" s="20"/>
      <c r="C607" s="19" t="s">
        <v>56</v>
      </c>
      <c r="D607" s="1"/>
      <c r="E607" s="1"/>
      <c r="F607" s="13"/>
      <c r="G607" s="13"/>
      <c r="H607" s="13"/>
      <c r="I607" s="13"/>
      <c r="J607" s="13"/>
      <c r="K607" s="13"/>
      <c r="L607" s="13"/>
      <c r="M607" s="13"/>
    </row>
    <row r="608" spans="1:13" s="216" customFormat="1" ht="13.5" customHeight="1">
      <c r="A608" s="270"/>
      <c r="B608" s="153"/>
      <c r="C608" s="123" t="s">
        <v>577</v>
      </c>
      <c r="D608" s="67" t="s">
        <v>115</v>
      </c>
      <c r="E608" s="37">
        <v>1</v>
      </c>
      <c r="F608" s="124">
        <f>F605*E608</f>
        <v>820</v>
      </c>
      <c r="G608" s="124">
        <v>1.5</v>
      </c>
      <c r="H608" s="124">
        <f>F608*G608</f>
        <v>1230</v>
      </c>
      <c r="I608" s="124"/>
      <c r="J608" s="124"/>
      <c r="K608" s="124"/>
      <c r="L608" s="124"/>
      <c r="M608" s="124">
        <f>H608+J608+L608</f>
        <v>1230</v>
      </c>
    </row>
    <row r="609" spans="1:13" ht="14.25" customHeight="1">
      <c r="A609" s="28">
        <v>103</v>
      </c>
      <c r="B609" s="149" t="s">
        <v>683</v>
      </c>
      <c r="C609" s="43" t="s">
        <v>345</v>
      </c>
      <c r="D609" s="28" t="s">
        <v>64</v>
      </c>
      <c r="E609" s="28"/>
      <c r="F609" s="164">
        <v>1097</v>
      </c>
      <c r="G609" s="30"/>
      <c r="H609" s="30"/>
      <c r="I609" s="30"/>
      <c r="J609" s="30"/>
      <c r="K609" s="30"/>
      <c r="L609" s="30"/>
      <c r="M609" s="30"/>
    </row>
    <row r="610" spans="1:13" ht="13.5">
      <c r="A610" s="1"/>
      <c r="B610" s="120"/>
      <c r="C610" s="4" t="s">
        <v>54</v>
      </c>
      <c r="D610" s="1" t="s">
        <v>366</v>
      </c>
      <c r="E610" s="65">
        <v>0.459</v>
      </c>
      <c r="F610" s="13">
        <f>F609*E610</f>
        <v>503.523</v>
      </c>
      <c r="G610" s="13"/>
      <c r="H610" s="13"/>
      <c r="I610" s="13">
        <v>7.8</v>
      </c>
      <c r="J610" s="13">
        <f>F610*I610</f>
        <v>3927.4794</v>
      </c>
      <c r="K610" s="13"/>
      <c r="L610" s="13"/>
      <c r="M610" s="13">
        <f>H610+J610+L610</f>
        <v>3927.4794</v>
      </c>
    </row>
    <row r="611" spans="1:13" ht="13.5">
      <c r="A611" s="1"/>
      <c r="B611" s="120"/>
      <c r="C611" s="4" t="s">
        <v>62</v>
      </c>
      <c r="D611" s="1" t="s">
        <v>43</v>
      </c>
      <c r="E611" s="65">
        <v>0.0023</v>
      </c>
      <c r="F611" s="13">
        <f>F609*E611</f>
        <v>2.5231</v>
      </c>
      <c r="G611" s="13"/>
      <c r="H611" s="13"/>
      <c r="I611" s="13"/>
      <c r="J611" s="13"/>
      <c r="K611" s="13">
        <v>3.2</v>
      </c>
      <c r="L611" s="13">
        <f>F611*K611</f>
        <v>8.07392</v>
      </c>
      <c r="M611" s="13">
        <f>H611+J611+L611</f>
        <v>8.07392</v>
      </c>
    </row>
    <row r="612" spans="1:13" ht="13.5">
      <c r="A612" s="1"/>
      <c r="B612" s="120"/>
      <c r="C612" s="4" t="s">
        <v>56</v>
      </c>
      <c r="D612" s="1"/>
      <c r="E612" s="65"/>
      <c r="F612" s="13">
        <f>E612*2353</f>
        <v>0</v>
      </c>
      <c r="G612" s="13"/>
      <c r="H612" s="13"/>
      <c r="I612" s="13"/>
      <c r="J612" s="13"/>
      <c r="K612" s="13"/>
      <c r="L612" s="13"/>
      <c r="M612" s="13"/>
    </row>
    <row r="613" spans="1:13" ht="13.5">
      <c r="A613" s="1"/>
      <c r="B613" s="120"/>
      <c r="C613" s="4" t="s">
        <v>26</v>
      </c>
      <c r="D613" s="1" t="s">
        <v>75</v>
      </c>
      <c r="E613" s="65">
        <v>0.00035</v>
      </c>
      <c r="F613" s="13">
        <f>F609*E613</f>
        <v>0.38395</v>
      </c>
      <c r="G613" s="13">
        <v>1220</v>
      </c>
      <c r="H613" s="13">
        <f>F613*G613</f>
        <v>468.41900000000004</v>
      </c>
      <c r="I613" s="13"/>
      <c r="J613" s="13"/>
      <c r="K613" s="13"/>
      <c r="L613" s="13"/>
      <c r="M613" s="13">
        <f>H613+J613+L613</f>
        <v>468.41900000000004</v>
      </c>
    </row>
    <row r="614" spans="1:13" ht="13.5">
      <c r="A614" s="1"/>
      <c r="B614" s="120"/>
      <c r="C614" s="4" t="s">
        <v>27</v>
      </c>
      <c r="D614" s="1" t="s">
        <v>66</v>
      </c>
      <c r="E614" s="65">
        <v>9E-05</v>
      </c>
      <c r="F614" s="13">
        <f>F609*E614</f>
        <v>0.09873000000000001</v>
      </c>
      <c r="G614" s="13">
        <v>590</v>
      </c>
      <c r="H614" s="13">
        <f>F614*G614</f>
        <v>58.25070000000001</v>
      </c>
      <c r="I614" s="13"/>
      <c r="J614" s="13"/>
      <c r="K614" s="13"/>
      <c r="L614" s="13"/>
      <c r="M614" s="13">
        <f>H614+J614+L614</f>
        <v>58.25070000000001</v>
      </c>
    </row>
    <row r="615" spans="1:13" ht="13.5">
      <c r="A615" s="1"/>
      <c r="B615" s="120"/>
      <c r="C615" s="4" t="s">
        <v>28</v>
      </c>
      <c r="D615" s="1" t="s">
        <v>64</v>
      </c>
      <c r="E615" s="69">
        <v>0.034</v>
      </c>
      <c r="F615" s="13">
        <f>F609*E615</f>
        <v>37.298</v>
      </c>
      <c r="G615" s="13">
        <v>13</v>
      </c>
      <c r="H615" s="13">
        <f>F615*G615</f>
        <v>484.874</v>
      </c>
      <c r="I615" s="13"/>
      <c r="J615" s="13"/>
      <c r="K615" s="13"/>
      <c r="L615" s="13"/>
      <c r="M615" s="13">
        <f>H615+J615+L615</f>
        <v>484.874</v>
      </c>
    </row>
    <row r="616" spans="1:13" ht="13.5">
      <c r="A616" s="52"/>
      <c r="B616" s="325"/>
      <c r="C616" s="277" t="s">
        <v>30</v>
      </c>
      <c r="D616" s="52"/>
      <c r="E616" s="52"/>
      <c r="F616" s="161"/>
      <c r="G616" s="161"/>
      <c r="H616" s="161">
        <f>SUM(H518:H615)</f>
        <v>125390.62303199999</v>
      </c>
      <c r="I616" s="161"/>
      <c r="J616" s="161">
        <f>SUM(J518:J615)</f>
        <v>34629.1266</v>
      </c>
      <c r="K616" s="161"/>
      <c r="L616" s="161">
        <f>SUM(L518:L615)</f>
        <v>439.73512</v>
      </c>
      <c r="M616" s="161">
        <f>SUM(M518:M615)</f>
        <v>160459.484752</v>
      </c>
    </row>
    <row r="617" spans="1:13" s="268" customFormat="1" ht="16.5">
      <c r="A617" s="47"/>
      <c r="B617" s="126"/>
      <c r="C617" s="333" t="s">
        <v>379</v>
      </c>
      <c r="D617" s="47"/>
      <c r="E617" s="47"/>
      <c r="F617" s="108"/>
      <c r="G617" s="108"/>
      <c r="H617" s="108"/>
      <c r="I617" s="108"/>
      <c r="J617" s="108"/>
      <c r="K617" s="108"/>
      <c r="L617" s="108"/>
      <c r="M617" s="108"/>
    </row>
    <row r="618" spans="1:13" s="55" customFormat="1" ht="15.75">
      <c r="A618" s="47"/>
      <c r="B618" s="126"/>
      <c r="C618" s="116" t="s">
        <v>681</v>
      </c>
      <c r="D618" s="47"/>
      <c r="E618" s="287"/>
      <c r="F618" s="108"/>
      <c r="G618" s="108"/>
      <c r="H618" s="108"/>
      <c r="I618" s="108"/>
      <c r="J618" s="108"/>
      <c r="K618" s="108"/>
      <c r="L618" s="108"/>
      <c r="M618" s="108"/>
    </row>
    <row r="619" spans="1:13" s="268" customFormat="1" ht="29.25" customHeight="1">
      <c r="A619" s="1">
        <v>104</v>
      </c>
      <c r="B619" s="120" t="s">
        <v>155</v>
      </c>
      <c r="C619" s="4" t="s">
        <v>680</v>
      </c>
      <c r="D619" s="1" t="s">
        <v>85</v>
      </c>
      <c r="E619" s="1"/>
      <c r="F619" s="165">
        <v>119.4</v>
      </c>
      <c r="G619" s="13"/>
      <c r="H619" s="13"/>
      <c r="I619" s="13"/>
      <c r="J619" s="13"/>
      <c r="K619" s="13"/>
      <c r="L619" s="13"/>
      <c r="M619" s="13"/>
    </row>
    <row r="620" spans="1:13" s="268" customFormat="1" ht="14.25" customHeight="1">
      <c r="A620" s="125"/>
      <c r="B620" s="120"/>
      <c r="C620" s="19" t="s">
        <v>54</v>
      </c>
      <c r="D620" s="1" t="s">
        <v>366</v>
      </c>
      <c r="E620" s="1">
        <v>0.379</v>
      </c>
      <c r="F620" s="13">
        <f>F619*E620</f>
        <v>45.2526</v>
      </c>
      <c r="G620" s="13"/>
      <c r="H620" s="13"/>
      <c r="I620" s="13">
        <v>6</v>
      </c>
      <c r="J620" s="13">
        <f>F620*I620</f>
        <v>271.5156</v>
      </c>
      <c r="K620" s="13"/>
      <c r="L620" s="13"/>
      <c r="M620" s="13">
        <f>H620+J620+L620</f>
        <v>271.5156</v>
      </c>
    </row>
    <row r="621" spans="1:13" s="268" customFormat="1" ht="13.5">
      <c r="A621" s="125"/>
      <c r="B621" s="120"/>
      <c r="C621" s="19" t="s">
        <v>62</v>
      </c>
      <c r="D621" s="1" t="s">
        <v>43</v>
      </c>
      <c r="E621" s="1">
        <v>0.028</v>
      </c>
      <c r="F621" s="13">
        <f>F619*E621</f>
        <v>3.3432000000000004</v>
      </c>
      <c r="G621" s="13"/>
      <c r="H621" s="13"/>
      <c r="I621" s="13"/>
      <c r="J621" s="13"/>
      <c r="K621" s="13">
        <v>3.2</v>
      </c>
      <c r="L621" s="13">
        <f>F621*K621</f>
        <v>10.698240000000002</v>
      </c>
      <c r="M621" s="13">
        <f>H621+J621+L621</f>
        <v>10.698240000000002</v>
      </c>
    </row>
    <row r="622" spans="1:13" s="268" customFormat="1" ht="13.5">
      <c r="A622" s="125"/>
      <c r="B622" s="120"/>
      <c r="C622" s="19" t="s">
        <v>56</v>
      </c>
      <c r="D622" s="1"/>
      <c r="E622" s="1"/>
      <c r="F622" s="13">
        <f>F619*E622</f>
        <v>0</v>
      </c>
      <c r="G622" s="13"/>
      <c r="H622" s="13"/>
      <c r="I622" s="13"/>
      <c r="J622" s="13"/>
      <c r="K622" s="13"/>
      <c r="L622" s="13"/>
      <c r="M622" s="13"/>
    </row>
    <row r="623" spans="1:13" s="268" customFormat="1" ht="13.5">
      <c r="A623" s="125"/>
      <c r="B623" s="120"/>
      <c r="C623" s="19" t="s">
        <v>9</v>
      </c>
      <c r="D623" s="1" t="s">
        <v>85</v>
      </c>
      <c r="E623" s="1">
        <v>1</v>
      </c>
      <c r="F623" s="13">
        <f>F619*E623</f>
        <v>119.4</v>
      </c>
      <c r="G623" s="13">
        <v>48</v>
      </c>
      <c r="H623" s="13">
        <f>F623*G623</f>
        <v>5731.200000000001</v>
      </c>
      <c r="I623" s="13"/>
      <c r="J623" s="13"/>
      <c r="K623" s="13"/>
      <c r="L623" s="13"/>
      <c r="M623" s="13">
        <f>H623+J623+L623</f>
        <v>5731.200000000001</v>
      </c>
    </row>
    <row r="624" spans="1:13" s="268" customFormat="1" ht="13.5">
      <c r="A624" s="125"/>
      <c r="B624" s="120"/>
      <c r="C624" s="19" t="s">
        <v>10</v>
      </c>
      <c r="D624" s="1" t="s">
        <v>75</v>
      </c>
      <c r="E624" s="1">
        <v>0.0015</v>
      </c>
      <c r="F624" s="13">
        <f>F619*E624</f>
        <v>0.1791</v>
      </c>
      <c r="G624" s="13">
        <v>157</v>
      </c>
      <c r="H624" s="13">
        <f>F624*G624</f>
        <v>28.1187</v>
      </c>
      <c r="I624" s="13"/>
      <c r="J624" s="13"/>
      <c r="K624" s="13"/>
      <c r="L624" s="13"/>
      <c r="M624" s="13">
        <f>H624+J624+L624</f>
        <v>28.1187</v>
      </c>
    </row>
    <row r="625" spans="1:13" s="121" customFormat="1" ht="29.25" customHeight="1">
      <c r="A625" s="28">
        <v>105</v>
      </c>
      <c r="B625" s="149" t="s">
        <v>8</v>
      </c>
      <c r="C625" s="43" t="s">
        <v>168</v>
      </c>
      <c r="D625" s="28" t="s">
        <v>64</v>
      </c>
      <c r="E625" s="28"/>
      <c r="F625" s="164">
        <v>119.4</v>
      </c>
      <c r="G625" s="30"/>
      <c r="H625" s="30"/>
      <c r="I625" s="30"/>
      <c r="J625" s="30"/>
      <c r="K625" s="30"/>
      <c r="L625" s="30"/>
      <c r="M625" s="30"/>
    </row>
    <row r="626" spans="1:13" s="121" customFormat="1" ht="13.5" customHeight="1">
      <c r="A626" s="1"/>
      <c r="B626" s="120"/>
      <c r="C626" s="4" t="s">
        <v>54</v>
      </c>
      <c r="D626" s="1" t="s">
        <v>366</v>
      </c>
      <c r="E626" s="1">
        <v>0.68</v>
      </c>
      <c r="F626" s="13">
        <f>F625*E626</f>
        <v>81.19200000000001</v>
      </c>
      <c r="G626" s="13"/>
      <c r="H626" s="13"/>
      <c r="I626" s="13">
        <v>7.8</v>
      </c>
      <c r="J626" s="13">
        <f>F626*I626</f>
        <v>633.2976</v>
      </c>
      <c r="K626" s="13"/>
      <c r="L626" s="13"/>
      <c r="M626" s="13">
        <f>H626+J626+L626</f>
        <v>633.2976</v>
      </c>
    </row>
    <row r="627" spans="1:13" s="121" customFormat="1" ht="13.5">
      <c r="A627" s="1"/>
      <c r="B627" s="120"/>
      <c r="C627" s="4" t="s">
        <v>62</v>
      </c>
      <c r="D627" s="1" t="s">
        <v>43</v>
      </c>
      <c r="E627" s="1">
        <v>0.0003</v>
      </c>
      <c r="F627" s="13">
        <f>F625*E627</f>
        <v>0.03582</v>
      </c>
      <c r="G627" s="13"/>
      <c r="H627" s="13"/>
      <c r="I627" s="13"/>
      <c r="J627" s="13"/>
      <c r="K627" s="13">
        <v>3.2</v>
      </c>
      <c r="L627" s="13">
        <f>F627*K627</f>
        <v>0.114624</v>
      </c>
      <c r="M627" s="13">
        <f>H627+J627+L627</f>
        <v>0.114624</v>
      </c>
    </row>
    <row r="628" spans="1:13" s="121" customFormat="1" ht="13.5">
      <c r="A628" s="1"/>
      <c r="B628" s="120"/>
      <c r="C628" s="4" t="s">
        <v>56</v>
      </c>
      <c r="D628" s="1"/>
      <c r="E628" s="1"/>
      <c r="F628" s="13">
        <f>F625*E628</f>
        <v>0</v>
      </c>
      <c r="G628" s="13"/>
      <c r="H628" s="13"/>
      <c r="I628" s="13"/>
      <c r="J628" s="13"/>
      <c r="K628" s="13"/>
      <c r="L628" s="13"/>
      <c r="M628" s="13"/>
    </row>
    <row r="629" spans="1:13" s="121" customFormat="1" ht="13.5">
      <c r="A629" s="1"/>
      <c r="B629" s="341"/>
      <c r="C629" s="4" t="s">
        <v>113</v>
      </c>
      <c r="D629" s="1" t="s">
        <v>65</v>
      </c>
      <c r="E629" s="1">
        <v>0.246</v>
      </c>
      <c r="F629" s="13">
        <f>F625*E629</f>
        <v>29.372400000000003</v>
      </c>
      <c r="G629" s="13">
        <v>6</v>
      </c>
      <c r="H629" s="13">
        <f>F629*G629</f>
        <v>176.23440000000002</v>
      </c>
      <c r="I629" s="13"/>
      <c r="J629" s="13"/>
      <c r="K629" s="13"/>
      <c r="L629" s="13"/>
      <c r="M629" s="13">
        <f>H629+J629+L629</f>
        <v>176.23440000000002</v>
      </c>
    </row>
    <row r="630" spans="1:13" s="121" customFormat="1" ht="13.5">
      <c r="A630" s="1"/>
      <c r="B630" s="341"/>
      <c r="C630" s="4" t="s">
        <v>114</v>
      </c>
      <c r="D630" s="1" t="s">
        <v>65</v>
      </c>
      <c r="E630" s="1">
        <v>0.027</v>
      </c>
      <c r="F630" s="13">
        <f>F625*E630</f>
        <v>3.2238</v>
      </c>
      <c r="G630" s="13">
        <v>5</v>
      </c>
      <c r="H630" s="13">
        <f>F630*G630</f>
        <v>16.119</v>
      </c>
      <c r="I630" s="13"/>
      <c r="J630" s="13"/>
      <c r="K630" s="13"/>
      <c r="L630" s="13"/>
      <c r="M630" s="13">
        <f>H630+J630+L630</f>
        <v>16.119</v>
      </c>
    </row>
    <row r="631" spans="1:13" s="121" customFormat="1" ht="13.5">
      <c r="A631" s="1"/>
      <c r="B631" s="341"/>
      <c r="C631" s="4" t="s">
        <v>57</v>
      </c>
      <c r="D631" s="1" t="s">
        <v>43</v>
      </c>
      <c r="E631" s="1">
        <v>0.0019</v>
      </c>
      <c r="F631" s="13">
        <f>F625*E631</f>
        <v>0.22686</v>
      </c>
      <c r="G631" s="13">
        <v>3.2</v>
      </c>
      <c r="H631" s="13">
        <f>F631*G631</f>
        <v>0.725952</v>
      </c>
      <c r="I631" s="13"/>
      <c r="J631" s="13"/>
      <c r="K631" s="13"/>
      <c r="L631" s="13"/>
      <c r="M631" s="13">
        <f>H631+J631+L631</f>
        <v>0.725952</v>
      </c>
    </row>
    <row r="632" spans="1:13" s="55" customFormat="1" ht="15.75">
      <c r="A632" s="47"/>
      <c r="B632" s="126"/>
      <c r="C632" s="116" t="s">
        <v>590</v>
      </c>
      <c r="D632" s="47"/>
      <c r="E632" s="287"/>
      <c r="F632" s="108"/>
      <c r="G632" s="108"/>
      <c r="H632" s="108"/>
      <c r="I632" s="108"/>
      <c r="J632" s="108"/>
      <c r="K632" s="108"/>
      <c r="L632" s="108"/>
      <c r="M632" s="108"/>
    </row>
    <row r="633" spans="1:13" s="331" customFormat="1" ht="27">
      <c r="A633" s="77">
        <v>106</v>
      </c>
      <c r="B633" s="136" t="s">
        <v>587</v>
      </c>
      <c r="C633" s="92" t="s">
        <v>591</v>
      </c>
      <c r="D633" s="77" t="s">
        <v>64</v>
      </c>
      <c r="E633" s="77"/>
      <c r="F633" s="164">
        <v>137.8</v>
      </c>
      <c r="G633" s="236"/>
      <c r="H633" s="236"/>
      <c r="I633" s="236"/>
      <c r="J633" s="236"/>
      <c r="K633" s="236"/>
      <c r="L633" s="236"/>
      <c r="M633" s="236"/>
    </row>
    <row r="634" spans="1:13" s="331" customFormat="1" ht="13.5">
      <c r="A634" s="134"/>
      <c r="B634" s="137"/>
      <c r="C634" s="78" t="s">
        <v>54</v>
      </c>
      <c r="D634" s="65" t="s">
        <v>55</v>
      </c>
      <c r="E634" s="65">
        <v>0.144</v>
      </c>
      <c r="F634" s="89">
        <f>F633*E634</f>
        <v>19.8432</v>
      </c>
      <c r="G634" s="210"/>
      <c r="H634" s="210"/>
      <c r="I634" s="89">
        <v>6</v>
      </c>
      <c r="J634" s="210">
        <f>F634*I634</f>
        <v>119.0592</v>
      </c>
      <c r="K634" s="210"/>
      <c r="L634" s="210"/>
      <c r="M634" s="210">
        <f>H634+J634+L634</f>
        <v>119.0592</v>
      </c>
    </row>
    <row r="635" spans="1:13" s="331" customFormat="1" ht="13.5">
      <c r="A635" s="134"/>
      <c r="B635" s="137"/>
      <c r="C635" s="79" t="s">
        <v>56</v>
      </c>
      <c r="D635" s="65"/>
      <c r="E635" s="65"/>
      <c r="F635" s="89"/>
      <c r="G635" s="210"/>
      <c r="H635" s="210"/>
      <c r="I635" s="210"/>
      <c r="J635" s="210"/>
      <c r="K635" s="210"/>
      <c r="L635" s="210"/>
      <c r="M635" s="210"/>
    </row>
    <row r="636" spans="1:13" s="331" customFormat="1" ht="13.5">
      <c r="A636" s="134"/>
      <c r="B636" s="137"/>
      <c r="C636" s="78" t="s">
        <v>588</v>
      </c>
      <c r="D636" s="65" t="s">
        <v>75</v>
      </c>
      <c r="E636" s="65">
        <v>0.0714</v>
      </c>
      <c r="F636" s="89">
        <f>F633*E636</f>
        <v>9.838920000000002</v>
      </c>
      <c r="G636" s="210">
        <v>112.7</v>
      </c>
      <c r="H636" s="210">
        <f>F636*G636</f>
        <v>1108.8462840000002</v>
      </c>
      <c r="I636" s="210"/>
      <c r="J636" s="210"/>
      <c r="K636" s="210"/>
      <c r="L636" s="210"/>
      <c r="M636" s="210">
        <f>H636+J636+L636</f>
        <v>1108.8462840000002</v>
      </c>
    </row>
    <row r="637" spans="1:13" s="331" customFormat="1" ht="13.5">
      <c r="A637" s="134"/>
      <c r="B637" s="137"/>
      <c r="C637" s="78" t="s">
        <v>589</v>
      </c>
      <c r="D637" s="65" t="s">
        <v>75</v>
      </c>
      <c r="E637" s="65">
        <v>0.0006</v>
      </c>
      <c r="F637" s="89">
        <f>F633*E637</f>
        <v>0.08268</v>
      </c>
      <c r="G637" s="210">
        <v>975</v>
      </c>
      <c r="H637" s="210">
        <f>F637*G637</f>
        <v>80.613</v>
      </c>
      <c r="I637" s="210"/>
      <c r="J637" s="210"/>
      <c r="K637" s="210"/>
      <c r="L637" s="210"/>
      <c r="M637" s="210">
        <f>H637+J637+L637</f>
        <v>80.613</v>
      </c>
    </row>
    <row r="638" spans="1:13" s="331" customFormat="1" ht="13.5">
      <c r="A638" s="256"/>
      <c r="B638" s="138"/>
      <c r="C638" s="156" t="s">
        <v>211</v>
      </c>
      <c r="D638" s="69" t="s">
        <v>66</v>
      </c>
      <c r="E638" s="69">
        <v>0.005</v>
      </c>
      <c r="F638" s="209">
        <f>F633*E638</f>
        <v>0.6890000000000001</v>
      </c>
      <c r="G638" s="237">
        <v>28</v>
      </c>
      <c r="H638" s="237">
        <f>F638*G638</f>
        <v>19.292</v>
      </c>
      <c r="I638" s="237"/>
      <c r="J638" s="237"/>
      <c r="K638" s="237"/>
      <c r="L638" s="237"/>
      <c r="M638" s="237">
        <f>H638+J638+L638</f>
        <v>19.292</v>
      </c>
    </row>
    <row r="639" spans="1:13" s="331" customFormat="1" ht="15.75" customHeight="1">
      <c r="A639" s="77">
        <v>107</v>
      </c>
      <c r="B639" s="136" t="s">
        <v>323</v>
      </c>
      <c r="C639" s="92" t="s">
        <v>592</v>
      </c>
      <c r="D639" s="77" t="s">
        <v>66</v>
      </c>
      <c r="E639" s="77"/>
      <c r="F639" s="164">
        <v>16.5</v>
      </c>
      <c r="G639" s="204"/>
      <c r="H639" s="204"/>
      <c r="I639" s="204"/>
      <c r="J639" s="204"/>
      <c r="K639" s="204"/>
      <c r="L639" s="204"/>
      <c r="M639" s="204"/>
    </row>
    <row r="640" spans="1:13" s="331" customFormat="1" ht="13.5">
      <c r="A640" s="65"/>
      <c r="B640" s="137"/>
      <c r="C640" s="111" t="s">
        <v>54</v>
      </c>
      <c r="D640" s="65" t="s">
        <v>55</v>
      </c>
      <c r="E640" s="65">
        <v>3.52</v>
      </c>
      <c r="F640" s="89">
        <f>F639*E640</f>
        <v>58.08</v>
      </c>
      <c r="G640" s="89"/>
      <c r="H640" s="89"/>
      <c r="I640" s="89">
        <v>6</v>
      </c>
      <c r="J640" s="89">
        <f>F640*I640</f>
        <v>348.48</v>
      </c>
      <c r="K640" s="89"/>
      <c r="L640" s="89"/>
      <c r="M640" s="89">
        <f>H640+J640+L640</f>
        <v>348.48</v>
      </c>
    </row>
    <row r="641" spans="1:13" s="331" customFormat="1" ht="13.5">
      <c r="A641" s="65"/>
      <c r="B641" s="137"/>
      <c r="C641" s="111" t="s">
        <v>62</v>
      </c>
      <c r="D641" s="65" t="s">
        <v>43</v>
      </c>
      <c r="E641" s="65">
        <v>1.06</v>
      </c>
      <c r="F641" s="89">
        <f>F639*E641</f>
        <v>17.490000000000002</v>
      </c>
      <c r="G641" s="89"/>
      <c r="H641" s="89"/>
      <c r="I641" s="89"/>
      <c r="J641" s="89"/>
      <c r="K641" s="89">
        <v>3.2</v>
      </c>
      <c r="L641" s="89">
        <f>F641*K641</f>
        <v>55.96800000000001</v>
      </c>
      <c r="M641" s="89">
        <f>H641+J641+L641</f>
        <v>55.96800000000001</v>
      </c>
    </row>
    <row r="642" spans="1:13" s="331" customFormat="1" ht="13.5">
      <c r="A642" s="65"/>
      <c r="B642" s="137"/>
      <c r="C642" s="79" t="s">
        <v>56</v>
      </c>
      <c r="D642" s="65"/>
      <c r="E642" s="65"/>
      <c r="F642" s="89"/>
      <c r="G642" s="89"/>
      <c r="H642" s="89"/>
      <c r="I642" s="89"/>
      <c r="J642" s="89"/>
      <c r="K642" s="89"/>
      <c r="L642" s="89"/>
      <c r="M642" s="89"/>
    </row>
    <row r="643" spans="1:13" s="331" customFormat="1" ht="13.5">
      <c r="A643" s="65"/>
      <c r="B643" s="137"/>
      <c r="C643" s="111" t="s">
        <v>878</v>
      </c>
      <c r="D643" s="65" t="s">
        <v>66</v>
      </c>
      <c r="E643" s="65">
        <v>1.24</v>
      </c>
      <c r="F643" s="89">
        <f>F639*E643</f>
        <v>20.46</v>
      </c>
      <c r="G643" s="89">
        <v>12.7</v>
      </c>
      <c r="H643" s="89">
        <f>F643*G643</f>
        <v>259.842</v>
      </c>
      <c r="I643" s="89"/>
      <c r="J643" s="89"/>
      <c r="K643" s="89"/>
      <c r="L643" s="89"/>
      <c r="M643" s="89">
        <f>H643+J643+L643</f>
        <v>259.842</v>
      </c>
    </row>
    <row r="644" spans="1:13" s="331" customFormat="1" ht="13.5">
      <c r="A644" s="65"/>
      <c r="B644" s="137"/>
      <c r="C644" s="111" t="s">
        <v>57</v>
      </c>
      <c r="D644" s="69" t="s">
        <v>43</v>
      </c>
      <c r="E644" s="65">
        <v>0.02</v>
      </c>
      <c r="F644" s="89">
        <f>F639*E644</f>
        <v>0.33</v>
      </c>
      <c r="G644" s="89">
        <v>3.2</v>
      </c>
      <c r="H644" s="89">
        <f>F644*G644</f>
        <v>1.056</v>
      </c>
      <c r="I644" s="89"/>
      <c r="J644" s="89"/>
      <c r="K644" s="89"/>
      <c r="L644" s="89"/>
      <c r="M644" s="89">
        <f>H644+J644+L644</f>
        <v>1.056</v>
      </c>
    </row>
    <row r="645" spans="1:13" s="331" customFormat="1" ht="33.75" customHeight="1">
      <c r="A645" s="77">
        <v>108</v>
      </c>
      <c r="B645" s="136" t="s">
        <v>593</v>
      </c>
      <c r="C645" s="92" t="s">
        <v>595</v>
      </c>
      <c r="D645" s="76" t="s">
        <v>115</v>
      </c>
      <c r="E645" s="77"/>
      <c r="F645" s="312">
        <v>141</v>
      </c>
      <c r="G645" s="236"/>
      <c r="H645" s="236"/>
      <c r="I645" s="236"/>
      <c r="J645" s="236"/>
      <c r="K645" s="236"/>
      <c r="L645" s="236"/>
      <c r="M645" s="236"/>
    </row>
    <row r="646" spans="1:13" s="331" customFormat="1" ht="13.5">
      <c r="A646" s="134"/>
      <c r="B646" s="137"/>
      <c r="C646" s="78" t="s">
        <v>54</v>
      </c>
      <c r="D646" s="65" t="s">
        <v>55</v>
      </c>
      <c r="E646" s="1">
        <v>1.11</v>
      </c>
      <c r="F646" s="89">
        <f>F645*E646</f>
        <v>156.51000000000002</v>
      </c>
      <c r="G646" s="210"/>
      <c r="H646" s="210"/>
      <c r="I646" s="89">
        <v>6</v>
      </c>
      <c r="J646" s="210">
        <f>F646*I646</f>
        <v>939.0600000000002</v>
      </c>
      <c r="K646" s="210"/>
      <c r="L646" s="210"/>
      <c r="M646" s="210">
        <f>H646+J646+L646</f>
        <v>939.0600000000002</v>
      </c>
    </row>
    <row r="647" spans="1:13" s="331" customFormat="1" ht="13.5">
      <c r="A647" s="134"/>
      <c r="B647" s="137"/>
      <c r="C647" s="78" t="s">
        <v>62</v>
      </c>
      <c r="D647" s="65" t="s">
        <v>43</v>
      </c>
      <c r="E647" s="1">
        <v>0.0071</v>
      </c>
      <c r="F647" s="89">
        <f>F645*E647</f>
        <v>1.0011</v>
      </c>
      <c r="G647" s="210"/>
      <c r="H647" s="210"/>
      <c r="I647" s="210"/>
      <c r="J647" s="210"/>
      <c r="K647" s="210">
        <v>3.2</v>
      </c>
      <c r="L647" s="210">
        <f>F647*K647</f>
        <v>3.2035200000000006</v>
      </c>
      <c r="M647" s="210">
        <f>H647+J647+L647</f>
        <v>3.2035200000000006</v>
      </c>
    </row>
    <row r="648" spans="1:13" s="331" customFormat="1" ht="13.5">
      <c r="A648" s="134"/>
      <c r="B648" s="137"/>
      <c r="C648" s="79" t="s">
        <v>56</v>
      </c>
      <c r="D648" s="65"/>
      <c r="E648" s="65"/>
      <c r="F648" s="89"/>
      <c r="G648" s="210"/>
      <c r="H648" s="210"/>
      <c r="I648" s="210"/>
      <c r="J648" s="210"/>
      <c r="K648" s="210"/>
      <c r="L648" s="210"/>
      <c r="M648" s="210"/>
    </row>
    <row r="649" spans="1:13" s="331" customFormat="1" ht="13.5">
      <c r="A649" s="134"/>
      <c r="B649" s="137"/>
      <c r="C649" s="78" t="s">
        <v>594</v>
      </c>
      <c r="D649" s="62" t="s">
        <v>115</v>
      </c>
      <c r="E649" s="1">
        <v>1</v>
      </c>
      <c r="F649" s="89">
        <f>F645*E649</f>
        <v>141</v>
      </c>
      <c r="G649" s="210">
        <v>27</v>
      </c>
      <c r="H649" s="210">
        <f>F649*G649</f>
        <v>3807</v>
      </c>
      <c r="I649" s="210"/>
      <c r="J649" s="210"/>
      <c r="K649" s="210"/>
      <c r="L649" s="210"/>
      <c r="M649" s="210">
        <f>H649+J649+L649</f>
        <v>3807</v>
      </c>
    </row>
    <row r="650" spans="1:13" s="331" customFormat="1" ht="13.5">
      <c r="A650" s="134"/>
      <c r="B650" s="137"/>
      <c r="C650" s="78" t="s">
        <v>142</v>
      </c>
      <c r="D650" s="65" t="s">
        <v>66</v>
      </c>
      <c r="E650" s="1">
        <v>0.059</v>
      </c>
      <c r="F650" s="89">
        <f>F645*E650</f>
        <v>8.318999999999999</v>
      </c>
      <c r="G650" s="210">
        <v>97</v>
      </c>
      <c r="H650" s="210">
        <f>F650*G650</f>
        <v>806.9429999999999</v>
      </c>
      <c r="I650" s="210"/>
      <c r="J650" s="210"/>
      <c r="K650" s="210"/>
      <c r="L650" s="210"/>
      <c r="M650" s="210">
        <f>H650+J650+L650</f>
        <v>806.9429999999999</v>
      </c>
    </row>
    <row r="651" spans="1:13" s="331" customFormat="1" ht="13.5">
      <c r="A651" s="134"/>
      <c r="B651" s="137"/>
      <c r="C651" s="78" t="s">
        <v>2</v>
      </c>
      <c r="D651" s="65" t="s">
        <v>66</v>
      </c>
      <c r="E651" s="1">
        <v>0.0006</v>
      </c>
      <c r="F651" s="89">
        <f>F645*E651</f>
        <v>0.0846</v>
      </c>
      <c r="G651" s="210">
        <v>87</v>
      </c>
      <c r="H651" s="210">
        <f>F651*G651</f>
        <v>7.3602</v>
      </c>
      <c r="I651" s="210"/>
      <c r="J651" s="210"/>
      <c r="K651" s="210"/>
      <c r="L651" s="210"/>
      <c r="M651" s="210">
        <f>H651+J651+L651</f>
        <v>7.3602</v>
      </c>
    </row>
    <row r="652" spans="1:13" s="331" customFormat="1" ht="13.5">
      <c r="A652" s="134"/>
      <c r="B652" s="137"/>
      <c r="C652" s="78" t="s">
        <v>57</v>
      </c>
      <c r="D652" s="65" t="s">
        <v>43</v>
      </c>
      <c r="E652" s="1">
        <v>0.096</v>
      </c>
      <c r="F652" s="89">
        <f>F645*E652</f>
        <v>13.536</v>
      </c>
      <c r="G652" s="210">
        <v>3.2</v>
      </c>
      <c r="H652" s="210">
        <f>F652*G652</f>
        <v>43.315200000000004</v>
      </c>
      <c r="I652" s="210"/>
      <c r="J652" s="210"/>
      <c r="K652" s="210"/>
      <c r="L652" s="210"/>
      <c r="M652" s="210">
        <f>H652+J652+L652</f>
        <v>43.315200000000004</v>
      </c>
    </row>
    <row r="653" spans="1:13" s="135" customFormat="1" ht="27">
      <c r="A653" s="28">
        <v>109</v>
      </c>
      <c r="B653" s="149" t="s">
        <v>596</v>
      </c>
      <c r="C653" s="43" t="s">
        <v>767</v>
      </c>
      <c r="D653" s="28" t="s">
        <v>66</v>
      </c>
      <c r="E653" s="30"/>
      <c r="F653" s="312">
        <v>0.0375</v>
      </c>
      <c r="G653" s="30"/>
      <c r="H653" s="30"/>
      <c r="I653" s="30"/>
      <c r="J653" s="30"/>
      <c r="K653" s="30"/>
      <c r="L653" s="30"/>
      <c r="M653" s="30"/>
    </row>
    <row r="654" spans="1:13" s="135" customFormat="1" ht="16.5" customHeight="1">
      <c r="A654" s="1"/>
      <c r="B654" s="120"/>
      <c r="C654" s="4" t="s">
        <v>54</v>
      </c>
      <c r="D654" s="1" t="s">
        <v>55</v>
      </c>
      <c r="E654" s="13">
        <v>14.6</v>
      </c>
      <c r="F654" s="13">
        <f>F653*E654</f>
        <v>0.5475</v>
      </c>
      <c r="G654" s="13"/>
      <c r="H654" s="13"/>
      <c r="I654" s="13">
        <v>6</v>
      </c>
      <c r="J654" s="13">
        <f>F654*I654</f>
        <v>3.285</v>
      </c>
      <c r="K654" s="13"/>
      <c r="L654" s="13"/>
      <c r="M654" s="13">
        <f>H654+J654+L654</f>
        <v>3.285</v>
      </c>
    </row>
    <row r="655" spans="1:13" s="135" customFormat="1" ht="13.5">
      <c r="A655" s="1"/>
      <c r="B655" s="120"/>
      <c r="C655" s="4" t="s">
        <v>62</v>
      </c>
      <c r="D655" s="1" t="s">
        <v>43</v>
      </c>
      <c r="E655" s="13">
        <v>0.93</v>
      </c>
      <c r="F655" s="13">
        <f>F653*E655</f>
        <v>0.034875</v>
      </c>
      <c r="G655" s="13"/>
      <c r="H655" s="13"/>
      <c r="I655" s="13"/>
      <c r="J655" s="13"/>
      <c r="K655" s="13">
        <v>3.2</v>
      </c>
      <c r="L655" s="13">
        <f>F655*K655</f>
        <v>0.11160000000000002</v>
      </c>
      <c r="M655" s="13">
        <f>H655+J655+L655</f>
        <v>0.11160000000000002</v>
      </c>
    </row>
    <row r="656" spans="1:13" s="135" customFormat="1" ht="13.5">
      <c r="A656" s="1"/>
      <c r="B656" s="120"/>
      <c r="C656" s="4" t="s">
        <v>56</v>
      </c>
      <c r="D656" s="1"/>
      <c r="E656" s="13"/>
      <c r="F656" s="13">
        <f>E656*2353</f>
        <v>0</v>
      </c>
      <c r="G656" s="13"/>
      <c r="H656" s="13"/>
      <c r="I656" s="13"/>
      <c r="J656" s="13"/>
      <c r="K656" s="13"/>
      <c r="L656" s="13"/>
      <c r="M656" s="13"/>
    </row>
    <row r="657" spans="1:13" s="135" customFormat="1" ht="13.5">
      <c r="A657" s="1"/>
      <c r="B657" s="120"/>
      <c r="C657" s="4" t="s">
        <v>439</v>
      </c>
      <c r="D657" s="1" t="s">
        <v>66</v>
      </c>
      <c r="E657" s="350">
        <v>1.015</v>
      </c>
      <c r="F657" s="13">
        <f>F653*E657</f>
        <v>0.03806249999999999</v>
      </c>
      <c r="G657" s="13">
        <v>108</v>
      </c>
      <c r="H657" s="13">
        <f aca="true" t="shared" si="20" ref="H657:H662">F657*G657</f>
        <v>4.1107499999999995</v>
      </c>
      <c r="I657" s="13"/>
      <c r="J657" s="13"/>
      <c r="K657" s="13"/>
      <c r="L657" s="13"/>
      <c r="M657" s="13">
        <f aca="true" t="shared" si="21" ref="M657:M662">H657+J657+L657</f>
        <v>4.1107499999999995</v>
      </c>
    </row>
    <row r="658" spans="1:13" s="135" customFormat="1" ht="13.5">
      <c r="A658" s="1"/>
      <c r="B658" s="120"/>
      <c r="C658" s="4" t="s">
        <v>144</v>
      </c>
      <c r="D658" s="1" t="s">
        <v>64</v>
      </c>
      <c r="E658" s="13">
        <v>2.88</v>
      </c>
      <c r="F658" s="13">
        <f>F653*E658</f>
        <v>0.108</v>
      </c>
      <c r="G658" s="13">
        <v>15</v>
      </c>
      <c r="H658" s="13">
        <f t="shared" si="20"/>
        <v>1.6199999999999999</v>
      </c>
      <c r="I658" s="13"/>
      <c r="J658" s="13"/>
      <c r="K658" s="13"/>
      <c r="L658" s="13"/>
      <c r="M658" s="13">
        <f t="shared" si="21"/>
        <v>1.6199999999999999</v>
      </c>
    </row>
    <row r="659" spans="1:13" s="135" customFormat="1" ht="13.5">
      <c r="A659" s="1"/>
      <c r="B659" s="120"/>
      <c r="C659" s="4" t="s">
        <v>84</v>
      </c>
      <c r="D659" s="1" t="s">
        <v>66</v>
      </c>
      <c r="E659" s="351">
        <v>0.0053</v>
      </c>
      <c r="F659" s="13">
        <f>F653*E659</f>
        <v>0.00019875</v>
      </c>
      <c r="G659" s="13">
        <v>590</v>
      </c>
      <c r="H659" s="13">
        <f t="shared" si="20"/>
        <v>0.1172625</v>
      </c>
      <c r="I659" s="13"/>
      <c r="J659" s="13"/>
      <c r="K659" s="13"/>
      <c r="L659" s="13"/>
      <c r="M659" s="13">
        <f t="shared" si="21"/>
        <v>0.1172625</v>
      </c>
    </row>
    <row r="660" spans="1:13" s="135" customFormat="1" ht="13.5">
      <c r="A660" s="1"/>
      <c r="B660" s="120"/>
      <c r="C660" s="4" t="s">
        <v>325</v>
      </c>
      <c r="D660" s="1" t="s">
        <v>66</v>
      </c>
      <c r="E660" s="351">
        <v>0.0092</v>
      </c>
      <c r="F660" s="13">
        <f>F653*E660</f>
        <v>0.000345</v>
      </c>
      <c r="G660" s="13">
        <v>443</v>
      </c>
      <c r="H660" s="13">
        <f t="shared" si="20"/>
        <v>0.152835</v>
      </c>
      <c r="I660" s="13"/>
      <c r="J660" s="13"/>
      <c r="K660" s="13"/>
      <c r="L660" s="13"/>
      <c r="M660" s="13">
        <f t="shared" si="21"/>
        <v>0.152835</v>
      </c>
    </row>
    <row r="661" spans="1:13" s="135" customFormat="1" ht="13.5">
      <c r="A661" s="1"/>
      <c r="B661" s="120"/>
      <c r="C661" s="4" t="s">
        <v>147</v>
      </c>
      <c r="D661" s="1" t="s">
        <v>66</v>
      </c>
      <c r="E661" s="350">
        <v>0.064</v>
      </c>
      <c r="F661" s="13">
        <f>F653*E661</f>
        <v>0.0024</v>
      </c>
      <c r="G661" s="13">
        <v>475</v>
      </c>
      <c r="H661" s="13">
        <f t="shared" si="20"/>
        <v>1.14</v>
      </c>
      <c r="I661" s="13"/>
      <c r="J661" s="13"/>
      <c r="K661" s="13"/>
      <c r="L661" s="13"/>
      <c r="M661" s="13">
        <f t="shared" si="21"/>
        <v>1.14</v>
      </c>
    </row>
    <row r="662" spans="1:13" s="135" customFormat="1" ht="13.5">
      <c r="A662" s="1"/>
      <c r="B662" s="120"/>
      <c r="C662" s="4" t="s">
        <v>57</v>
      </c>
      <c r="D662" s="1" t="s">
        <v>43</v>
      </c>
      <c r="E662" s="13">
        <v>2.96</v>
      </c>
      <c r="F662" s="13">
        <f>F653*E662</f>
        <v>0.111</v>
      </c>
      <c r="G662" s="13">
        <v>3.2</v>
      </c>
      <c r="H662" s="13">
        <f t="shared" si="20"/>
        <v>0.3552</v>
      </c>
      <c r="I662" s="13"/>
      <c r="J662" s="13"/>
      <c r="K662" s="13"/>
      <c r="L662" s="13"/>
      <c r="M662" s="13">
        <f t="shared" si="21"/>
        <v>0.3552</v>
      </c>
    </row>
    <row r="663" spans="1:13" ht="13.5">
      <c r="A663" s="52"/>
      <c r="B663" s="325"/>
      <c r="C663" s="48" t="s">
        <v>139</v>
      </c>
      <c r="D663" s="52"/>
      <c r="E663" s="52"/>
      <c r="F663" s="161"/>
      <c r="G663" s="161"/>
      <c r="H663" s="161">
        <f>SUM(H619:H662)</f>
        <v>12094.1617835</v>
      </c>
      <c r="I663" s="161"/>
      <c r="J663" s="161">
        <f>SUM(J619:J662)</f>
        <v>2314.6974</v>
      </c>
      <c r="K663" s="161"/>
      <c r="L663" s="161">
        <f>SUM(L619:L662)</f>
        <v>70.095984</v>
      </c>
      <c r="M663" s="161">
        <f>SUM(M619:M662)</f>
        <v>14478.9551675</v>
      </c>
    </row>
    <row r="664" spans="1:13" ht="13.5">
      <c r="A664" s="47"/>
      <c r="B664" s="47"/>
      <c r="C664" s="48" t="s">
        <v>152</v>
      </c>
      <c r="D664" s="52"/>
      <c r="E664" s="52"/>
      <c r="F664" s="163"/>
      <c r="G664" s="161"/>
      <c r="H664" s="161">
        <f>H37+H68+H189+H286+H392+H463+H516+H616+H352+H663</f>
        <v>1166041.5052183797</v>
      </c>
      <c r="I664" s="161"/>
      <c r="J664" s="161">
        <f>J37+J68+J189+J286+J392+J463+J516+J616+J352+J663</f>
        <v>239036.1464888</v>
      </c>
      <c r="K664" s="161"/>
      <c r="L664" s="161">
        <f>L37+L68+L189+L286+L392+L463+L516+L616+L352+L663</f>
        <v>28451.428878</v>
      </c>
      <c r="M664" s="161">
        <f>M37+M68+M189+M286+M392+M463+M516+M616+M352+M663</f>
        <v>1433529.08058518</v>
      </c>
    </row>
    <row r="665" spans="1:13" ht="13.5">
      <c r="A665" s="47"/>
      <c r="B665" s="47"/>
      <c r="C665" s="119" t="s">
        <v>389</v>
      </c>
      <c r="D665" s="52"/>
      <c r="E665" s="52"/>
      <c r="F665" s="163"/>
      <c r="G665" s="161"/>
      <c r="H665" s="108">
        <f>H664-H666</f>
        <v>1055077.5052183797</v>
      </c>
      <c r="I665" s="108"/>
      <c r="J665" s="108">
        <f>J664-J666</f>
        <v>233732.0648888</v>
      </c>
      <c r="K665" s="108"/>
      <c r="L665" s="108">
        <f>L664-L666</f>
        <v>27075.919134</v>
      </c>
      <c r="M665" s="108">
        <f>M664-M666</f>
        <v>1315885.48924118</v>
      </c>
    </row>
    <row r="666" spans="1:13" ht="13.5">
      <c r="A666" s="47"/>
      <c r="B666" s="47"/>
      <c r="C666" s="119" t="s">
        <v>295</v>
      </c>
      <c r="D666" s="52"/>
      <c r="E666" s="52"/>
      <c r="F666" s="163"/>
      <c r="G666" s="161"/>
      <c r="H666" s="108">
        <f>H355+H356+H357+H359+H361+H362+H363+H365</f>
        <v>110964</v>
      </c>
      <c r="I666" s="108"/>
      <c r="J666" s="108">
        <f>J355+J356+J357+J359+J361+J362+J363+J365</f>
        <v>5304.0816</v>
      </c>
      <c r="K666" s="108"/>
      <c r="L666" s="108">
        <f>L355+L356+L357+L359+L361+L362+L363+L365</f>
        <v>1375.509744</v>
      </c>
      <c r="M666" s="108">
        <f>M355+M356+M357+M359+M361+M362+M363+M365</f>
        <v>117643.591344</v>
      </c>
    </row>
    <row r="667" spans="1:13" ht="27">
      <c r="A667" s="47"/>
      <c r="B667" s="47"/>
      <c r="C667" s="46" t="s">
        <v>388</v>
      </c>
      <c r="D667" s="81">
        <v>0.08</v>
      </c>
      <c r="E667" s="52"/>
      <c r="F667" s="163"/>
      <c r="G667" s="161"/>
      <c r="H667" s="108">
        <f>H666*D667</f>
        <v>8877.12</v>
      </c>
      <c r="I667" s="161"/>
      <c r="J667" s="108">
        <f>J666*D667</f>
        <v>424.32652800000005</v>
      </c>
      <c r="K667" s="161"/>
      <c r="L667" s="108">
        <f>L666*D667</f>
        <v>110.04077952</v>
      </c>
      <c r="M667" s="108">
        <f>M666*D667</f>
        <v>9411.48730752</v>
      </c>
    </row>
    <row r="668" spans="1:13" ht="13.5">
      <c r="A668" s="50"/>
      <c r="B668" s="51"/>
      <c r="C668" s="46" t="s">
        <v>275</v>
      </c>
      <c r="D668" s="81">
        <v>0.1</v>
      </c>
      <c r="E668" s="147"/>
      <c r="F668" s="108"/>
      <c r="G668" s="108"/>
      <c r="H668" s="108">
        <f>H665*D668</f>
        <v>105507.75052183797</v>
      </c>
      <c r="I668" s="108"/>
      <c r="J668" s="108">
        <f>J665*D668</f>
        <v>23373.20648888</v>
      </c>
      <c r="K668" s="108"/>
      <c r="L668" s="108">
        <f>L665*D668</f>
        <v>2707.5919134</v>
      </c>
      <c r="M668" s="108">
        <f>M665*D668</f>
        <v>131588.54892411802</v>
      </c>
    </row>
    <row r="669" spans="1:13" ht="13.5">
      <c r="A669" s="50"/>
      <c r="B669" s="51"/>
      <c r="C669" s="80" t="s">
        <v>49</v>
      </c>
      <c r="D669" s="51"/>
      <c r="E669" s="51"/>
      <c r="F669" s="352"/>
      <c r="G669" s="352"/>
      <c r="H669" s="353">
        <f>H664+H667+H668</f>
        <v>1280426.3757402177</v>
      </c>
      <c r="I669" s="353"/>
      <c r="J669" s="353">
        <f>J664+J667+J668</f>
        <v>262833.67950568</v>
      </c>
      <c r="K669" s="353"/>
      <c r="L669" s="353">
        <f>L664+L667+L668</f>
        <v>31269.06157092</v>
      </c>
      <c r="M669" s="353">
        <f>M664+M667+M668</f>
        <v>1574529.116816818</v>
      </c>
    </row>
    <row r="670" spans="1:13" s="268" customFormat="1" ht="13.5">
      <c r="A670" s="50"/>
      <c r="B670" s="51"/>
      <c r="C670" s="46" t="s">
        <v>187</v>
      </c>
      <c r="D670" s="81">
        <v>0.08</v>
      </c>
      <c r="E670" s="51"/>
      <c r="F670" s="352"/>
      <c r="G670" s="352"/>
      <c r="H670" s="353">
        <f>H669*D670</f>
        <v>102434.11005921742</v>
      </c>
      <c r="I670" s="353"/>
      <c r="J670" s="353">
        <f>J669*D670</f>
        <v>21026.6943604544</v>
      </c>
      <c r="K670" s="353"/>
      <c r="L670" s="353">
        <f>L669*D670</f>
        <v>2501.5249256736</v>
      </c>
      <c r="M670" s="353">
        <f>M669*D670</f>
        <v>125962.32934534544</v>
      </c>
    </row>
    <row r="671" spans="1:13" ht="13.5">
      <c r="A671" s="50"/>
      <c r="B671" s="51"/>
      <c r="C671" s="48" t="s">
        <v>49</v>
      </c>
      <c r="D671" s="54"/>
      <c r="E671" s="54"/>
      <c r="F671" s="354"/>
      <c r="G671" s="354"/>
      <c r="H671" s="470">
        <f aca="true" t="shared" si="22" ref="H671:M671">H669+H670</f>
        <v>1382860.485799435</v>
      </c>
      <c r="I671" s="470"/>
      <c r="J671" s="470">
        <f t="shared" si="22"/>
        <v>283860.3738661344</v>
      </c>
      <c r="K671" s="470"/>
      <c r="L671" s="470">
        <f t="shared" si="22"/>
        <v>33770.5864965936</v>
      </c>
      <c r="M671" s="470">
        <f t="shared" si="22"/>
        <v>1700491.4461621635</v>
      </c>
    </row>
    <row r="672" spans="1:13" ht="13.5">
      <c r="A672" s="45"/>
      <c r="B672" s="55"/>
      <c r="C672" s="9"/>
      <c r="D672" s="55"/>
      <c r="E672" s="55"/>
      <c r="F672" s="55"/>
      <c r="G672" s="55"/>
      <c r="H672" s="355"/>
      <c r="I672" s="355"/>
      <c r="J672" s="355"/>
      <c r="K672" s="355"/>
      <c r="L672" s="355"/>
      <c r="M672" s="355"/>
    </row>
    <row r="673" spans="1:13" ht="13.5">
      <c r="A673" s="146"/>
      <c r="B673" s="492" t="s">
        <v>58</v>
      </c>
      <c r="C673" s="492"/>
      <c r="D673" s="268"/>
      <c r="E673" s="492" t="s">
        <v>482</v>
      </c>
      <c r="F673" s="492"/>
      <c r="G673" s="492"/>
      <c r="H673" s="492"/>
      <c r="I673" s="492"/>
      <c r="J673" s="492"/>
      <c r="K673" s="268"/>
      <c r="L673" s="268"/>
      <c r="M673" s="268"/>
    </row>
    <row r="674" spans="1:13" ht="13.5">
      <c r="A674" s="146"/>
      <c r="B674" s="268"/>
      <c r="C674" s="268"/>
      <c r="D674" s="268"/>
      <c r="E674" s="268"/>
      <c r="F674" s="268"/>
      <c r="G674" s="268"/>
      <c r="H674" s="268"/>
      <c r="I674" s="268"/>
      <c r="J674" s="268"/>
      <c r="K674" s="268"/>
      <c r="L674" s="268"/>
      <c r="M674" s="268"/>
    </row>
    <row r="675" spans="1:13" ht="13.5">
      <c r="A675" s="146"/>
      <c r="B675" s="268"/>
      <c r="C675" s="458" t="s">
        <v>891</v>
      </c>
      <c r="D675" s="268"/>
      <c r="E675" s="492" t="s">
        <v>890</v>
      </c>
      <c r="F675" s="492"/>
      <c r="G675" s="492"/>
      <c r="H675" s="492"/>
      <c r="I675" s="492"/>
      <c r="J675" s="492"/>
      <c r="K675" s="268"/>
      <c r="L675" s="268"/>
      <c r="M675" s="268"/>
    </row>
    <row r="676" spans="1:13" ht="13.5">
      <c r="A676" s="146"/>
      <c r="B676" s="268"/>
      <c r="C676" s="268"/>
      <c r="D676" s="268"/>
      <c r="E676" s="268"/>
      <c r="F676" s="268"/>
      <c r="G676" s="268"/>
      <c r="H676" s="268"/>
      <c r="I676" s="268"/>
      <c r="J676" s="268"/>
      <c r="K676" s="268"/>
      <c r="L676" s="268"/>
      <c r="M676" s="268"/>
    </row>
    <row r="677" spans="1:13" ht="13.5">
      <c r="A677" s="146"/>
      <c r="B677" s="268"/>
      <c r="C677" s="268"/>
      <c r="D677" s="268"/>
      <c r="E677" s="268"/>
      <c r="F677" s="268"/>
      <c r="G677" s="268"/>
      <c r="H677" s="268"/>
      <c r="I677" s="268"/>
      <c r="J677" s="268"/>
      <c r="K677" s="268"/>
      <c r="L677" s="268"/>
      <c r="M677" s="268"/>
    </row>
    <row r="678" spans="1:13" ht="13.5">
      <c r="A678" s="146"/>
      <c r="B678" s="268"/>
      <c r="C678" s="268"/>
      <c r="D678" s="268"/>
      <c r="E678" s="268"/>
      <c r="F678" s="268"/>
      <c r="G678" s="268"/>
      <c r="H678" s="268"/>
      <c r="I678" s="268"/>
      <c r="J678" s="268"/>
      <c r="K678" s="268"/>
      <c r="L678" s="268"/>
      <c r="M678" s="268"/>
    </row>
    <row r="679" spans="1:13" ht="13.5">
      <c r="A679" s="146"/>
      <c r="B679" s="268"/>
      <c r="C679" s="268"/>
      <c r="D679" s="268"/>
      <c r="E679" s="268"/>
      <c r="F679" s="268"/>
      <c r="G679" s="268"/>
      <c r="H679" s="268"/>
      <c r="I679" s="268"/>
      <c r="J679" s="268"/>
      <c r="K679" s="268"/>
      <c r="L679" s="268"/>
      <c r="M679" s="268"/>
    </row>
  </sheetData>
  <sheetProtection/>
  <mergeCells count="35">
    <mergeCell ref="A6:A7"/>
    <mergeCell ref="A1:M1"/>
    <mergeCell ref="J4:K4"/>
    <mergeCell ref="B5:C5"/>
    <mergeCell ref="G5:I5"/>
    <mergeCell ref="A3:M3"/>
    <mergeCell ref="A2:M2"/>
    <mergeCell ref="B4:C4"/>
    <mergeCell ref="F4:I4"/>
    <mergeCell ref="B230:B235"/>
    <mergeCell ref="B168:B174"/>
    <mergeCell ref="M6:M7"/>
    <mergeCell ref="C6:C7"/>
    <mergeCell ref="I6:J6"/>
    <mergeCell ref="D6:D7"/>
    <mergeCell ref="B265:B273"/>
    <mergeCell ref="B274:B279"/>
    <mergeCell ref="E673:J673"/>
    <mergeCell ref="J5:K5"/>
    <mergeCell ref="B217:B224"/>
    <mergeCell ref="B225:B229"/>
    <mergeCell ref="K6:L6"/>
    <mergeCell ref="B242:B248"/>
    <mergeCell ref="B249:B256"/>
    <mergeCell ref="B202:B209"/>
    <mergeCell ref="E675:J675"/>
    <mergeCell ref="B673:C673"/>
    <mergeCell ref="B257:B264"/>
    <mergeCell ref="E6:F6"/>
    <mergeCell ref="G6:H6"/>
    <mergeCell ref="B6:B7"/>
    <mergeCell ref="B210:B216"/>
    <mergeCell ref="B497:B502"/>
    <mergeCell ref="B503:B508"/>
    <mergeCell ref="B280:B285"/>
  </mergeCells>
  <printOptions/>
  <pageMargins left="0.708661417322835" right="0.23" top="0.64" bottom="0.62" header="0.31496062992126" footer="0.31496062992126"/>
  <pageSetup horizontalDpi="600" verticalDpi="600" orientation="landscape" paperSize="9" scale="92" r:id="rId1"/>
  <headerFooter>
    <oddHeader>&amp;Cსაგანმანათლებლო და სამეცნიერო ინფრასტრუქტურის განვითარების სააგენტო</oddHeader>
    <oddFooter>&amp;Lხარჯთაღრიცხვა&amp;R&amp;P/&amp;N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M111"/>
  <sheetViews>
    <sheetView zoomScalePageLayoutView="0" workbookViewId="0" topLeftCell="A1">
      <pane ySplit="8" topLeftCell="A96" activePane="bottomLeft" state="frozen"/>
      <selection pane="topLeft" activeCell="A1" sqref="A1"/>
      <selection pane="bottomLeft" activeCell="I7" sqref="I7:J7"/>
    </sheetView>
  </sheetViews>
  <sheetFormatPr defaultColWidth="9.00390625" defaultRowHeight="12.75"/>
  <cols>
    <col min="1" max="1" width="3.375" style="22" customWidth="1"/>
    <col min="2" max="2" width="7.00390625" style="22" customWidth="1"/>
    <col min="3" max="3" width="40.625" style="22" customWidth="1"/>
    <col min="4" max="4" width="8.25390625" style="22" customWidth="1"/>
    <col min="5" max="5" width="7.75390625" style="22" customWidth="1"/>
    <col min="6" max="6" width="8.875" style="22" customWidth="1"/>
    <col min="7" max="7" width="8.625" style="22" customWidth="1"/>
    <col min="8" max="8" width="12.625" style="22" customWidth="1"/>
    <col min="9" max="9" width="8.00390625" style="22" customWidth="1"/>
    <col min="10" max="10" width="14.125" style="22" customWidth="1"/>
    <col min="11" max="11" width="7.875" style="22" customWidth="1"/>
    <col min="12" max="12" width="12.125" style="22" customWidth="1"/>
    <col min="13" max="13" width="14.00390625" style="22" customWidth="1"/>
    <col min="14" max="16384" width="9.125" style="22" customWidth="1"/>
  </cols>
  <sheetData>
    <row r="1" spans="1:13" s="314" customFormat="1" ht="17.25" customHeight="1">
      <c r="A1" s="511" t="s">
        <v>894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</row>
    <row r="2" spans="1:13" s="314" customFormat="1" ht="17.25" customHeight="1">
      <c r="A2" s="518" t="s">
        <v>731</v>
      </c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</row>
    <row r="3" spans="1:13" s="314" customFormat="1" ht="16.5" customHeight="1">
      <c r="A3" s="518" t="s">
        <v>361</v>
      </c>
      <c r="B3" s="518"/>
      <c r="C3" s="518"/>
      <c r="D3" s="518"/>
      <c r="E3" s="518"/>
      <c r="F3" s="518"/>
      <c r="G3" s="518"/>
      <c r="H3" s="518"/>
      <c r="I3" s="518"/>
      <c r="J3" s="518"/>
      <c r="K3" s="518"/>
      <c r="L3" s="518"/>
      <c r="M3" s="518"/>
    </row>
    <row r="4" spans="1:13" s="314" customFormat="1" ht="16.5" customHeight="1">
      <c r="A4" s="315"/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56"/>
    </row>
    <row r="5" spans="2:12" s="317" customFormat="1" ht="13.5">
      <c r="B5" s="513" t="s">
        <v>428</v>
      </c>
      <c r="C5" s="514"/>
      <c r="D5" s="24"/>
      <c r="E5" s="24"/>
      <c r="F5" s="520" t="s">
        <v>184</v>
      </c>
      <c r="G5" s="520"/>
      <c r="H5" s="520"/>
      <c r="I5" s="520"/>
      <c r="J5" s="527">
        <f>M107</f>
        <v>15485.147758080004</v>
      </c>
      <c r="K5" s="528"/>
      <c r="L5" s="25" t="s">
        <v>43</v>
      </c>
    </row>
    <row r="6" spans="1:12" s="317" customFormat="1" ht="13.5">
      <c r="A6" s="319"/>
      <c r="B6" s="513" t="s">
        <v>876</v>
      </c>
      <c r="C6" s="514"/>
      <c r="D6" s="26"/>
      <c r="E6" s="26"/>
      <c r="F6" s="25"/>
      <c r="G6" s="531" t="s">
        <v>185</v>
      </c>
      <c r="H6" s="531"/>
      <c r="I6" s="531"/>
      <c r="J6" s="520">
        <f>J107</f>
        <v>3105.8899200000005</v>
      </c>
      <c r="K6" s="524"/>
      <c r="L6" s="25" t="s">
        <v>43</v>
      </c>
    </row>
    <row r="7" spans="1:13" s="314" customFormat="1" ht="44.25" customHeight="1">
      <c r="A7" s="521" t="s">
        <v>61</v>
      </c>
      <c r="B7" s="474" t="s">
        <v>74</v>
      </c>
      <c r="C7" s="474" t="s">
        <v>63</v>
      </c>
      <c r="D7" s="474" t="s">
        <v>44</v>
      </c>
      <c r="E7" s="529" t="s">
        <v>45</v>
      </c>
      <c r="F7" s="530"/>
      <c r="G7" s="525" t="s">
        <v>46</v>
      </c>
      <c r="H7" s="525"/>
      <c r="I7" s="526" t="s">
        <v>47</v>
      </c>
      <c r="J7" s="526"/>
      <c r="K7" s="526" t="s">
        <v>48</v>
      </c>
      <c r="L7" s="526"/>
      <c r="M7" s="525" t="s">
        <v>49</v>
      </c>
    </row>
    <row r="8" spans="1:13" ht="60" customHeight="1">
      <c r="A8" s="521"/>
      <c r="B8" s="521"/>
      <c r="C8" s="474"/>
      <c r="D8" s="474"/>
      <c r="E8" s="74" t="s">
        <v>50</v>
      </c>
      <c r="F8" s="74" t="s">
        <v>51</v>
      </c>
      <c r="G8" s="320" t="s">
        <v>52</v>
      </c>
      <c r="H8" s="108" t="s">
        <v>49</v>
      </c>
      <c r="I8" s="285" t="s">
        <v>52</v>
      </c>
      <c r="J8" s="108" t="s">
        <v>49</v>
      </c>
      <c r="K8" s="285" t="s">
        <v>52</v>
      </c>
      <c r="L8" s="108" t="s">
        <v>49</v>
      </c>
      <c r="M8" s="525"/>
    </row>
    <row r="9" spans="1:13" ht="15" customHeight="1">
      <c r="A9" s="357" t="s">
        <v>53</v>
      </c>
      <c r="B9" s="357" t="s">
        <v>68</v>
      </c>
      <c r="C9" s="357" t="s">
        <v>69</v>
      </c>
      <c r="D9" s="358" t="s">
        <v>70</v>
      </c>
      <c r="E9" s="359" t="s">
        <v>71</v>
      </c>
      <c r="F9" s="360" t="s">
        <v>72</v>
      </c>
      <c r="G9" s="358" t="s">
        <v>60</v>
      </c>
      <c r="H9" s="360" t="s">
        <v>73</v>
      </c>
      <c r="I9" s="358" t="s">
        <v>109</v>
      </c>
      <c r="J9" s="360" t="s">
        <v>110</v>
      </c>
      <c r="K9" s="360">
        <v>11</v>
      </c>
      <c r="L9" s="357" t="s">
        <v>111</v>
      </c>
      <c r="M9" s="357" t="s">
        <v>112</v>
      </c>
    </row>
    <row r="10" spans="1:13" s="146" customFormat="1" ht="27.75" customHeight="1">
      <c r="A10" s="1">
        <v>1</v>
      </c>
      <c r="B10" s="12" t="s">
        <v>117</v>
      </c>
      <c r="C10" s="4" t="s">
        <v>597</v>
      </c>
      <c r="D10" s="18" t="s">
        <v>115</v>
      </c>
      <c r="E10" s="14"/>
      <c r="F10" s="165">
        <v>450</v>
      </c>
      <c r="G10" s="158"/>
      <c r="H10" s="107"/>
      <c r="I10" s="13"/>
      <c r="J10" s="13"/>
      <c r="K10" s="13"/>
      <c r="L10" s="13"/>
      <c r="M10" s="13"/>
    </row>
    <row r="11" spans="1:13" s="146" customFormat="1" ht="15" customHeight="1">
      <c r="A11" s="1"/>
      <c r="B11" s="12"/>
      <c r="C11" s="19" t="s">
        <v>54</v>
      </c>
      <c r="D11" s="18" t="s">
        <v>115</v>
      </c>
      <c r="E11" s="16">
        <v>1</v>
      </c>
      <c r="F11" s="13">
        <f>F10*E11</f>
        <v>450</v>
      </c>
      <c r="G11" s="158"/>
      <c r="H11" s="107"/>
      <c r="I11" s="13">
        <v>1.5</v>
      </c>
      <c r="J11" s="13">
        <f>F11*I11</f>
        <v>675</v>
      </c>
      <c r="K11" s="13"/>
      <c r="L11" s="13"/>
      <c r="M11" s="13">
        <f>H11+J11+L11</f>
        <v>675</v>
      </c>
    </row>
    <row r="12" spans="1:13" s="146" customFormat="1" ht="14.25" customHeight="1">
      <c r="A12" s="1"/>
      <c r="B12" s="257"/>
      <c r="C12" s="19" t="s">
        <v>116</v>
      </c>
      <c r="D12" s="18" t="s">
        <v>43</v>
      </c>
      <c r="E12" s="14">
        <v>0.0257</v>
      </c>
      <c r="F12" s="13">
        <f>F10*E12</f>
        <v>11.565</v>
      </c>
      <c r="G12" s="158"/>
      <c r="H12" s="13"/>
      <c r="I12" s="13"/>
      <c r="J12" s="13"/>
      <c r="K12" s="13">
        <v>3.2</v>
      </c>
      <c r="L12" s="13">
        <f>F12*K12</f>
        <v>37.008</v>
      </c>
      <c r="M12" s="13">
        <f>H12+J12+L12</f>
        <v>37.008</v>
      </c>
    </row>
    <row r="13" spans="1:13" s="146" customFormat="1" ht="14.25" customHeight="1">
      <c r="A13" s="1"/>
      <c r="B13" s="257"/>
      <c r="C13" s="19" t="s">
        <v>56</v>
      </c>
      <c r="D13" s="18"/>
      <c r="E13" s="14"/>
      <c r="F13" s="13"/>
      <c r="G13" s="158"/>
      <c r="H13" s="13"/>
      <c r="I13" s="13"/>
      <c r="J13" s="13"/>
      <c r="K13" s="13"/>
      <c r="L13" s="13"/>
      <c r="M13" s="13"/>
    </row>
    <row r="14" spans="1:13" s="146" customFormat="1" ht="14.25" customHeight="1">
      <c r="A14" s="1"/>
      <c r="B14" s="257"/>
      <c r="C14" s="19" t="s">
        <v>347</v>
      </c>
      <c r="D14" s="18" t="s">
        <v>115</v>
      </c>
      <c r="E14" s="1">
        <v>0.929</v>
      </c>
      <c r="F14" s="13">
        <f>F10*E14</f>
        <v>418.05</v>
      </c>
      <c r="G14" s="13">
        <v>0.9</v>
      </c>
      <c r="H14" s="13">
        <f>F14*G14</f>
        <v>376.245</v>
      </c>
      <c r="I14" s="13"/>
      <c r="J14" s="13"/>
      <c r="K14" s="13"/>
      <c r="L14" s="13"/>
      <c r="M14" s="13">
        <f>H14+J14+L14</f>
        <v>376.245</v>
      </c>
    </row>
    <row r="15" spans="1:13" s="146" customFormat="1" ht="13.5" customHeight="1">
      <c r="A15" s="1"/>
      <c r="B15" s="257"/>
      <c r="C15" s="19" t="s">
        <v>57</v>
      </c>
      <c r="D15" s="18" t="s">
        <v>43</v>
      </c>
      <c r="E15" s="44">
        <v>0.0457</v>
      </c>
      <c r="F15" s="124">
        <f>F10*E15</f>
        <v>20.564999999999998</v>
      </c>
      <c r="G15" s="124">
        <v>3.2</v>
      </c>
      <c r="H15" s="124">
        <f>F15*G15</f>
        <v>65.80799999999999</v>
      </c>
      <c r="I15" s="124"/>
      <c r="J15" s="124"/>
      <c r="K15" s="124"/>
      <c r="L15" s="124"/>
      <c r="M15" s="124">
        <f>H15+J15+L15</f>
        <v>65.80799999999999</v>
      </c>
    </row>
    <row r="16" spans="1:13" s="146" customFormat="1" ht="27" customHeight="1">
      <c r="A16" s="28">
        <v>2</v>
      </c>
      <c r="B16" s="27" t="s">
        <v>118</v>
      </c>
      <c r="C16" s="43" t="s">
        <v>598</v>
      </c>
      <c r="D16" s="152" t="s">
        <v>115</v>
      </c>
      <c r="E16" s="118"/>
      <c r="F16" s="164">
        <v>80</v>
      </c>
      <c r="G16" s="159"/>
      <c r="H16" s="160"/>
      <c r="I16" s="30"/>
      <c r="J16" s="30"/>
      <c r="K16" s="30"/>
      <c r="L16" s="30"/>
      <c r="M16" s="30"/>
    </row>
    <row r="17" spans="1:13" s="146" customFormat="1" ht="18" customHeight="1">
      <c r="A17" s="1"/>
      <c r="B17" s="12"/>
      <c r="C17" s="19" t="s">
        <v>54</v>
      </c>
      <c r="D17" s="18" t="s">
        <v>115</v>
      </c>
      <c r="E17" s="14">
        <v>1</v>
      </c>
      <c r="F17" s="13">
        <f>F16*E17</f>
        <v>80</v>
      </c>
      <c r="G17" s="158"/>
      <c r="H17" s="107"/>
      <c r="I17" s="13">
        <v>1.5</v>
      </c>
      <c r="J17" s="13">
        <f>F17*I17</f>
        <v>120</v>
      </c>
      <c r="K17" s="13"/>
      <c r="L17" s="13"/>
      <c r="M17" s="13">
        <f>H17+J17+L17</f>
        <v>120</v>
      </c>
    </row>
    <row r="18" spans="1:13" s="146" customFormat="1" ht="15" customHeight="1">
      <c r="A18" s="1"/>
      <c r="B18" s="257"/>
      <c r="C18" s="19" t="s">
        <v>116</v>
      </c>
      <c r="D18" s="18" t="s">
        <v>43</v>
      </c>
      <c r="E18" s="14">
        <v>0.0172</v>
      </c>
      <c r="F18" s="13">
        <f>F16*E18</f>
        <v>1.376</v>
      </c>
      <c r="G18" s="158"/>
      <c r="H18" s="13"/>
      <c r="I18" s="13"/>
      <c r="J18" s="13"/>
      <c r="K18" s="158">
        <v>3.2</v>
      </c>
      <c r="L18" s="13">
        <f>F18*K18</f>
        <v>4.4032</v>
      </c>
      <c r="M18" s="13">
        <f>H18+J18+L18</f>
        <v>4.4032</v>
      </c>
    </row>
    <row r="19" spans="1:13" s="146" customFormat="1" ht="15" customHeight="1">
      <c r="A19" s="1"/>
      <c r="B19" s="257"/>
      <c r="C19" s="19" t="s">
        <v>56</v>
      </c>
      <c r="D19" s="18"/>
      <c r="E19" s="14"/>
      <c r="F19" s="13"/>
      <c r="G19" s="158"/>
      <c r="H19" s="13"/>
      <c r="I19" s="13"/>
      <c r="J19" s="13"/>
      <c r="K19" s="13"/>
      <c r="L19" s="13"/>
      <c r="M19" s="13"/>
    </row>
    <row r="20" spans="1:13" s="146" customFormat="1" ht="15" customHeight="1">
      <c r="A20" s="1"/>
      <c r="B20" s="257"/>
      <c r="C20" s="19" t="s">
        <v>391</v>
      </c>
      <c r="D20" s="18" t="s">
        <v>115</v>
      </c>
      <c r="E20" s="1">
        <v>0.938</v>
      </c>
      <c r="F20" s="13">
        <f>F16*E20</f>
        <v>75.03999999999999</v>
      </c>
      <c r="G20" s="13">
        <v>1.7</v>
      </c>
      <c r="H20" s="13">
        <f>F20*G20</f>
        <v>127.56799999999998</v>
      </c>
      <c r="I20" s="13"/>
      <c r="J20" s="13"/>
      <c r="K20" s="13"/>
      <c r="L20" s="13"/>
      <c r="M20" s="13">
        <f>H20+J20+L20</f>
        <v>127.56799999999998</v>
      </c>
    </row>
    <row r="21" spans="1:13" s="146" customFormat="1" ht="15" customHeight="1">
      <c r="A21" s="1"/>
      <c r="B21" s="257"/>
      <c r="C21" s="19" t="s">
        <v>57</v>
      </c>
      <c r="D21" s="18" t="s">
        <v>43</v>
      </c>
      <c r="E21" s="44">
        <v>0.0393</v>
      </c>
      <c r="F21" s="124">
        <f>F16*E21</f>
        <v>3.144</v>
      </c>
      <c r="G21" s="175">
        <v>3.2</v>
      </c>
      <c r="H21" s="124">
        <f>F21*G21</f>
        <v>10.0608</v>
      </c>
      <c r="I21" s="124"/>
      <c r="J21" s="124"/>
      <c r="K21" s="124"/>
      <c r="L21" s="124"/>
      <c r="M21" s="124">
        <f>H21+J21+L21</f>
        <v>10.0608</v>
      </c>
    </row>
    <row r="22" spans="1:13" s="146" customFormat="1" ht="28.5" customHeight="1">
      <c r="A22" s="28">
        <v>3</v>
      </c>
      <c r="B22" s="27" t="s">
        <v>119</v>
      </c>
      <c r="C22" s="43" t="s">
        <v>599</v>
      </c>
      <c r="D22" s="152" t="s">
        <v>115</v>
      </c>
      <c r="E22" s="118"/>
      <c r="F22" s="164">
        <v>10</v>
      </c>
      <c r="G22" s="159"/>
      <c r="H22" s="160"/>
      <c r="I22" s="30"/>
      <c r="J22" s="30"/>
      <c r="K22" s="30"/>
      <c r="L22" s="30"/>
      <c r="M22" s="30"/>
    </row>
    <row r="23" spans="1:13" s="146" customFormat="1" ht="14.25" customHeight="1">
      <c r="A23" s="1"/>
      <c r="B23" s="12"/>
      <c r="C23" s="19" t="s">
        <v>94</v>
      </c>
      <c r="D23" s="18" t="s">
        <v>115</v>
      </c>
      <c r="E23" s="14">
        <v>1</v>
      </c>
      <c r="F23" s="13">
        <f>F22*E23</f>
        <v>10</v>
      </c>
      <c r="G23" s="158"/>
      <c r="H23" s="107"/>
      <c r="I23" s="13">
        <v>1.5</v>
      </c>
      <c r="J23" s="13">
        <f>F23*I23</f>
        <v>15</v>
      </c>
      <c r="K23" s="13"/>
      <c r="L23" s="13"/>
      <c r="M23" s="13">
        <f>H23+J23+L23</f>
        <v>15</v>
      </c>
    </row>
    <row r="24" spans="1:13" s="146" customFormat="1" ht="14.25" customHeight="1">
      <c r="A24" s="1"/>
      <c r="B24" s="257"/>
      <c r="C24" s="19" t="s">
        <v>116</v>
      </c>
      <c r="D24" s="18" t="s">
        <v>43</v>
      </c>
      <c r="E24" s="14">
        <v>0.0217</v>
      </c>
      <c r="F24" s="13">
        <f>F22*E24</f>
        <v>0.217</v>
      </c>
      <c r="G24" s="158"/>
      <c r="H24" s="13"/>
      <c r="I24" s="13"/>
      <c r="J24" s="13"/>
      <c r="K24" s="13">
        <v>3.2</v>
      </c>
      <c r="L24" s="13">
        <f>F24*K24</f>
        <v>0.6944</v>
      </c>
      <c r="M24" s="13">
        <f>H24+J24+L24</f>
        <v>0.6944</v>
      </c>
    </row>
    <row r="25" spans="1:13" s="146" customFormat="1" ht="14.25" customHeight="1">
      <c r="A25" s="1"/>
      <c r="B25" s="257"/>
      <c r="C25" s="19" t="s">
        <v>56</v>
      </c>
      <c r="D25" s="18"/>
      <c r="E25" s="14"/>
      <c r="F25" s="13"/>
      <c r="G25" s="158"/>
      <c r="H25" s="13"/>
      <c r="I25" s="13"/>
      <c r="J25" s="13"/>
      <c r="K25" s="13"/>
      <c r="L25" s="13"/>
      <c r="M25" s="13"/>
    </row>
    <row r="26" spans="1:13" s="146" customFormat="1" ht="15" customHeight="1">
      <c r="A26" s="1"/>
      <c r="B26" s="257"/>
      <c r="C26" s="19" t="s">
        <v>600</v>
      </c>
      <c r="D26" s="18" t="s">
        <v>115</v>
      </c>
      <c r="E26" s="14">
        <v>0.937</v>
      </c>
      <c r="F26" s="13">
        <f>F22*E26</f>
        <v>9.370000000000001</v>
      </c>
      <c r="G26" s="13">
        <v>2.5</v>
      </c>
      <c r="H26" s="13">
        <f>F26*G26</f>
        <v>23.425000000000004</v>
      </c>
      <c r="I26" s="13"/>
      <c r="J26" s="13"/>
      <c r="K26" s="13"/>
      <c r="L26" s="13"/>
      <c r="M26" s="13">
        <f>H26+J26+L26</f>
        <v>23.425000000000004</v>
      </c>
    </row>
    <row r="27" spans="1:13" s="146" customFormat="1" ht="15" customHeight="1">
      <c r="A27" s="1"/>
      <c r="B27" s="257"/>
      <c r="C27" s="19" t="s">
        <v>57</v>
      </c>
      <c r="D27" s="18" t="s">
        <v>43</v>
      </c>
      <c r="E27" s="44">
        <v>0.0708</v>
      </c>
      <c r="F27" s="124">
        <f>F22*E27</f>
        <v>0.708</v>
      </c>
      <c r="G27" s="124">
        <v>3.2</v>
      </c>
      <c r="H27" s="124">
        <f>F27*G27</f>
        <v>2.2656</v>
      </c>
      <c r="I27" s="124"/>
      <c r="J27" s="124"/>
      <c r="K27" s="124"/>
      <c r="L27" s="124"/>
      <c r="M27" s="124">
        <f>H27+J27+L27</f>
        <v>2.2656</v>
      </c>
    </row>
    <row r="28" spans="1:13" s="146" customFormat="1" ht="28.5" customHeight="1">
      <c r="A28" s="28">
        <v>4</v>
      </c>
      <c r="B28" s="27" t="s">
        <v>119</v>
      </c>
      <c r="C28" s="43" t="s">
        <v>392</v>
      </c>
      <c r="D28" s="152" t="s">
        <v>115</v>
      </c>
      <c r="E28" s="118"/>
      <c r="F28" s="164">
        <v>20</v>
      </c>
      <c r="G28" s="159"/>
      <c r="H28" s="160"/>
      <c r="I28" s="30"/>
      <c r="J28" s="30"/>
      <c r="K28" s="30"/>
      <c r="L28" s="30"/>
      <c r="M28" s="30"/>
    </row>
    <row r="29" spans="1:13" s="146" customFormat="1" ht="14.25" customHeight="1">
      <c r="A29" s="1"/>
      <c r="B29" s="12"/>
      <c r="C29" s="19" t="s">
        <v>94</v>
      </c>
      <c r="D29" s="18" t="s">
        <v>115</v>
      </c>
      <c r="E29" s="14">
        <v>1</v>
      </c>
      <c r="F29" s="13">
        <f>F28*E29</f>
        <v>20</v>
      </c>
      <c r="G29" s="158"/>
      <c r="H29" s="107"/>
      <c r="I29" s="13">
        <v>1.5</v>
      </c>
      <c r="J29" s="13">
        <f>F29*I29</f>
        <v>30</v>
      </c>
      <c r="K29" s="13"/>
      <c r="L29" s="13"/>
      <c r="M29" s="13">
        <f>H29+J29+L29</f>
        <v>30</v>
      </c>
    </row>
    <row r="30" spans="1:13" s="146" customFormat="1" ht="14.25" customHeight="1">
      <c r="A30" s="1"/>
      <c r="B30" s="257"/>
      <c r="C30" s="19" t="s">
        <v>116</v>
      </c>
      <c r="D30" s="18" t="s">
        <v>43</v>
      </c>
      <c r="E30" s="14">
        <v>0.0217</v>
      </c>
      <c r="F30" s="13">
        <f>F28*E30</f>
        <v>0.434</v>
      </c>
      <c r="G30" s="158"/>
      <c r="H30" s="13"/>
      <c r="I30" s="13"/>
      <c r="J30" s="13"/>
      <c r="K30" s="13">
        <v>3.2</v>
      </c>
      <c r="L30" s="13">
        <f>F30*K30</f>
        <v>1.3888</v>
      </c>
      <c r="M30" s="13">
        <f>H30+J30+L30</f>
        <v>1.3888</v>
      </c>
    </row>
    <row r="31" spans="1:13" s="146" customFormat="1" ht="14.25" customHeight="1">
      <c r="A31" s="1"/>
      <c r="B31" s="257"/>
      <c r="C31" s="19" t="s">
        <v>56</v>
      </c>
      <c r="D31" s="18"/>
      <c r="E31" s="14"/>
      <c r="F31" s="13"/>
      <c r="G31" s="158"/>
      <c r="H31" s="13"/>
      <c r="I31" s="13"/>
      <c r="J31" s="13"/>
      <c r="K31" s="13"/>
      <c r="L31" s="13"/>
      <c r="M31" s="13"/>
    </row>
    <row r="32" spans="1:13" s="146" customFormat="1" ht="15" customHeight="1">
      <c r="A32" s="1"/>
      <c r="B32" s="257"/>
      <c r="C32" s="19" t="s">
        <v>393</v>
      </c>
      <c r="D32" s="18" t="s">
        <v>115</v>
      </c>
      <c r="E32" s="14">
        <v>0.937</v>
      </c>
      <c r="F32" s="13">
        <f>F28*E32</f>
        <v>18.740000000000002</v>
      </c>
      <c r="G32" s="13">
        <v>3.8</v>
      </c>
      <c r="H32" s="13">
        <f>F32*G32</f>
        <v>71.212</v>
      </c>
      <c r="I32" s="13"/>
      <c r="J32" s="13"/>
      <c r="K32" s="13"/>
      <c r="L32" s="13"/>
      <c r="M32" s="13">
        <f>H32+J32+L32</f>
        <v>71.212</v>
      </c>
    </row>
    <row r="33" spans="1:13" s="146" customFormat="1" ht="15" customHeight="1">
      <c r="A33" s="1"/>
      <c r="B33" s="257"/>
      <c r="C33" s="19" t="s">
        <v>57</v>
      </c>
      <c r="D33" s="18" t="s">
        <v>43</v>
      </c>
      <c r="E33" s="44">
        <v>0.0708</v>
      </c>
      <c r="F33" s="124">
        <f>F28*E33</f>
        <v>1.416</v>
      </c>
      <c r="G33" s="124">
        <v>3.2</v>
      </c>
      <c r="H33" s="124">
        <f>F33*G33</f>
        <v>4.5312</v>
      </c>
      <c r="I33" s="124"/>
      <c r="J33" s="124"/>
      <c r="K33" s="124"/>
      <c r="L33" s="124"/>
      <c r="M33" s="124">
        <f>H33+J33+L33</f>
        <v>4.5312</v>
      </c>
    </row>
    <row r="34" spans="1:13" s="146" customFormat="1" ht="30" customHeight="1">
      <c r="A34" s="28">
        <v>5</v>
      </c>
      <c r="B34" s="27" t="s">
        <v>129</v>
      </c>
      <c r="C34" s="43" t="s">
        <v>394</v>
      </c>
      <c r="D34" s="152" t="s">
        <v>115</v>
      </c>
      <c r="E34" s="118"/>
      <c r="F34" s="164">
        <v>20</v>
      </c>
      <c r="G34" s="159"/>
      <c r="H34" s="160"/>
      <c r="I34" s="30"/>
      <c r="J34" s="30"/>
      <c r="K34" s="30"/>
      <c r="L34" s="30"/>
      <c r="M34" s="30"/>
    </row>
    <row r="35" spans="1:13" s="146" customFormat="1" ht="14.25" customHeight="1">
      <c r="A35" s="1"/>
      <c r="B35" s="12"/>
      <c r="C35" s="19" t="s">
        <v>94</v>
      </c>
      <c r="D35" s="18" t="s">
        <v>115</v>
      </c>
      <c r="E35" s="14">
        <v>1</v>
      </c>
      <c r="F35" s="13">
        <f>F34*E35</f>
        <v>20</v>
      </c>
      <c r="G35" s="158"/>
      <c r="H35" s="107"/>
      <c r="I35" s="13">
        <v>1.5</v>
      </c>
      <c r="J35" s="13">
        <f>F35*I35</f>
        <v>30</v>
      </c>
      <c r="K35" s="13"/>
      <c r="L35" s="13"/>
      <c r="M35" s="13">
        <f>H35+J35+L35</f>
        <v>30</v>
      </c>
    </row>
    <row r="36" spans="1:13" s="146" customFormat="1" ht="14.25" customHeight="1">
      <c r="A36" s="1"/>
      <c r="B36" s="257"/>
      <c r="C36" s="19" t="s">
        <v>116</v>
      </c>
      <c r="D36" s="18" t="s">
        <v>43</v>
      </c>
      <c r="E36" s="14">
        <v>0.0314</v>
      </c>
      <c r="F36" s="13">
        <f>F34*E36</f>
        <v>0.6279999999999999</v>
      </c>
      <c r="G36" s="158"/>
      <c r="H36" s="13"/>
      <c r="I36" s="13"/>
      <c r="J36" s="13"/>
      <c r="K36" s="13">
        <v>3.2</v>
      </c>
      <c r="L36" s="13">
        <f>F36*K36</f>
        <v>2.0096</v>
      </c>
      <c r="M36" s="13">
        <f>H36+J36+L36</f>
        <v>2.0096</v>
      </c>
    </row>
    <row r="37" spans="1:13" s="146" customFormat="1" ht="14.25" customHeight="1">
      <c r="A37" s="1"/>
      <c r="B37" s="257"/>
      <c r="C37" s="19" t="s">
        <v>56</v>
      </c>
      <c r="D37" s="18"/>
      <c r="E37" s="14"/>
      <c r="F37" s="13"/>
      <c r="G37" s="158"/>
      <c r="H37" s="13"/>
      <c r="I37" s="13"/>
      <c r="J37" s="13"/>
      <c r="K37" s="13"/>
      <c r="L37" s="13"/>
      <c r="M37" s="13"/>
    </row>
    <row r="38" spans="1:13" s="146" customFormat="1" ht="14.25" customHeight="1">
      <c r="A38" s="1"/>
      <c r="B38" s="257"/>
      <c r="C38" s="19" t="s">
        <v>395</v>
      </c>
      <c r="D38" s="18" t="s">
        <v>115</v>
      </c>
      <c r="E38" s="1">
        <v>0.946</v>
      </c>
      <c r="F38" s="13">
        <f>F34*E38</f>
        <v>18.919999999999998</v>
      </c>
      <c r="G38" s="13">
        <v>5.9</v>
      </c>
      <c r="H38" s="13">
        <f>F38*G38</f>
        <v>111.628</v>
      </c>
      <c r="I38" s="13"/>
      <c r="J38" s="13"/>
      <c r="K38" s="13"/>
      <c r="L38" s="13"/>
      <c r="M38" s="13">
        <f>H38+J38+L38</f>
        <v>111.628</v>
      </c>
    </row>
    <row r="39" spans="1:13" s="146" customFormat="1" ht="15" customHeight="1">
      <c r="A39" s="1"/>
      <c r="B39" s="257"/>
      <c r="C39" s="19" t="s">
        <v>57</v>
      </c>
      <c r="D39" s="18" t="s">
        <v>43</v>
      </c>
      <c r="E39" s="14">
        <v>0.0652</v>
      </c>
      <c r="F39" s="13">
        <f>F34*E39</f>
        <v>1.3039999999999998</v>
      </c>
      <c r="G39" s="13">
        <v>3.2</v>
      </c>
      <c r="H39" s="13">
        <f>F39*G39</f>
        <v>4.1728</v>
      </c>
      <c r="I39" s="13"/>
      <c r="J39" s="13"/>
      <c r="K39" s="13"/>
      <c r="L39" s="13"/>
      <c r="M39" s="13">
        <f>H39+J39+L39</f>
        <v>4.1728</v>
      </c>
    </row>
    <row r="40" spans="1:13" s="146" customFormat="1" ht="30" customHeight="1">
      <c r="A40" s="28">
        <v>6</v>
      </c>
      <c r="B40" s="27" t="s">
        <v>326</v>
      </c>
      <c r="C40" s="43" t="s">
        <v>601</v>
      </c>
      <c r="D40" s="152" t="s">
        <v>115</v>
      </c>
      <c r="E40" s="118"/>
      <c r="F40" s="164">
        <v>10</v>
      </c>
      <c r="G40" s="159"/>
      <c r="H40" s="160"/>
      <c r="I40" s="30"/>
      <c r="J40" s="30"/>
      <c r="K40" s="30"/>
      <c r="L40" s="30"/>
      <c r="M40" s="30"/>
    </row>
    <row r="41" spans="1:13" s="146" customFormat="1" ht="14.25" customHeight="1">
      <c r="A41" s="1"/>
      <c r="B41" s="12"/>
      <c r="C41" s="19" t="s">
        <v>94</v>
      </c>
      <c r="D41" s="18" t="s">
        <v>115</v>
      </c>
      <c r="E41" s="14">
        <v>1</v>
      </c>
      <c r="F41" s="13">
        <f>F40*E41</f>
        <v>10</v>
      </c>
      <c r="G41" s="158"/>
      <c r="H41" s="107"/>
      <c r="I41" s="13">
        <v>1.5</v>
      </c>
      <c r="J41" s="13">
        <f>F41*I41</f>
        <v>15</v>
      </c>
      <c r="K41" s="13"/>
      <c r="L41" s="13"/>
      <c r="M41" s="13">
        <f>H41+J41+L41</f>
        <v>15</v>
      </c>
    </row>
    <row r="42" spans="1:13" s="146" customFormat="1" ht="14.25" customHeight="1">
      <c r="A42" s="1"/>
      <c r="B42" s="257"/>
      <c r="C42" s="19" t="s">
        <v>116</v>
      </c>
      <c r="D42" s="18" t="s">
        <v>43</v>
      </c>
      <c r="E42" s="14">
        <v>0.0525</v>
      </c>
      <c r="F42" s="13">
        <f>F40*E42</f>
        <v>0.525</v>
      </c>
      <c r="G42" s="158"/>
      <c r="H42" s="13"/>
      <c r="I42" s="13"/>
      <c r="J42" s="13"/>
      <c r="K42" s="13">
        <v>3.2</v>
      </c>
      <c r="L42" s="13">
        <f>F42*K42</f>
        <v>1.6800000000000002</v>
      </c>
      <c r="M42" s="13">
        <f>H42+J42+L42</f>
        <v>1.6800000000000002</v>
      </c>
    </row>
    <row r="43" spans="1:13" s="146" customFormat="1" ht="14.25" customHeight="1">
      <c r="A43" s="1"/>
      <c r="B43" s="257"/>
      <c r="C43" s="19" t="s">
        <v>56</v>
      </c>
      <c r="D43" s="18"/>
      <c r="E43" s="14"/>
      <c r="F43" s="13"/>
      <c r="G43" s="158"/>
      <c r="H43" s="13"/>
      <c r="I43" s="13"/>
      <c r="J43" s="13"/>
      <c r="K43" s="13"/>
      <c r="L43" s="13"/>
      <c r="M43" s="13"/>
    </row>
    <row r="44" spans="1:13" s="146" customFormat="1" ht="14.25" customHeight="1">
      <c r="A44" s="1"/>
      <c r="B44" s="257"/>
      <c r="C44" s="19" t="s">
        <v>602</v>
      </c>
      <c r="D44" s="18" t="s">
        <v>115</v>
      </c>
      <c r="E44" s="1">
        <v>0.974</v>
      </c>
      <c r="F44" s="13">
        <f>F40*E44</f>
        <v>9.74</v>
      </c>
      <c r="G44" s="13">
        <v>10.2</v>
      </c>
      <c r="H44" s="13">
        <f>F44*G44</f>
        <v>99.348</v>
      </c>
      <c r="I44" s="13"/>
      <c r="J44" s="13"/>
      <c r="K44" s="13"/>
      <c r="L44" s="13"/>
      <c r="M44" s="13">
        <f>H44+J44+L44</f>
        <v>99.348</v>
      </c>
    </row>
    <row r="45" spans="1:13" s="146" customFormat="1" ht="15" customHeight="1">
      <c r="A45" s="1"/>
      <c r="B45" s="257"/>
      <c r="C45" s="19" t="s">
        <v>57</v>
      </c>
      <c r="D45" s="18" t="s">
        <v>43</v>
      </c>
      <c r="E45" s="14">
        <v>0.0478</v>
      </c>
      <c r="F45" s="13">
        <f>F40*E45</f>
        <v>0.47800000000000004</v>
      </c>
      <c r="G45" s="13">
        <v>3.2</v>
      </c>
      <c r="H45" s="13">
        <f>F45*G45</f>
        <v>1.5296000000000003</v>
      </c>
      <c r="I45" s="13"/>
      <c r="J45" s="13"/>
      <c r="K45" s="13"/>
      <c r="L45" s="13"/>
      <c r="M45" s="13">
        <f>H45+J45+L45</f>
        <v>1.5296000000000003</v>
      </c>
    </row>
    <row r="46" spans="1:13" s="146" customFormat="1" ht="30" customHeight="1">
      <c r="A46" s="28">
        <v>7</v>
      </c>
      <c r="B46" s="27" t="s">
        <v>341</v>
      </c>
      <c r="C46" s="43" t="s">
        <v>603</v>
      </c>
      <c r="D46" s="152" t="s">
        <v>115</v>
      </c>
      <c r="E46" s="118"/>
      <c r="F46" s="164">
        <v>40</v>
      </c>
      <c r="G46" s="159"/>
      <c r="H46" s="160"/>
      <c r="I46" s="30"/>
      <c r="J46" s="30"/>
      <c r="K46" s="30"/>
      <c r="L46" s="30"/>
      <c r="M46" s="30"/>
    </row>
    <row r="47" spans="1:13" s="146" customFormat="1" ht="14.25" customHeight="1">
      <c r="A47" s="1"/>
      <c r="B47" s="12"/>
      <c r="C47" s="19" t="s">
        <v>94</v>
      </c>
      <c r="D47" s="18" t="s">
        <v>115</v>
      </c>
      <c r="E47" s="14">
        <v>1</v>
      </c>
      <c r="F47" s="13">
        <f>F46*E47</f>
        <v>40</v>
      </c>
      <c r="G47" s="158"/>
      <c r="H47" s="107"/>
      <c r="I47" s="13">
        <v>1.5</v>
      </c>
      <c r="J47" s="13">
        <f>F47*I47</f>
        <v>60</v>
      </c>
      <c r="K47" s="13"/>
      <c r="L47" s="13"/>
      <c r="M47" s="13">
        <f>H47+J47+L47</f>
        <v>60</v>
      </c>
    </row>
    <row r="48" spans="1:13" s="146" customFormat="1" ht="14.25" customHeight="1">
      <c r="A48" s="1"/>
      <c r="B48" s="257"/>
      <c r="C48" s="19" t="s">
        <v>116</v>
      </c>
      <c r="D48" s="18" t="s">
        <v>43</v>
      </c>
      <c r="E48" s="14">
        <v>0.0472</v>
      </c>
      <c r="F48" s="13">
        <f>F46*E48</f>
        <v>1.888</v>
      </c>
      <c r="G48" s="158"/>
      <c r="H48" s="13"/>
      <c r="I48" s="13"/>
      <c r="J48" s="13"/>
      <c r="K48" s="13">
        <v>3.2</v>
      </c>
      <c r="L48" s="13">
        <f>F48*K48</f>
        <v>6.0416</v>
      </c>
      <c r="M48" s="13">
        <f>H48+J48+L48</f>
        <v>6.0416</v>
      </c>
    </row>
    <row r="49" spans="1:13" s="146" customFormat="1" ht="14.25" customHeight="1">
      <c r="A49" s="1"/>
      <c r="B49" s="257"/>
      <c r="C49" s="19" t="s">
        <v>56</v>
      </c>
      <c r="D49" s="18"/>
      <c r="E49" s="14"/>
      <c r="F49" s="13"/>
      <c r="G49" s="158"/>
      <c r="H49" s="13"/>
      <c r="I49" s="13"/>
      <c r="J49" s="13"/>
      <c r="K49" s="13"/>
      <c r="L49" s="13"/>
      <c r="M49" s="13"/>
    </row>
    <row r="50" spans="1:13" s="146" customFormat="1" ht="14.25" customHeight="1">
      <c r="A50" s="1"/>
      <c r="B50" s="257"/>
      <c r="C50" s="19" t="s">
        <v>604</v>
      </c>
      <c r="D50" s="18" t="s">
        <v>115</v>
      </c>
      <c r="E50" s="1">
        <v>0.974</v>
      </c>
      <c r="F50" s="13">
        <f>F46*E50</f>
        <v>38.96</v>
      </c>
      <c r="G50" s="13">
        <v>13.6</v>
      </c>
      <c r="H50" s="13">
        <f>F50*G50</f>
        <v>529.856</v>
      </c>
      <c r="I50" s="13"/>
      <c r="J50" s="13"/>
      <c r="K50" s="13"/>
      <c r="L50" s="13"/>
      <c r="M50" s="13">
        <f>H50+J50+L50</f>
        <v>529.856</v>
      </c>
    </row>
    <row r="51" spans="1:13" s="146" customFormat="1" ht="15" customHeight="1">
      <c r="A51" s="1"/>
      <c r="B51" s="257"/>
      <c r="C51" s="19" t="s">
        <v>57</v>
      </c>
      <c r="D51" s="18" t="s">
        <v>43</v>
      </c>
      <c r="E51" s="14">
        <v>0.0425</v>
      </c>
      <c r="F51" s="13">
        <f>F46*E51</f>
        <v>1.7000000000000002</v>
      </c>
      <c r="G51" s="13">
        <v>3.2</v>
      </c>
      <c r="H51" s="13">
        <f>F51*G51</f>
        <v>5.440000000000001</v>
      </c>
      <c r="I51" s="13"/>
      <c r="J51" s="13"/>
      <c r="K51" s="13"/>
      <c r="L51" s="13"/>
      <c r="M51" s="13">
        <f>H51+J51+L51</f>
        <v>5.440000000000001</v>
      </c>
    </row>
    <row r="52" spans="1:13" s="146" customFormat="1" ht="30" customHeight="1">
      <c r="A52" s="28">
        <v>8</v>
      </c>
      <c r="B52" s="27" t="s">
        <v>605</v>
      </c>
      <c r="C52" s="43" t="s">
        <v>606</v>
      </c>
      <c r="D52" s="152" t="s">
        <v>115</v>
      </c>
      <c r="E52" s="118"/>
      <c r="F52" s="164">
        <v>40</v>
      </c>
      <c r="G52" s="159"/>
      <c r="H52" s="160"/>
      <c r="I52" s="30"/>
      <c r="J52" s="30"/>
      <c r="K52" s="30"/>
      <c r="L52" s="30"/>
      <c r="M52" s="30"/>
    </row>
    <row r="53" spans="1:13" s="146" customFormat="1" ht="14.25" customHeight="1">
      <c r="A53" s="1"/>
      <c r="B53" s="12"/>
      <c r="C53" s="19" t="s">
        <v>94</v>
      </c>
      <c r="D53" s="18" t="s">
        <v>115</v>
      </c>
      <c r="E53" s="14">
        <v>1</v>
      </c>
      <c r="F53" s="13">
        <f>F52*E53</f>
        <v>40</v>
      </c>
      <c r="G53" s="158"/>
      <c r="H53" s="107"/>
      <c r="I53" s="13">
        <v>1.5</v>
      </c>
      <c r="J53" s="13">
        <f>F53*I53</f>
        <v>60</v>
      </c>
      <c r="K53" s="13"/>
      <c r="L53" s="13"/>
      <c r="M53" s="13">
        <f>H53+J53+L53</f>
        <v>60</v>
      </c>
    </row>
    <row r="54" spans="1:13" s="146" customFormat="1" ht="14.25" customHeight="1">
      <c r="A54" s="1"/>
      <c r="B54" s="257"/>
      <c r="C54" s="19" t="s">
        <v>116</v>
      </c>
      <c r="D54" s="18" t="s">
        <v>43</v>
      </c>
      <c r="E54" s="14">
        <v>0.0483</v>
      </c>
      <c r="F54" s="13">
        <f>F52*E54</f>
        <v>1.9320000000000002</v>
      </c>
      <c r="G54" s="158"/>
      <c r="H54" s="13"/>
      <c r="I54" s="13"/>
      <c r="J54" s="13"/>
      <c r="K54" s="13">
        <v>3.2</v>
      </c>
      <c r="L54" s="13">
        <f>F54*K54</f>
        <v>6.182400000000001</v>
      </c>
      <c r="M54" s="13">
        <f>H54+J54+L54</f>
        <v>6.182400000000001</v>
      </c>
    </row>
    <row r="55" spans="1:13" s="146" customFormat="1" ht="14.25" customHeight="1">
      <c r="A55" s="1"/>
      <c r="B55" s="257"/>
      <c r="C55" s="19" t="s">
        <v>56</v>
      </c>
      <c r="D55" s="18"/>
      <c r="E55" s="14"/>
      <c r="F55" s="13"/>
      <c r="G55" s="158"/>
      <c r="H55" s="13"/>
      <c r="I55" s="13"/>
      <c r="J55" s="13"/>
      <c r="K55" s="13"/>
      <c r="L55" s="13"/>
      <c r="M55" s="13"/>
    </row>
    <row r="56" spans="1:13" s="146" customFormat="1" ht="14.25" customHeight="1">
      <c r="A56" s="1"/>
      <c r="B56" s="257"/>
      <c r="C56" s="19" t="s">
        <v>607</v>
      </c>
      <c r="D56" s="18" t="s">
        <v>115</v>
      </c>
      <c r="E56" s="1">
        <v>0.996</v>
      </c>
      <c r="F56" s="13">
        <f>F52*E56</f>
        <v>39.84</v>
      </c>
      <c r="G56" s="13">
        <v>21.2</v>
      </c>
      <c r="H56" s="13">
        <f>F56*G56</f>
        <v>844.6080000000001</v>
      </c>
      <c r="I56" s="13"/>
      <c r="J56" s="13"/>
      <c r="K56" s="13"/>
      <c r="L56" s="13"/>
      <c r="M56" s="13">
        <f>H56+J56+L56</f>
        <v>844.6080000000001</v>
      </c>
    </row>
    <row r="57" spans="1:13" s="146" customFormat="1" ht="15" customHeight="1">
      <c r="A57" s="1"/>
      <c r="B57" s="257"/>
      <c r="C57" s="19" t="s">
        <v>57</v>
      </c>
      <c r="D57" s="18" t="s">
        <v>43</v>
      </c>
      <c r="E57" s="14">
        <v>0.0346</v>
      </c>
      <c r="F57" s="13">
        <f>F52*E57</f>
        <v>1.384</v>
      </c>
      <c r="G57" s="13">
        <v>3.2</v>
      </c>
      <c r="H57" s="13">
        <f>F57*G57</f>
        <v>4.4288</v>
      </c>
      <c r="I57" s="13"/>
      <c r="J57" s="13"/>
      <c r="K57" s="13"/>
      <c r="L57" s="13"/>
      <c r="M57" s="13">
        <f>H57+J57+L57</f>
        <v>4.4288</v>
      </c>
    </row>
    <row r="58" spans="1:13" s="146" customFormat="1" ht="30" customHeight="1">
      <c r="A58" s="28">
        <v>9</v>
      </c>
      <c r="B58" s="27" t="s">
        <v>605</v>
      </c>
      <c r="C58" s="43" t="s">
        <v>608</v>
      </c>
      <c r="D58" s="152" t="s">
        <v>115</v>
      </c>
      <c r="E58" s="118"/>
      <c r="F58" s="164">
        <v>25</v>
      </c>
      <c r="G58" s="159"/>
      <c r="H58" s="160"/>
      <c r="I58" s="30"/>
      <c r="J58" s="30"/>
      <c r="K58" s="30"/>
      <c r="L58" s="30"/>
      <c r="M58" s="30"/>
    </row>
    <row r="59" spans="1:13" s="146" customFormat="1" ht="14.25" customHeight="1">
      <c r="A59" s="1"/>
      <c r="B59" s="12"/>
      <c r="C59" s="19" t="s">
        <v>94</v>
      </c>
      <c r="D59" s="18" t="s">
        <v>115</v>
      </c>
      <c r="E59" s="14">
        <v>1</v>
      </c>
      <c r="F59" s="13">
        <f>F58*E59</f>
        <v>25</v>
      </c>
      <c r="G59" s="158"/>
      <c r="H59" s="107"/>
      <c r="I59" s="13">
        <v>1.5</v>
      </c>
      <c r="J59" s="13">
        <f>F59*I59</f>
        <v>37.5</v>
      </c>
      <c r="K59" s="13"/>
      <c r="L59" s="13"/>
      <c r="M59" s="13">
        <f>H59+J59+L59</f>
        <v>37.5</v>
      </c>
    </row>
    <row r="60" spans="1:13" s="146" customFormat="1" ht="14.25" customHeight="1">
      <c r="A60" s="1"/>
      <c r="B60" s="257"/>
      <c r="C60" s="19" t="s">
        <v>116</v>
      </c>
      <c r="D60" s="18" t="s">
        <v>43</v>
      </c>
      <c r="E60" s="14">
        <v>0.0483</v>
      </c>
      <c r="F60" s="13">
        <f>F58*E60</f>
        <v>1.2075</v>
      </c>
      <c r="G60" s="158"/>
      <c r="H60" s="13"/>
      <c r="I60" s="13"/>
      <c r="J60" s="13"/>
      <c r="K60" s="13">
        <v>3.2</v>
      </c>
      <c r="L60" s="13">
        <f>F60*K60</f>
        <v>3.8640000000000003</v>
      </c>
      <c r="M60" s="13">
        <f>H60+J60+L60</f>
        <v>3.8640000000000003</v>
      </c>
    </row>
    <row r="61" spans="1:13" s="146" customFormat="1" ht="14.25" customHeight="1">
      <c r="A61" s="1"/>
      <c r="B61" s="257"/>
      <c r="C61" s="19" t="s">
        <v>56</v>
      </c>
      <c r="D61" s="18"/>
      <c r="E61" s="14"/>
      <c r="F61" s="13"/>
      <c r="G61" s="158"/>
      <c r="H61" s="13"/>
      <c r="I61" s="13"/>
      <c r="J61" s="13"/>
      <c r="K61" s="13"/>
      <c r="L61" s="13"/>
      <c r="M61" s="13"/>
    </row>
    <row r="62" spans="1:13" s="146" customFormat="1" ht="14.25" customHeight="1">
      <c r="A62" s="1"/>
      <c r="B62" s="257"/>
      <c r="C62" s="19" t="s">
        <v>609</v>
      </c>
      <c r="D62" s="18" t="s">
        <v>115</v>
      </c>
      <c r="E62" s="1">
        <v>0.996</v>
      </c>
      <c r="F62" s="13">
        <f>F58*E62</f>
        <v>24.9</v>
      </c>
      <c r="G62" s="13">
        <v>29.7</v>
      </c>
      <c r="H62" s="13">
        <f aca="true" t="shared" si="0" ref="H62:H68">F62*G62</f>
        <v>739.53</v>
      </c>
      <c r="I62" s="13"/>
      <c r="J62" s="13"/>
      <c r="K62" s="13"/>
      <c r="L62" s="13"/>
      <c r="M62" s="13">
        <f aca="true" t="shared" si="1" ref="M62:M68">H62+J62+L62</f>
        <v>739.53</v>
      </c>
    </row>
    <row r="63" spans="1:13" s="146" customFormat="1" ht="15" customHeight="1">
      <c r="A63" s="1"/>
      <c r="B63" s="257"/>
      <c r="C63" s="19" t="s">
        <v>57</v>
      </c>
      <c r="D63" s="18" t="s">
        <v>43</v>
      </c>
      <c r="E63" s="14">
        <v>0.0346</v>
      </c>
      <c r="F63" s="13">
        <f>F58*E63</f>
        <v>0.865</v>
      </c>
      <c r="G63" s="13">
        <v>3.2</v>
      </c>
      <c r="H63" s="13">
        <f t="shared" si="0"/>
        <v>2.7680000000000002</v>
      </c>
      <c r="I63" s="13"/>
      <c r="J63" s="13"/>
      <c r="K63" s="13"/>
      <c r="L63" s="13"/>
      <c r="M63" s="13">
        <f t="shared" si="1"/>
        <v>2.7680000000000002</v>
      </c>
    </row>
    <row r="64" spans="1:13" s="146" customFormat="1" ht="14.25" customHeight="1">
      <c r="A64" s="47">
        <v>10</v>
      </c>
      <c r="B64" s="144"/>
      <c r="C64" s="38" t="s">
        <v>396</v>
      </c>
      <c r="D64" s="47" t="s">
        <v>121</v>
      </c>
      <c r="E64" s="74"/>
      <c r="F64" s="161">
        <v>75</v>
      </c>
      <c r="G64" s="108">
        <v>0.25</v>
      </c>
      <c r="H64" s="108">
        <f t="shared" si="0"/>
        <v>18.75</v>
      </c>
      <c r="I64" s="108"/>
      <c r="J64" s="108"/>
      <c r="K64" s="108"/>
      <c r="L64" s="108"/>
      <c r="M64" s="108">
        <f t="shared" si="1"/>
        <v>18.75</v>
      </c>
    </row>
    <row r="65" spans="1:13" s="146" customFormat="1" ht="14.25" customHeight="1">
      <c r="A65" s="47">
        <v>11</v>
      </c>
      <c r="B65" s="144"/>
      <c r="C65" s="38" t="s">
        <v>397</v>
      </c>
      <c r="D65" s="47" t="s">
        <v>121</v>
      </c>
      <c r="E65" s="74"/>
      <c r="F65" s="161">
        <v>28</v>
      </c>
      <c r="G65" s="108">
        <v>0.34</v>
      </c>
      <c r="H65" s="108">
        <f t="shared" si="0"/>
        <v>9.520000000000001</v>
      </c>
      <c r="I65" s="108"/>
      <c r="J65" s="108"/>
      <c r="K65" s="108"/>
      <c r="L65" s="108"/>
      <c r="M65" s="108">
        <f t="shared" si="1"/>
        <v>9.520000000000001</v>
      </c>
    </row>
    <row r="66" spans="1:13" s="146" customFormat="1" ht="14.25" customHeight="1">
      <c r="A66" s="47">
        <v>12</v>
      </c>
      <c r="B66" s="144"/>
      <c r="C66" s="38" t="s">
        <v>610</v>
      </c>
      <c r="D66" s="47" t="s">
        <v>121</v>
      </c>
      <c r="E66" s="74"/>
      <c r="F66" s="161">
        <v>2</v>
      </c>
      <c r="G66" s="108">
        <v>1.8</v>
      </c>
      <c r="H66" s="108">
        <f t="shared" si="0"/>
        <v>3.6</v>
      </c>
      <c r="I66" s="108"/>
      <c r="J66" s="108"/>
      <c r="K66" s="108"/>
      <c r="L66" s="108"/>
      <c r="M66" s="108">
        <f t="shared" si="1"/>
        <v>3.6</v>
      </c>
    </row>
    <row r="67" spans="1:13" s="146" customFormat="1" ht="14.25" customHeight="1">
      <c r="A67" s="47">
        <v>13</v>
      </c>
      <c r="B67" s="144"/>
      <c r="C67" s="38" t="s">
        <v>611</v>
      </c>
      <c r="D67" s="47" t="s">
        <v>121</v>
      </c>
      <c r="E67" s="74"/>
      <c r="F67" s="161">
        <v>2</v>
      </c>
      <c r="G67" s="108">
        <v>2.7</v>
      </c>
      <c r="H67" s="108">
        <f t="shared" si="0"/>
        <v>5.4</v>
      </c>
      <c r="I67" s="108"/>
      <c r="J67" s="108"/>
      <c r="K67" s="108"/>
      <c r="L67" s="108"/>
      <c r="M67" s="108">
        <f t="shared" si="1"/>
        <v>5.4</v>
      </c>
    </row>
    <row r="68" spans="1:13" s="146" customFormat="1" ht="14.25" customHeight="1">
      <c r="A68" s="47">
        <v>14</v>
      </c>
      <c r="B68" s="144"/>
      <c r="C68" s="38" t="s">
        <v>612</v>
      </c>
      <c r="D68" s="47" t="s">
        <v>121</v>
      </c>
      <c r="E68" s="74"/>
      <c r="F68" s="161">
        <v>2</v>
      </c>
      <c r="G68" s="108">
        <v>4.98</v>
      </c>
      <c r="H68" s="108">
        <f t="shared" si="0"/>
        <v>9.96</v>
      </c>
      <c r="I68" s="108"/>
      <c r="J68" s="108"/>
      <c r="K68" s="108"/>
      <c r="L68" s="108"/>
      <c r="M68" s="108">
        <f t="shared" si="1"/>
        <v>9.96</v>
      </c>
    </row>
    <row r="69" spans="1:13" s="146" customFormat="1" ht="17.25" customHeight="1">
      <c r="A69" s="47"/>
      <c r="B69" s="27" t="s">
        <v>120</v>
      </c>
      <c r="C69" s="43" t="s">
        <v>348</v>
      </c>
      <c r="D69" s="152" t="s">
        <v>59</v>
      </c>
      <c r="E69" s="118"/>
      <c r="F69" s="164">
        <f>SUM(F73:F74)</f>
        <v>100</v>
      </c>
      <c r="G69" s="159"/>
      <c r="H69" s="160"/>
      <c r="I69" s="30"/>
      <c r="J69" s="30"/>
      <c r="K69" s="30"/>
      <c r="L69" s="30"/>
      <c r="M69" s="30"/>
    </row>
    <row r="70" spans="1:13" s="146" customFormat="1" ht="15" customHeight="1">
      <c r="A70" s="1"/>
      <c r="B70" s="12"/>
      <c r="C70" s="19" t="s">
        <v>54</v>
      </c>
      <c r="D70" s="1" t="s">
        <v>366</v>
      </c>
      <c r="E70" s="14">
        <v>1.51</v>
      </c>
      <c r="F70" s="13">
        <f>F69*E70</f>
        <v>151</v>
      </c>
      <c r="G70" s="158"/>
      <c r="H70" s="107"/>
      <c r="I70" s="13">
        <v>6</v>
      </c>
      <c r="J70" s="13">
        <f>F70*I70</f>
        <v>906</v>
      </c>
      <c r="K70" s="13"/>
      <c r="L70" s="13"/>
      <c r="M70" s="13">
        <f>H70+J70+L70</f>
        <v>906</v>
      </c>
    </row>
    <row r="71" spans="1:13" s="146" customFormat="1" ht="14.25" customHeight="1">
      <c r="A71" s="1"/>
      <c r="B71" s="257"/>
      <c r="C71" s="19" t="s">
        <v>116</v>
      </c>
      <c r="D71" s="18" t="s">
        <v>43</v>
      </c>
      <c r="E71" s="14">
        <v>0.13</v>
      </c>
      <c r="F71" s="13">
        <f>F69*E71</f>
        <v>13</v>
      </c>
      <c r="G71" s="158"/>
      <c r="H71" s="13"/>
      <c r="I71" s="13"/>
      <c r="J71" s="13"/>
      <c r="K71" s="13">
        <v>3.2</v>
      </c>
      <c r="L71" s="13">
        <f>F71*K71</f>
        <v>41.6</v>
      </c>
      <c r="M71" s="13">
        <f>H71+J71+L71</f>
        <v>41.6</v>
      </c>
    </row>
    <row r="72" spans="1:13" s="146" customFormat="1" ht="14.25" customHeight="1">
      <c r="A72" s="1"/>
      <c r="B72" s="257"/>
      <c r="C72" s="19" t="s">
        <v>56</v>
      </c>
      <c r="D72" s="18"/>
      <c r="E72" s="14"/>
      <c r="F72" s="13"/>
      <c r="G72" s="158"/>
      <c r="H72" s="13"/>
      <c r="I72" s="13"/>
      <c r="J72" s="13"/>
      <c r="K72" s="13"/>
      <c r="L72" s="13"/>
      <c r="M72" s="13"/>
    </row>
    <row r="73" spans="1:13" s="146" customFormat="1" ht="14.25" customHeight="1">
      <c r="A73" s="1">
        <v>15</v>
      </c>
      <c r="B73" s="257"/>
      <c r="C73" s="19" t="s">
        <v>131</v>
      </c>
      <c r="D73" s="18" t="s">
        <v>59</v>
      </c>
      <c r="E73" s="14"/>
      <c r="F73" s="165">
        <v>66</v>
      </c>
      <c r="G73" s="13">
        <v>6.5</v>
      </c>
      <c r="H73" s="13">
        <f>F73*G73</f>
        <v>429</v>
      </c>
      <c r="I73" s="13"/>
      <c r="J73" s="13"/>
      <c r="K73" s="13"/>
      <c r="L73" s="13"/>
      <c r="M73" s="13">
        <f>H73+J73+L73</f>
        <v>429</v>
      </c>
    </row>
    <row r="74" spans="1:13" s="146" customFormat="1" ht="14.25" customHeight="1">
      <c r="A74" s="1">
        <v>16</v>
      </c>
      <c r="B74" s="257"/>
      <c r="C74" s="19" t="s">
        <v>215</v>
      </c>
      <c r="D74" s="18" t="s">
        <v>59</v>
      </c>
      <c r="E74" s="14"/>
      <c r="F74" s="165">
        <v>34</v>
      </c>
      <c r="G74" s="13">
        <v>7.6</v>
      </c>
      <c r="H74" s="13">
        <f>F74*G74</f>
        <v>258.4</v>
      </c>
      <c r="I74" s="13"/>
      <c r="J74" s="13"/>
      <c r="K74" s="13"/>
      <c r="L74" s="13"/>
      <c r="M74" s="13">
        <f>H74+J74+L74</f>
        <v>258.4</v>
      </c>
    </row>
    <row r="75" spans="1:13" s="146" customFormat="1" ht="15" customHeight="1">
      <c r="A75" s="1"/>
      <c r="B75" s="257"/>
      <c r="C75" s="19" t="s">
        <v>57</v>
      </c>
      <c r="D75" s="18" t="s">
        <v>43</v>
      </c>
      <c r="E75" s="14">
        <v>0.07</v>
      </c>
      <c r="F75" s="13">
        <f>F69*E75</f>
        <v>7.000000000000001</v>
      </c>
      <c r="G75" s="13">
        <v>3.2</v>
      </c>
      <c r="H75" s="13">
        <f>F75*G75</f>
        <v>22.400000000000006</v>
      </c>
      <c r="I75" s="13"/>
      <c r="J75" s="13"/>
      <c r="K75" s="13"/>
      <c r="L75" s="13"/>
      <c r="M75" s="13">
        <f>H75+J75+L75</f>
        <v>22.400000000000006</v>
      </c>
    </row>
    <row r="76" spans="1:13" s="146" customFormat="1" ht="15" customHeight="1">
      <c r="A76" s="28"/>
      <c r="B76" s="27" t="s">
        <v>342</v>
      </c>
      <c r="C76" s="43" t="s">
        <v>613</v>
      </c>
      <c r="D76" s="152" t="s">
        <v>59</v>
      </c>
      <c r="E76" s="118"/>
      <c r="F76" s="164">
        <f>F80+F81</f>
        <v>3</v>
      </c>
      <c r="G76" s="159"/>
      <c r="H76" s="160"/>
      <c r="I76" s="30"/>
      <c r="J76" s="30"/>
      <c r="K76" s="30"/>
      <c r="L76" s="30"/>
      <c r="M76" s="30"/>
    </row>
    <row r="77" spans="1:13" s="146" customFormat="1" ht="15" customHeight="1">
      <c r="A77" s="1"/>
      <c r="B77" s="12"/>
      <c r="C77" s="19" t="s">
        <v>54</v>
      </c>
      <c r="D77" s="1" t="s">
        <v>366</v>
      </c>
      <c r="E77" s="14">
        <v>2.67</v>
      </c>
      <c r="F77" s="13">
        <f>F76*E77</f>
        <v>8.01</v>
      </c>
      <c r="G77" s="158"/>
      <c r="H77" s="107"/>
      <c r="I77" s="13">
        <v>6</v>
      </c>
      <c r="J77" s="13">
        <f>F77*I77</f>
        <v>48.06</v>
      </c>
      <c r="K77" s="13"/>
      <c r="L77" s="13"/>
      <c r="M77" s="13">
        <f>H77+J77+L77</f>
        <v>48.06</v>
      </c>
    </row>
    <row r="78" spans="1:13" s="146" customFormat="1" ht="14.25" customHeight="1">
      <c r="A78" s="1"/>
      <c r="B78" s="257"/>
      <c r="C78" s="19" t="s">
        <v>116</v>
      </c>
      <c r="D78" s="18" t="s">
        <v>43</v>
      </c>
      <c r="E78" s="14">
        <v>0.29</v>
      </c>
      <c r="F78" s="13">
        <f>F76*E78</f>
        <v>0.8699999999999999</v>
      </c>
      <c r="G78" s="158"/>
      <c r="H78" s="13"/>
      <c r="I78" s="13"/>
      <c r="J78" s="13"/>
      <c r="K78" s="13">
        <v>3.2</v>
      </c>
      <c r="L78" s="13">
        <f>F78*K78</f>
        <v>2.784</v>
      </c>
      <c r="M78" s="13">
        <f>H78+J78+L78</f>
        <v>2.784</v>
      </c>
    </row>
    <row r="79" spans="1:13" s="146" customFormat="1" ht="14.25" customHeight="1">
      <c r="A79" s="1"/>
      <c r="B79" s="257"/>
      <c r="C79" s="19" t="s">
        <v>56</v>
      </c>
      <c r="D79" s="18"/>
      <c r="E79" s="14"/>
      <c r="F79" s="13"/>
      <c r="G79" s="158"/>
      <c r="H79" s="13"/>
      <c r="I79" s="13"/>
      <c r="J79" s="13"/>
      <c r="K79" s="13"/>
      <c r="L79" s="13"/>
      <c r="M79" s="13"/>
    </row>
    <row r="80" spans="1:13" s="146" customFormat="1" ht="14.25" customHeight="1">
      <c r="A80" s="1">
        <v>17</v>
      </c>
      <c r="B80" s="257"/>
      <c r="C80" s="19" t="s">
        <v>614</v>
      </c>
      <c r="D80" s="18" t="s">
        <v>59</v>
      </c>
      <c r="E80" s="14"/>
      <c r="F80" s="165">
        <v>2</v>
      </c>
      <c r="G80" s="13">
        <v>91</v>
      </c>
      <c r="H80" s="13">
        <f>F80*G80</f>
        <v>182</v>
      </c>
      <c r="I80" s="13"/>
      <c r="J80" s="13"/>
      <c r="K80" s="13"/>
      <c r="L80" s="13"/>
      <c r="M80" s="13">
        <f>H80+J80+L80</f>
        <v>182</v>
      </c>
    </row>
    <row r="81" spans="1:13" s="146" customFormat="1" ht="14.25" customHeight="1">
      <c r="A81" s="1">
        <v>18</v>
      </c>
      <c r="B81" s="257"/>
      <c r="C81" s="19" t="s">
        <v>615</v>
      </c>
      <c r="D81" s="18" t="s">
        <v>59</v>
      </c>
      <c r="E81" s="14"/>
      <c r="F81" s="165">
        <v>1</v>
      </c>
      <c r="G81" s="13">
        <v>111</v>
      </c>
      <c r="H81" s="13">
        <f>F81*G81</f>
        <v>111</v>
      </c>
      <c r="I81" s="13"/>
      <c r="J81" s="13"/>
      <c r="K81" s="13"/>
      <c r="L81" s="13"/>
      <c r="M81" s="13">
        <f>H81+J81+L81</f>
        <v>111</v>
      </c>
    </row>
    <row r="82" spans="1:13" s="146" customFormat="1" ht="14.25" customHeight="1">
      <c r="A82" s="1"/>
      <c r="B82" s="257"/>
      <c r="C82" s="19" t="s">
        <v>122</v>
      </c>
      <c r="D82" s="18" t="s">
        <v>59</v>
      </c>
      <c r="E82" s="14">
        <v>2</v>
      </c>
      <c r="F82" s="13">
        <f>F76*E82</f>
        <v>6</v>
      </c>
      <c r="G82" s="13">
        <v>12.7</v>
      </c>
      <c r="H82" s="13">
        <f>F82*G82</f>
        <v>76.19999999999999</v>
      </c>
      <c r="I82" s="13"/>
      <c r="J82" s="13"/>
      <c r="K82" s="13"/>
      <c r="L82" s="13"/>
      <c r="M82" s="13">
        <f>H82+J82+L82</f>
        <v>76.19999999999999</v>
      </c>
    </row>
    <row r="83" spans="1:13" s="146" customFormat="1" ht="14.25" customHeight="1">
      <c r="A83" s="1"/>
      <c r="B83" s="257"/>
      <c r="C83" s="19" t="s">
        <v>123</v>
      </c>
      <c r="D83" s="18" t="s">
        <v>65</v>
      </c>
      <c r="E83" s="14">
        <v>2</v>
      </c>
      <c r="F83" s="13">
        <f>F76*E83</f>
        <v>6</v>
      </c>
      <c r="G83" s="13">
        <v>2.9</v>
      </c>
      <c r="H83" s="13">
        <f>F83*G83</f>
        <v>17.4</v>
      </c>
      <c r="I83" s="13"/>
      <c r="J83" s="13"/>
      <c r="K83" s="13"/>
      <c r="L83" s="13"/>
      <c r="M83" s="13">
        <f>H83+J83+L83</f>
        <v>17.4</v>
      </c>
    </row>
    <row r="84" spans="1:13" s="146" customFormat="1" ht="15" customHeight="1">
      <c r="A84" s="1"/>
      <c r="B84" s="257"/>
      <c r="C84" s="19" t="s">
        <v>57</v>
      </c>
      <c r="D84" s="18" t="s">
        <v>43</v>
      </c>
      <c r="E84" s="14">
        <v>0.2</v>
      </c>
      <c r="F84" s="13">
        <f>F76*E84</f>
        <v>0.6000000000000001</v>
      </c>
      <c r="G84" s="13">
        <v>3.2</v>
      </c>
      <c r="H84" s="13">
        <f>F84*G84</f>
        <v>1.9200000000000004</v>
      </c>
      <c r="I84" s="13"/>
      <c r="J84" s="13"/>
      <c r="K84" s="13"/>
      <c r="L84" s="13"/>
      <c r="M84" s="13">
        <f>H84+J84+L84</f>
        <v>1.9200000000000004</v>
      </c>
    </row>
    <row r="85" spans="1:13" s="361" customFormat="1" ht="27">
      <c r="A85" s="76">
        <v>19</v>
      </c>
      <c r="B85" s="522" t="s">
        <v>339</v>
      </c>
      <c r="C85" s="86" t="s">
        <v>616</v>
      </c>
      <c r="D85" s="77" t="s">
        <v>121</v>
      </c>
      <c r="E85" s="76"/>
      <c r="F85" s="168">
        <v>31</v>
      </c>
      <c r="G85" s="130"/>
      <c r="H85" s="130"/>
      <c r="I85" s="130"/>
      <c r="J85" s="130"/>
      <c r="K85" s="130"/>
      <c r="L85" s="130"/>
      <c r="M85" s="130"/>
    </row>
    <row r="86" spans="1:13" s="361" customFormat="1" ht="13.5">
      <c r="A86" s="62"/>
      <c r="B86" s="523"/>
      <c r="C86" s="63" t="s">
        <v>54</v>
      </c>
      <c r="D86" s="1" t="s">
        <v>366</v>
      </c>
      <c r="E86" s="64">
        <v>0.82</v>
      </c>
      <c r="F86" s="131">
        <f>F85*E86</f>
        <v>25.419999999999998</v>
      </c>
      <c r="G86" s="131"/>
      <c r="H86" s="174"/>
      <c r="I86" s="131">
        <v>6</v>
      </c>
      <c r="J86" s="131">
        <f>F86*I86</f>
        <v>152.51999999999998</v>
      </c>
      <c r="K86" s="131"/>
      <c r="L86" s="131"/>
      <c r="M86" s="131">
        <f>H86+J86+L86</f>
        <v>152.51999999999998</v>
      </c>
    </row>
    <row r="87" spans="1:13" s="361" customFormat="1" ht="13.5">
      <c r="A87" s="62"/>
      <c r="B87" s="523"/>
      <c r="C87" s="63" t="s">
        <v>99</v>
      </c>
      <c r="D87" s="65" t="s">
        <v>43</v>
      </c>
      <c r="E87" s="64">
        <v>0.01</v>
      </c>
      <c r="F87" s="131">
        <f>F85*E87</f>
        <v>0.31</v>
      </c>
      <c r="G87" s="131"/>
      <c r="H87" s="131"/>
      <c r="I87" s="131"/>
      <c r="J87" s="131"/>
      <c r="K87" s="131">
        <v>3.2</v>
      </c>
      <c r="L87" s="131">
        <f>F87*K87</f>
        <v>0.992</v>
      </c>
      <c r="M87" s="131">
        <f>H87+J87+L87</f>
        <v>0.992</v>
      </c>
    </row>
    <row r="88" spans="1:13" s="361" customFormat="1" ht="13.5">
      <c r="A88" s="62"/>
      <c r="B88" s="523"/>
      <c r="C88" s="79" t="s">
        <v>56</v>
      </c>
      <c r="D88" s="62"/>
      <c r="E88" s="64"/>
      <c r="F88" s="131"/>
      <c r="G88" s="131"/>
      <c r="H88" s="131"/>
      <c r="I88" s="131"/>
      <c r="J88" s="131"/>
      <c r="K88" s="131"/>
      <c r="L88" s="131"/>
      <c r="M88" s="131"/>
    </row>
    <row r="89" spans="1:13" s="361" customFormat="1" ht="13.5">
      <c r="A89" s="62"/>
      <c r="B89" s="523"/>
      <c r="C89" s="63" t="s">
        <v>340</v>
      </c>
      <c r="D89" s="65" t="s">
        <v>121</v>
      </c>
      <c r="E89" s="64">
        <v>1</v>
      </c>
      <c r="F89" s="131">
        <f>F85*E89</f>
        <v>31</v>
      </c>
      <c r="G89" s="131">
        <v>65</v>
      </c>
      <c r="H89" s="131">
        <f>F89*G89</f>
        <v>2015</v>
      </c>
      <c r="I89" s="131"/>
      <c r="J89" s="131"/>
      <c r="K89" s="131"/>
      <c r="L89" s="131"/>
      <c r="M89" s="131">
        <f>H89+J89+L89</f>
        <v>2015</v>
      </c>
    </row>
    <row r="90" spans="1:13" s="361" customFormat="1" ht="13.5">
      <c r="A90" s="62"/>
      <c r="B90" s="523"/>
      <c r="C90" s="63" t="s">
        <v>57</v>
      </c>
      <c r="D90" s="65" t="s">
        <v>43</v>
      </c>
      <c r="E90" s="64">
        <v>0.07</v>
      </c>
      <c r="F90" s="131">
        <f>F85*E90</f>
        <v>2.1700000000000004</v>
      </c>
      <c r="G90" s="131">
        <v>3.2</v>
      </c>
      <c r="H90" s="131">
        <f>F90*G90</f>
        <v>6.944000000000002</v>
      </c>
      <c r="I90" s="131"/>
      <c r="J90" s="131"/>
      <c r="K90" s="131"/>
      <c r="L90" s="131"/>
      <c r="M90" s="131">
        <f>H90+J90+L90</f>
        <v>6.944000000000002</v>
      </c>
    </row>
    <row r="91" spans="1:13" s="361" customFormat="1" ht="27">
      <c r="A91" s="76">
        <v>20</v>
      </c>
      <c r="B91" s="522" t="s">
        <v>339</v>
      </c>
      <c r="C91" s="86" t="s">
        <v>617</v>
      </c>
      <c r="D91" s="77" t="s">
        <v>121</v>
      </c>
      <c r="E91" s="76"/>
      <c r="F91" s="460">
        <v>28</v>
      </c>
      <c r="G91" s="130"/>
      <c r="H91" s="130"/>
      <c r="I91" s="130"/>
      <c r="J91" s="130"/>
      <c r="K91" s="130"/>
      <c r="L91" s="130"/>
      <c r="M91" s="130"/>
    </row>
    <row r="92" spans="1:13" s="361" customFormat="1" ht="13.5">
      <c r="A92" s="62"/>
      <c r="B92" s="523"/>
      <c r="C92" s="63" t="s">
        <v>54</v>
      </c>
      <c r="D92" s="1" t="s">
        <v>366</v>
      </c>
      <c r="E92" s="64">
        <v>0.82</v>
      </c>
      <c r="F92" s="131">
        <f>F91*E92</f>
        <v>22.959999999999997</v>
      </c>
      <c r="G92" s="131"/>
      <c r="H92" s="174"/>
      <c r="I92" s="131">
        <v>6</v>
      </c>
      <c r="J92" s="131">
        <f>F92*I92</f>
        <v>137.76</v>
      </c>
      <c r="K92" s="131"/>
      <c r="L92" s="131"/>
      <c r="M92" s="131">
        <f>H92+J92+L92</f>
        <v>137.76</v>
      </c>
    </row>
    <row r="93" spans="1:13" s="361" customFormat="1" ht="13.5">
      <c r="A93" s="62"/>
      <c r="B93" s="523"/>
      <c r="C93" s="63" t="s">
        <v>99</v>
      </c>
      <c r="D93" s="65" t="s">
        <v>43</v>
      </c>
      <c r="E93" s="64">
        <v>0.01</v>
      </c>
      <c r="F93" s="131">
        <f>F91*E93</f>
        <v>0.28</v>
      </c>
      <c r="G93" s="131"/>
      <c r="H93" s="131"/>
      <c r="I93" s="131"/>
      <c r="J93" s="131"/>
      <c r="K93" s="131">
        <v>3.2</v>
      </c>
      <c r="L93" s="131">
        <f>F93*K93</f>
        <v>0.8960000000000001</v>
      </c>
      <c r="M93" s="131">
        <f>H93+J93+L93</f>
        <v>0.8960000000000001</v>
      </c>
    </row>
    <row r="94" spans="1:13" s="361" customFormat="1" ht="13.5">
      <c r="A94" s="62"/>
      <c r="B94" s="523"/>
      <c r="C94" s="79" t="s">
        <v>56</v>
      </c>
      <c r="D94" s="62"/>
      <c r="E94" s="64"/>
      <c r="F94" s="131"/>
      <c r="G94" s="131"/>
      <c r="H94" s="131"/>
      <c r="I94" s="131"/>
      <c r="J94" s="131"/>
      <c r="K94" s="131"/>
      <c r="L94" s="131"/>
      <c r="M94" s="131"/>
    </row>
    <row r="95" spans="1:13" s="361" customFormat="1" ht="13.5">
      <c r="A95" s="62"/>
      <c r="B95" s="523"/>
      <c r="C95" s="63" t="s">
        <v>340</v>
      </c>
      <c r="D95" s="65" t="s">
        <v>121</v>
      </c>
      <c r="E95" s="64">
        <v>1</v>
      </c>
      <c r="F95" s="131">
        <f>F91*E95</f>
        <v>28</v>
      </c>
      <c r="G95" s="131">
        <v>130</v>
      </c>
      <c r="H95" s="131">
        <f>F95*G95</f>
        <v>3640</v>
      </c>
      <c r="I95" s="131"/>
      <c r="J95" s="131"/>
      <c r="K95" s="131"/>
      <c r="L95" s="131"/>
      <c r="M95" s="131">
        <f>H95+J95+L95</f>
        <v>3640</v>
      </c>
    </row>
    <row r="96" spans="1:13" s="361" customFormat="1" ht="13.5">
      <c r="A96" s="62"/>
      <c r="B96" s="523"/>
      <c r="C96" s="63" t="s">
        <v>57</v>
      </c>
      <c r="D96" s="65" t="s">
        <v>43</v>
      </c>
      <c r="E96" s="64">
        <v>0.07</v>
      </c>
      <c r="F96" s="131">
        <f>F91*E96</f>
        <v>1.9600000000000002</v>
      </c>
      <c r="G96" s="131">
        <v>3.2</v>
      </c>
      <c r="H96" s="131">
        <f>F96*G96</f>
        <v>6.272000000000001</v>
      </c>
      <c r="I96" s="131"/>
      <c r="J96" s="131"/>
      <c r="K96" s="131"/>
      <c r="L96" s="131"/>
      <c r="M96" s="131">
        <f>H96+J96+L96</f>
        <v>6.272000000000001</v>
      </c>
    </row>
    <row r="97" spans="1:13" s="146" customFormat="1" ht="17.25" customHeight="1">
      <c r="A97" s="28">
        <v>21</v>
      </c>
      <c r="B97" s="27" t="s">
        <v>120</v>
      </c>
      <c r="C97" s="43" t="s">
        <v>349</v>
      </c>
      <c r="D97" s="152" t="s">
        <v>59</v>
      </c>
      <c r="E97" s="118"/>
      <c r="F97" s="164">
        <v>31</v>
      </c>
      <c r="G97" s="159"/>
      <c r="H97" s="160"/>
      <c r="I97" s="30"/>
      <c r="J97" s="30"/>
      <c r="K97" s="30"/>
      <c r="L97" s="30"/>
      <c r="M97" s="30"/>
    </row>
    <row r="98" spans="1:13" s="146" customFormat="1" ht="15" customHeight="1">
      <c r="A98" s="1"/>
      <c r="B98" s="12"/>
      <c r="C98" s="19" t="s">
        <v>54</v>
      </c>
      <c r="D98" s="1" t="s">
        <v>366</v>
      </c>
      <c r="E98" s="14">
        <v>1.51</v>
      </c>
      <c r="F98" s="13">
        <f>F97*E98</f>
        <v>46.81</v>
      </c>
      <c r="G98" s="158"/>
      <c r="H98" s="107"/>
      <c r="I98" s="13">
        <v>6</v>
      </c>
      <c r="J98" s="13">
        <f>F98*I98</f>
        <v>280.86</v>
      </c>
      <c r="K98" s="13"/>
      <c r="L98" s="13"/>
      <c r="M98" s="13">
        <f>H98+J98+L98</f>
        <v>280.86</v>
      </c>
    </row>
    <row r="99" spans="1:13" s="146" customFormat="1" ht="14.25" customHeight="1">
      <c r="A99" s="1"/>
      <c r="B99" s="257"/>
      <c r="C99" s="19" t="s">
        <v>116</v>
      </c>
      <c r="D99" s="18" t="s">
        <v>43</v>
      </c>
      <c r="E99" s="14">
        <v>0.13</v>
      </c>
      <c r="F99" s="13">
        <f>F97*E99</f>
        <v>4.03</v>
      </c>
      <c r="G99" s="158"/>
      <c r="H99" s="13"/>
      <c r="I99" s="13"/>
      <c r="J99" s="13"/>
      <c r="K99" s="13">
        <v>3.2</v>
      </c>
      <c r="L99" s="13">
        <f>F99*K99</f>
        <v>12.896</v>
      </c>
      <c r="M99" s="13">
        <f>H99+J99+L99</f>
        <v>12.896</v>
      </c>
    </row>
    <row r="100" spans="1:13" s="146" customFormat="1" ht="14.25" customHeight="1">
      <c r="A100" s="1"/>
      <c r="B100" s="257"/>
      <c r="C100" s="19" t="s">
        <v>56</v>
      </c>
      <c r="D100" s="18"/>
      <c r="E100" s="14"/>
      <c r="F100" s="13"/>
      <c r="G100" s="158"/>
      <c r="H100" s="13"/>
      <c r="I100" s="13"/>
      <c r="J100" s="13"/>
      <c r="K100" s="13"/>
      <c r="L100" s="13"/>
      <c r="M100" s="13"/>
    </row>
    <row r="101" spans="1:13" s="146" customFormat="1" ht="14.25" customHeight="1">
      <c r="A101" s="1"/>
      <c r="B101" s="257"/>
      <c r="C101" s="19" t="s">
        <v>239</v>
      </c>
      <c r="D101" s="18" t="s">
        <v>59</v>
      </c>
      <c r="E101" s="14">
        <v>1</v>
      </c>
      <c r="F101" s="13">
        <f>F97*E101</f>
        <v>31</v>
      </c>
      <c r="G101" s="13">
        <v>8.6</v>
      </c>
      <c r="H101" s="13">
        <f>F101*G101</f>
        <v>266.59999999999997</v>
      </c>
      <c r="I101" s="13"/>
      <c r="J101" s="13"/>
      <c r="K101" s="13"/>
      <c r="L101" s="13"/>
      <c r="M101" s="13">
        <f>H101+J101+L101</f>
        <v>266.59999999999997</v>
      </c>
    </row>
    <row r="102" spans="1:13" s="146" customFormat="1" ht="15" customHeight="1">
      <c r="A102" s="1"/>
      <c r="B102" s="257"/>
      <c r="C102" s="19" t="s">
        <v>57</v>
      </c>
      <c r="D102" s="18" t="s">
        <v>43</v>
      </c>
      <c r="E102" s="14">
        <v>0.07</v>
      </c>
      <c r="F102" s="13">
        <f>F97*E102</f>
        <v>2.1700000000000004</v>
      </c>
      <c r="G102" s="13">
        <v>3.2</v>
      </c>
      <c r="H102" s="13">
        <f>F102*G102</f>
        <v>6.944000000000002</v>
      </c>
      <c r="I102" s="13"/>
      <c r="J102" s="13"/>
      <c r="K102" s="13"/>
      <c r="L102" s="13"/>
      <c r="M102" s="13">
        <f>H102+J102+L102</f>
        <v>6.944000000000002</v>
      </c>
    </row>
    <row r="103" spans="1:13" s="45" customFormat="1" ht="15" customHeight="1">
      <c r="A103" s="52"/>
      <c r="B103" s="52"/>
      <c r="C103" s="48" t="s">
        <v>49</v>
      </c>
      <c r="D103" s="52"/>
      <c r="E103" s="49"/>
      <c r="F103" s="161"/>
      <c r="G103" s="161"/>
      <c r="H103" s="161">
        <f>SUM(H10:H102)</f>
        <v>10111.7348</v>
      </c>
      <c r="I103" s="161"/>
      <c r="J103" s="161">
        <f>SUM(J10:J102)</f>
        <v>2567.7000000000003</v>
      </c>
      <c r="K103" s="161"/>
      <c r="L103" s="161">
        <f>SUM(L10:L102)</f>
        <v>122.44000000000003</v>
      </c>
      <c r="M103" s="161">
        <f>SUM(M10:M102)</f>
        <v>12801.874800000003</v>
      </c>
    </row>
    <row r="104" spans="1:13" s="146" customFormat="1" ht="27">
      <c r="A104" s="47"/>
      <c r="B104" s="47"/>
      <c r="C104" s="46" t="s">
        <v>398</v>
      </c>
      <c r="D104" s="81">
        <v>0.12</v>
      </c>
      <c r="E104" s="74"/>
      <c r="F104" s="109"/>
      <c r="G104" s="109"/>
      <c r="H104" s="109">
        <f>H103*D104</f>
        <v>1213.408176</v>
      </c>
      <c r="I104" s="109"/>
      <c r="J104" s="109">
        <f>J103*D104</f>
        <v>308.124</v>
      </c>
      <c r="K104" s="109"/>
      <c r="L104" s="109">
        <f>D104*L103</f>
        <v>14.692800000000002</v>
      </c>
      <c r="M104" s="109">
        <f>M103*D104</f>
        <v>1536.2249760000004</v>
      </c>
    </row>
    <row r="105" spans="1:13" s="146" customFormat="1" ht="15.75" customHeight="1">
      <c r="A105" s="47"/>
      <c r="B105" s="47"/>
      <c r="C105" s="80" t="s">
        <v>49</v>
      </c>
      <c r="D105" s="47"/>
      <c r="E105" s="74"/>
      <c r="F105" s="109"/>
      <c r="G105" s="109"/>
      <c r="H105" s="109">
        <f>H103+H104</f>
        <v>11325.142976</v>
      </c>
      <c r="I105" s="109"/>
      <c r="J105" s="109">
        <f>J103+J104</f>
        <v>2875.8240000000005</v>
      </c>
      <c r="K105" s="109"/>
      <c r="L105" s="109">
        <f>L103+L104</f>
        <v>137.13280000000003</v>
      </c>
      <c r="M105" s="109">
        <f>M103+M104</f>
        <v>14338.099776000003</v>
      </c>
    </row>
    <row r="106" spans="1:13" s="146" customFormat="1" ht="13.5">
      <c r="A106" s="47"/>
      <c r="B106" s="47"/>
      <c r="C106" s="38" t="s">
        <v>187</v>
      </c>
      <c r="D106" s="81">
        <v>0.08</v>
      </c>
      <c r="E106" s="74"/>
      <c r="F106" s="109"/>
      <c r="G106" s="109"/>
      <c r="H106" s="109">
        <f>H105*D106</f>
        <v>906.01143808</v>
      </c>
      <c r="I106" s="109"/>
      <c r="J106" s="109">
        <f>J105*D106</f>
        <v>230.06592000000003</v>
      </c>
      <c r="K106" s="109"/>
      <c r="L106" s="109">
        <f>L105*D106</f>
        <v>10.970624000000003</v>
      </c>
      <c r="M106" s="109">
        <f>M105*D106</f>
        <v>1147.0479820800003</v>
      </c>
    </row>
    <row r="107" spans="1:13" s="146" customFormat="1" ht="17.25" customHeight="1">
      <c r="A107" s="47"/>
      <c r="B107" s="47"/>
      <c r="C107" s="48" t="s">
        <v>49</v>
      </c>
      <c r="D107" s="52"/>
      <c r="E107" s="49"/>
      <c r="F107" s="169"/>
      <c r="G107" s="169"/>
      <c r="H107" s="188">
        <f>H105+H106</f>
        <v>12231.15441408</v>
      </c>
      <c r="I107" s="188"/>
      <c r="J107" s="188">
        <f>J105+J106</f>
        <v>3105.8899200000005</v>
      </c>
      <c r="K107" s="188"/>
      <c r="L107" s="188">
        <f>L105+L106</f>
        <v>148.10342400000005</v>
      </c>
      <c r="M107" s="188">
        <f>M105+M106</f>
        <v>15485.147758080004</v>
      </c>
    </row>
    <row r="109" spans="1:10" ht="13.5">
      <c r="A109" s="146"/>
      <c r="B109" s="492" t="s">
        <v>58</v>
      </c>
      <c r="C109" s="492"/>
      <c r="E109" s="492" t="s">
        <v>482</v>
      </c>
      <c r="F109" s="492"/>
      <c r="G109" s="492"/>
      <c r="H109" s="492"/>
      <c r="I109" s="492"/>
      <c r="J109" s="492"/>
    </row>
    <row r="111" spans="1:13" ht="13.5">
      <c r="A111" s="146"/>
      <c r="B111" s="268"/>
      <c r="C111" s="458" t="s">
        <v>891</v>
      </c>
      <c r="D111" s="268"/>
      <c r="E111" s="492" t="s">
        <v>890</v>
      </c>
      <c r="F111" s="492"/>
      <c r="G111" s="492"/>
      <c r="H111" s="492"/>
      <c r="I111" s="492"/>
      <c r="J111" s="492"/>
      <c r="K111" s="268"/>
      <c r="L111" s="268"/>
      <c r="M111" s="268"/>
    </row>
  </sheetData>
  <sheetProtection/>
  <mergeCells count="23">
    <mergeCell ref="A1:M1"/>
    <mergeCell ref="A2:M2"/>
    <mergeCell ref="A3:M3"/>
    <mergeCell ref="B5:C5"/>
    <mergeCell ref="F5:I5"/>
    <mergeCell ref="M7:M8"/>
    <mergeCell ref="J5:K5"/>
    <mergeCell ref="E7:F7"/>
    <mergeCell ref="B6:C6"/>
    <mergeCell ref="G6:I6"/>
    <mergeCell ref="J6:K6"/>
    <mergeCell ref="C7:C8"/>
    <mergeCell ref="G7:H7"/>
    <mergeCell ref="I7:J7"/>
    <mergeCell ref="K7:L7"/>
    <mergeCell ref="B85:B90"/>
    <mergeCell ref="E111:J111"/>
    <mergeCell ref="A7:A8"/>
    <mergeCell ref="B7:B8"/>
    <mergeCell ref="D7:D8"/>
    <mergeCell ref="B109:C109"/>
    <mergeCell ref="E109:J109"/>
    <mergeCell ref="B91:B96"/>
  </mergeCells>
  <printOptions horizontalCentered="1"/>
  <pageMargins left="0.7" right="0" top="0.5" bottom="0.5" header="0.3" footer="0.3"/>
  <pageSetup horizontalDpi="600" verticalDpi="600" orientation="landscape" scale="93" r:id="rId1"/>
  <headerFooter>
    <oddHeader>&amp;Cსაგანმანათლებლო და სამეცნიერო ინფრასტრუქტურის განვითარების სააგენტო</oddHeader>
    <oddFooter>&amp;Lხარჯთაღრიცხვა&amp;R&amp;P/&amp;N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M86"/>
  <sheetViews>
    <sheetView zoomScalePageLayoutView="0" workbookViewId="0" topLeftCell="A1">
      <pane ySplit="7" topLeftCell="A71" activePane="bottomLeft" state="frozen"/>
      <selection pane="topLeft" activeCell="A1" sqref="A1"/>
      <selection pane="bottomLeft" activeCell="E84" sqref="E84:J84"/>
    </sheetView>
  </sheetViews>
  <sheetFormatPr defaultColWidth="9.00390625" defaultRowHeight="12.75"/>
  <cols>
    <col min="1" max="1" width="3.375" style="22" customWidth="1"/>
    <col min="2" max="2" width="8.75390625" style="22" customWidth="1"/>
    <col min="3" max="3" width="40.625" style="22" customWidth="1"/>
    <col min="4" max="4" width="8.25390625" style="22" customWidth="1"/>
    <col min="5" max="5" width="7.75390625" style="22" customWidth="1"/>
    <col min="6" max="6" width="8.875" style="22" customWidth="1"/>
    <col min="7" max="7" width="9.375" style="22" customWidth="1"/>
    <col min="8" max="8" width="13.00390625" style="22" customWidth="1"/>
    <col min="9" max="9" width="9.125" style="22" customWidth="1"/>
    <col min="10" max="10" width="13.375" style="22" customWidth="1"/>
    <col min="11" max="11" width="7.875" style="22" customWidth="1"/>
    <col min="12" max="12" width="9.625" style="22" customWidth="1"/>
    <col min="13" max="13" width="14.625" style="22" customWidth="1"/>
    <col min="14" max="16384" width="9.125" style="22" customWidth="1"/>
  </cols>
  <sheetData>
    <row r="1" spans="1:13" s="314" customFormat="1" ht="17.25" customHeight="1">
      <c r="A1" s="511" t="s">
        <v>895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</row>
    <row r="2" spans="1:13" s="314" customFormat="1" ht="17.25" customHeight="1">
      <c r="A2" s="518" t="s">
        <v>732</v>
      </c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</row>
    <row r="3" spans="1:13" s="314" customFormat="1" ht="16.5" customHeight="1">
      <c r="A3" s="518" t="s">
        <v>360</v>
      </c>
      <c r="B3" s="518"/>
      <c r="C3" s="518"/>
      <c r="D3" s="518"/>
      <c r="E3" s="518"/>
      <c r="F3" s="518"/>
      <c r="G3" s="518"/>
      <c r="H3" s="518"/>
      <c r="I3" s="518"/>
      <c r="J3" s="518"/>
      <c r="K3" s="518"/>
      <c r="L3" s="518"/>
      <c r="M3" s="518"/>
    </row>
    <row r="4" spans="2:12" s="317" customFormat="1" ht="13.5">
      <c r="B4" s="513" t="s">
        <v>428</v>
      </c>
      <c r="C4" s="514"/>
      <c r="D4" s="24"/>
      <c r="E4" s="24"/>
      <c r="F4" s="520" t="s">
        <v>184</v>
      </c>
      <c r="G4" s="520"/>
      <c r="H4" s="520"/>
      <c r="I4" s="520"/>
      <c r="J4" s="527">
        <f>M82</f>
        <v>29903.078790143998</v>
      </c>
      <c r="K4" s="528"/>
      <c r="L4" s="25" t="s">
        <v>43</v>
      </c>
    </row>
    <row r="5" spans="1:12" s="317" customFormat="1" ht="13.5">
      <c r="A5" s="319"/>
      <c r="B5" s="513" t="s">
        <v>876</v>
      </c>
      <c r="C5" s="514"/>
      <c r="D5" s="26"/>
      <c r="E5" s="26"/>
      <c r="F5" s="25"/>
      <c r="G5" s="531" t="s">
        <v>185</v>
      </c>
      <c r="H5" s="531"/>
      <c r="I5" s="531"/>
      <c r="J5" s="520">
        <f>J82</f>
        <v>5972.23501056</v>
      </c>
      <c r="K5" s="524"/>
      <c r="L5" s="25" t="s">
        <v>43</v>
      </c>
    </row>
    <row r="6" spans="1:13" s="314" customFormat="1" ht="38.25" customHeight="1">
      <c r="A6" s="521" t="s">
        <v>61</v>
      </c>
      <c r="B6" s="474" t="s">
        <v>74</v>
      </c>
      <c r="C6" s="474" t="s">
        <v>63</v>
      </c>
      <c r="D6" s="474" t="s">
        <v>44</v>
      </c>
      <c r="E6" s="529" t="s">
        <v>45</v>
      </c>
      <c r="F6" s="530"/>
      <c r="G6" s="525" t="s">
        <v>46</v>
      </c>
      <c r="H6" s="525"/>
      <c r="I6" s="526" t="s">
        <v>47</v>
      </c>
      <c r="J6" s="526"/>
      <c r="K6" s="526" t="s">
        <v>48</v>
      </c>
      <c r="L6" s="526"/>
      <c r="M6" s="525" t="s">
        <v>49</v>
      </c>
    </row>
    <row r="7" spans="1:13" ht="52.5" customHeight="1">
      <c r="A7" s="521"/>
      <c r="B7" s="521"/>
      <c r="C7" s="474"/>
      <c r="D7" s="474"/>
      <c r="E7" s="74" t="s">
        <v>50</v>
      </c>
      <c r="F7" s="74" t="s">
        <v>51</v>
      </c>
      <c r="G7" s="320" t="s">
        <v>52</v>
      </c>
      <c r="H7" s="108" t="s">
        <v>49</v>
      </c>
      <c r="I7" s="285" t="s">
        <v>52</v>
      </c>
      <c r="J7" s="108" t="s">
        <v>49</v>
      </c>
      <c r="K7" s="285" t="s">
        <v>52</v>
      </c>
      <c r="L7" s="108" t="s">
        <v>49</v>
      </c>
      <c r="M7" s="525"/>
    </row>
    <row r="8" spans="1:13" ht="14.25" customHeight="1">
      <c r="A8" s="357" t="s">
        <v>53</v>
      </c>
      <c r="B8" s="357" t="s">
        <v>68</v>
      </c>
      <c r="C8" s="357" t="s">
        <v>69</v>
      </c>
      <c r="D8" s="358" t="s">
        <v>70</v>
      </c>
      <c r="E8" s="359" t="s">
        <v>71</v>
      </c>
      <c r="F8" s="360" t="s">
        <v>72</v>
      </c>
      <c r="G8" s="358" t="s">
        <v>60</v>
      </c>
      <c r="H8" s="360" t="s">
        <v>73</v>
      </c>
      <c r="I8" s="358" t="s">
        <v>109</v>
      </c>
      <c r="J8" s="360" t="s">
        <v>110</v>
      </c>
      <c r="K8" s="360">
        <v>11</v>
      </c>
      <c r="L8" s="357" t="s">
        <v>111</v>
      </c>
      <c r="M8" s="357" t="s">
        <v>112</v>
      </c>
    </row>
    <row r="9" spans="1:13" s="146" customFormat="1" ht="27">
      <c r="A9" s="28">
        <v>1</v>
      </c>
      <c r="B9" s="27" t="s">
        <v>201</v>
      </c>
      <c r="C9" s="117" t="s">
        <v>618</v>
      </c>
      <c r="D9" s="152" t="s">
        <v>115</v>
      </c>
      <c r="E9" s="28"/>
      <c r="F9" s="164">
        <v>70</v>
      </c>
      <c r="G9" s="30"/>
      <c r="H9" s="30"/>
      <c r="I9" s="30"/>
      <c r="J9" s="30"/>
      <c r="K9" s="30"/>
      <c r="L9" s="30"/>
      <c r="M9" s="30"/>
    </row>
    <row r="10" spans="1:13" s="146" customFormat="1" ht="15" customHeight="1">
      <c r="A10" s="1"/>
      <c r="B10" s="12"/>
      <c r="C10" s="19" t="s">
        <v>54</v>
      </c>
      <c r="D10" s="1" t="s">
        <v>366</v>
      </c>
      <c r="E10" s="1">
        <v>0.609</v>
      </c>
      <c r="F10" s="13">
        <f>F9*E10</f>
        <v>42.629999999999995</v>
      </c>
      <c r="G10" s="13"/>
      <c r="H10" s="107"/>
      <c r="I10" s="13">
        <v>4.6</v>
      </c>
      <c r="J10" s="13">
        <f>F10*I10</f>
        <v>196.09799999999996</v>
      </c>
      <c r="K10" s="13"/>
      <c r="L10" s="13"/>
      <c r="M10" s="13">
        <f>H10+J10+L10</f>
        <v>196.09799999999996</v>
      </c>
    </row>
    <row r="11" spans="1:13" s="146" customFormat="1" ht="13.5" customHeight="1">
      <c r="A11" s="1"/>
      <c r="B11" s="257"/>
      <c r="C11" s="19" t="s">
        <v>62</v>
      </c>
      <c r="D11" s="1" t="s">
        <v>43</v>
      </c>
      <c r="E11" s="1">
        <v>0.0021</v>
      </c>
      <c r="F11" s="13">
        <f>F9*E11</f>
        <v>0.147</v>
      </c>
      <c r="G11" s="13"/>
      <c r="H11" s="13"/>
      <c r="I11" s="13"/>
      <c r="J11" s="13"/>
      <c r="K11" s="13">
        <v>3.2</v>
      </c>
      <c r="L11" s="13">
        <f>F11*K11</f>
        <v>0.4704</v>
      </c>
      <c r="M11" s="13">
        <f>H11+J11+L11</f>
        <v>0.4704</v>
      </c>
    </row>
    <row r="12" spans="1:13" s="146" customFormat="1" ht="15" customHeight="1">
      <c r="A12" s="1"/>
      <c r="B12" s="257"/>
      <c r="C12" s="19" t="s">
        <v>56</v>
      </c>
      <c r="D12" s="1"/>
      <c r="E12" s="1"/>
      <c r="F12" s="13"/>
      <c r="G12" s="13"/>
      <c r="H12" s="13"/>
      <c r="I12" s="13"/>
      <c r="J12" s="13"/>
      <c r="K12" s="13"/>
      <c r="L12" s="13"/>
      <c r="M12" s="13"/>
    </row>
    <row r="13" spans="1:13" s="146" customFormat="1" ht="15" customHeight="1">
      <c r="A13" s="1"/>
      <c r="B13" s="214"/>
      <c r="C13" s="19" t="s">
        <v>124</v>
      </c>
      <c r="D13" s="18" t="s">
        <v>115</v>
      </c>
      <c r="E13" s="1">
        <v>0.998</v>
      </c>
      <c r="F13" s="13">
        <f>F9*E13</f>
        <v>69.86</v>
      </c>
      <c r="G13" s="13">
        <v>3.3</v>
      </c>
      <c r="H13" s="13">
        <f>F13*G13</f>
        <v>230.53799999999998</v>
      </c>
      <c r="I13" s="13"/>
      <c r="J13" s="13"/>
      <c r="K13" s="13"/>
      <c r="L13" s="13"/>
      <c r="M13" s="13">
        <f aca="true" t="shared" si="0" ref="M13:M18">H13+J13+L13</f>
        <v>230.53799999999998</v>
      </c>
    </row>
    <row r="14" spans="1:13" s="146" customFormat="1" ht="13.5" customHeight="1">
      <c r="A14" s="1"/>
      <c r="B14" s="214"/>
      <c r="C14" s="19" t="s">
        <v>202</v>
      </c>
      <c r="D14" s="1" t="s">
        <v>65</v>
      </c>
      <c r="E14" s="1">
        <v>0.14</v>
      </c>
      <c r="F14" s="13">
        <f>F9*E14</f>
        <v>9.8</v>
      </c>
      <c r="G14" s="13">
        <v>3.5</v>
      </c>
      <c r="H14" s="13">
        <f>F14*G14</f>
        <v>34.300000000000004</v>
      </c>
      <c r="I14" s="13"/>
      <c r="J14" s="13"/>
      <c r="K14" s="13"/>
      <c r="L14" s="13"/>
      <c r="M14" s="13">
        <f t="shared" si="0"/>
        <v>34.300000000000004</v>
      </c>
    </row>
    <row r="15" spans="1:13" s="146" customFormat="1" ht="14.25" customHeight="1">
      <c r="A15" s="1"/>
      <c r="B15" s="257"/>
      <c r="C15" s="19" t="s">
        <v>57</v>
      </c>
      <c r="D15" s="1" t="s">
        <v>366</v>
      </c>
      <c r="E15" s="1">
        <v>0.156</v>
      </c>
      <c r="F15" s="13">
        <f>F9*E15</f>
        <v>10.92</v>
      </c>
      <c r="G15" s="13">
        <v>3.2</v>
      </c>
      <c r="H15" s="13">
        <f>F15*G15</f>
        <v>34.944</v>
      </c>
      <c r="I15" s="13"/>
      <c r="J15" s="13"/>
      <c r="K15" s="13"/>
      <c r="L15" s="13"/>
      <c r="M15" s="13">
        <f t="shared" si="0"/>
        <v>34.944</v>
      </c>
    </row>
    <row r="16" spans="1:13" s="146" customFormat="1" ht="27">
      <c r="A16" s="28">
        <v>2</v>
      </c>
      <c r="B16" s="27" t="s">
        <v>203</v>
      </c>
      <c r="C16" s="117" t="s">
        <v>619</v>
      </c>
      <c r="D16" s="152" t="s">
        <v>115</v>
      </c>
      <c r="E16" s="28"/>
      <c r="F16" s="164">
        <v>360</v>
      </c>
      <c r="G16" s="30"/>
      <c r="H16" s="30"/>
      <c r="I16" s="30"/>
      <c r="J16" s="30"/>
      <c r="K16" s="30"/>
      <c r="L16" s="30"/>
      <c r="M16" s="30"/>
    </row>
    <row r="17" spans="1:13" s="146" customFormat="1" ht="13.5" customHeight="1">
      <c r="A17" s="1"/>
      <c r="B17" s="12"/>
      <c r="C17" s="19" t="s">
        <v>54</v>
      </c>
      <c r="D17" s="1" t="s">
        <v>366</v>
      </c>
      <c r="E17" s="1">
        <f>0.583</f>
        <v>0.583</v>
      </c>
      <c r="F17" s="13">
        <f>F16*E17</f>
        <v>209.88</v>
      </c>
      <c r="G17" s="13"/>
      <c r="H17" s="107"/>
      <c r="I17" s="13">
        <v>4.6</v>
      </c>
      <c r="J17" s="13">
        <f>F17*I17</f>
        <v>965.4479999999999</v>
      </c>
      <c r="K17" s="13"/>
      <c r="L17" s="13"/>
      <c r="M17" s="13">
        <f t="shared" si="0"/>
        <v>965.4479999999999</v>
      </c>
    </row>
    <row r="18" spans="1:13" s="146" customFormat="1" ht="13.5" customHeight="1">
      <c r="A18" s="1"/>
      <c r="B18" s="257"/>
      <c r="C18" s="19" t="s">
        <v>62</v>
      </c>
      <c r="D18" s="1" t="s">
        <v>43</v>
      </c>
      <c r="E18" s="1">
        <v>0.0046</v>
      </c>
      <c r="F18" s="13">
        <f>F16*E18</f>
        <v>1.656</v>
      </c>
      <c r="G18" s="13"/>
      <c r="H18" s="13"/>
      <c r="I18" s="13"/>
      <c r="J18" s="13"/>
      <c r="K18" s="13">
        <v>3.2</v>
      </c>
      <c r="L18" s="13">
        <f>F18*K18</f>
        <v>5.2992</v>
      </c>
      <c r="M18" s="13">
        <f t="shared" si="0"/>
        <v>5.2992</v>
      </c>
    </row>
    <row r="19" spans="1:13" s="146" customFormat="1" ht="14.25" customHeight="1">
      <c r="A19" s="1"/>
      <c r="B19" s="257"/>
      <c r="C19" s="19" t="s">
        <v>56</v>
      </c>
      <c r="D19" s="1"/>
      <c r="E19" s="1"/>
      <c r="F19" s="13"/>
      <c r="G19" s="13"/>
      <c r="H19" s="13"/>
      <c r="I19" s="13"/>
      <c r="J19" s="13"/>
      <c r="K19" s="13"/>
      <c r="L19" s="13"/>
      <c r="M19" s="13"/>
    </row>
    <row r="20" spans="1:13" s="146" customFormat="1" ht="14.25" customHeight="1">
      <c r="A20" s="1"/>
      <c r="B20" s="214"/>
      <c r="C20" s="19" t="s">
        <v>204</v>
      </c>
      <c r="D20" s="18" t="s">
        <v>115</v>
      </c>
      <c r="E20" s="1">
        <v>0.998</v>
      </c>
      <c r="F20" s="13">
        <f>F16*E20</f>
        <v>359.28</v>
      </c>
      <c r="G20" s="13">
        <v>10.8</v>
      </c>
      <c r="H20" s="13">
        <f>F20*G20</f>
        <v>3880.224</v>
      </c>
      <c r="I20" s="13"/>
      <c r="J20" s="13"/>
      <c r="K20" s="13"/>
      <c r="L20" s="13"/>
      <c r="M20" s="13">
        <f>H20+J20+L20</f>
        <v>3880.224</v>
      </c>
    </row>
    <row r="21" spans="1:13" s="146" customFormat="1" ht="13.5" customHeight="1">
      <c r="A21" s="1"/>
      <c r="B21" s="214"/>
      <c r="C21" s="19" t="s">
        <v>202</v>
      </c>
      <c r="D21" s="1" t="s">
        <v>65</v>
      </c>
      <c r="E21" s="1">
        <v>0.235</v>
      </c>
      <c r="F21" s="13">
        <f>F16*E21</f>
        <v>84.6</v>
      </c>
      <c r="G21" s="13">
        <v>3.5</v>
      </c>
      <c r="H21" s="13">
        <f>F21*G21</f>
        <v>296.09999999999997</v>
      </c>
      <c r="I21" s="13"/>
      <c r="J21" s="13"/>
      <c r="K21" s="13"/>
      <c r="L21" s="13"/>
      <c r="M21" s="13">
        <f>H21+J21+L21</f>
        <v>296.09999999999997</v>
      </c>
    </row>
    <row r="22" spans="1:13" s="146" customFormat="1" ht="14.25" customHeight="1">
      <c r="A22" s="1"/>
      <c r="B22" s="257"/>
      <c r="C22" s="19" t="s">
        <v>57</v>
      </c>
      <c r="D22" s="1" t="s">
        <v>43</v>
      </c>
      <c r="E22" s="1">
        <v>0.208</v>
      </c>
      <c r="F22" s="13">
        <f>F16*E22</f>
        <v>74.88</v>
      </c>
      <c r="G22" s="13">
        <v>3.2</v>
      </c>
      <c r="H22" s="13">
        <f>F22*G22</f>
        <v>239.61599999999999</v>
      </c>
      <c r="I22" s="13"/>
      <c r="J22" s="13"/>
      <c r="K22" s="13"/>
      <c r="L22" s="13"/>
      <c r="M22" s="13">
        <f>H22+J22+L22</f>
        <v>239.61599999999999</v>
      </c>
    </row>
    <row r="23" spans="1:13" s="146" customFormat="1" ht="27">
      <c r="A23" s="28">
        <v>3</v>
      </c>
      <c r="B23" s="27" t="s">
        <v>203</v>
      </c>
      <c r="C23" s="117" t="s">
        <v>620</v>
      </c>
      <c r="D23" s="152" t="s">
        <v>115</v>
      </c>
      <c r="E23" s="28"/>
      <c r="F23" s="164">
        <v>32</v>
      </c>
      <c r="G23" s="30"/>
      <c r="H23" s="30"/>
      <c r="I23" s="30"/>
      <c r="J23" s="30"/>
      <c r="K23" s="30"/>
      <c r="L23" s="30"/>
      <c r="M23" s="30"/>
    </row>
    <row r="24" spans="1:13" s="146" customFormat="1" ht="13.5" customHeight="1">
      <c r="A24" s="1"/>
      <c r="B24" s="12"/>
      <c r="C24" s="19" t="s">
        <v>54</v>
      </c>
      <c r="D24" s="1" t="s">
        <v>366</v>
      </c>
      <c r="E24" s="1">
        <f>0.583</f>
        <v>0.583</v>
      </c>
      <c r="F24" s="13">
        <f>F23*E24</f>
        <v>18.656</v>
      </c>
      <c r="G24" s="13"/>
      <c r="H24" s="107"/>
      <c r="I24" s="13">
        <v>4.6</v>
      </c>
      <c r="J24" s="13">
        <f>F24*I24</f>
        <v>85.81759999999998</v>
      </c>
      <c r="K24" s="13"/>
      <c r="L24" s="13"/>
      <c r="M24" s="13">
        <f>H24+J24+L24</f>
        <v>85.81759999999998</v>
      </c>
    </row>
    <row r="25" spans="1:13" s="146" customFormat="1" ht="13.5" customHeight="1">
      <c r="A25" s="1"/>
      <c r="B25" s="257"/>
      <c r="C25" s="19" t="s">
        <v>62</v>
      </c>
      <c r="D25" s="1" t="s">
        <v>43</v>
      </c>
      <c r="E25" s="1">
        <v>0.0046</v>
      </c>
      <c r="F25" s="13">
        <f>F23*E25</f>
        <v>0.1472</v>
      </c>
      <c r="G25" s="13"/>
      <c r="H25" s="13"/>
      <c r="I25" s="13"/>
      <c r="J25" s="13"/>
      <c r="K25" s="13">
        <v>3.2</v>
      </c>
      <c r="L25" s="13">
        <f>F25*K25</f>
        <v>0.47104</v>
      </c>
      <c r="M25" s="13">
        <f>H25+J25+L25</f>
        <v>0.47104</v>
      </c>
    </row>
    <row r="26" spans="1:13" s="146" customFormat="1" ht="14.25" customHeight="1">
      <c r="A26" s="1"/>
      <c r="B26" s="257"/>
      <c r="C26" s="19" t="s">
        <v>56</v>
      </c>
      <c r="D26" s="1"/>
      <c r="E26" s="1"/>
      <c r="F26" s="13"/>
      <c r="G26" s="13"/>
      <c r="H26" s="13"/>
      <c r="I26" s="13"/>
      <c r="J26" s="13"/>
      <c r="K26" s="13"/>
      <c r="L26" s="13"/>
      <c r="M26" s="13"/>
    </row>
    <row r="27" spans="1:13" s="146" customFormat="1" ht="14.25" customHeight="1">
      <c r="A27" s="1"/>
      <c r="B27" s="214"/>
      <c r="C27" s="19" t="s">
        <v>621</v>
      </c>
      <c r="D27" s="18" t="s">
        <v>115</v>
      </c>
      <c r="E27" s="1">
        <v>0.998</v>
      </c>
      <c r="F27" s="13">
        <f>F23*E27</f>
        <v>31.936</v>
      </c>
      <c r="G27" s="13">
        <v>20.7</v>
      </c>
      <c r="H27" s="13">
        <f aca="true" t="shared" si="1" ref="H27:H41">F27*G27</f>
        <v>661.0752</v>
      </c>
      <c r="I27" s="13"/>
      <c r="J27" s="13"/>
      <c r="K27" s="13"/>
      <c r="L27" s="13"/>
      <c r="M27" s="13">
        <f aca="true" t="shared" si="2" ref="M27:M41">H27+J27+L27</f>
        <v>661.0752</v>
      </c>
    </row>
    <row r="28" spans="1:13" s="146" customFormat="1" ht="13.5" customHeight="1">
      <c r="A28" s="1"/>
      <c r="B28" s="214"/>
      <c r="C28" s="19" t="s">
        <v>202</v>
      </c>
      <c r="D28" s="1" t="s">
        <v>65</v>
      </c>
      <c r="E28" s="1">
        <v>0.235</v>
      </c>
      <c r="F28" s="13">
        <f>F23*E28</f>
        <v>7.52</v>
      </c>
      <c r="G28" s="13">
        <v>3.5</v>
      </c>
      <c r="H28" s="13">
        <f t="shared" si="1"/>
        <v>26.32</v>
      </c>
      <c r="I28" s="13"/>
      <c r="J28" s="13"/>
      <c r="K28" s="13"/>
      <c r="L28" s="13"/>
      <c r="M28" s="13">
        <f t="shared" si="2"/>
        <v>26.32</v>
      </c>
    </row>
    <row r="29" spans="1:13" s="146" customFormat="1" ht="14.25" customHeight="1">
      <c r="A29" s="1"/>
      <c r="B29" s="257"/>
      <c r="C29" s="19" t="s">
        <v>57</v>
      </c>
      <c r="D29" s="1" t="s">
        <v>43</v>
      </c>
      <c r="E29" s="1">
        <v>0.208</v>
      </c>
      <c r="F29" s="13">
        <f>F23*E29</f>
        <v>6.656</v>
      </c>
      <c r="G29" s="13">
        <v>3.2</v>
      </c>
      <c r="H29" s="13">
        <f t="shared" si="1"/>
        <v>21.2992</v>
      </c>
      <c r="I29" s="13"/>
      <c r="J29" s="13"/>
      <c r="K29" s="13"/>
      <c r="L29" s="13"/>
      <c r="M29" s="13">
        <f t="shared" si="2"/>
        <v>21.2992</v>
      </c>
    </row>
    <row r="30" spans="1:13" s="146" customFormat="1" ht="14.25" customHeight="1">
      <c r="A30" s="47">
        <v>4</v>
      </c>
      <c r="B30" s="52"/>
      <c r="C30" s="38" t="s">
        <v>245</v>
      </c>
      <c r="D30" s="47" t="s">
        <v>59</v>
      </c>
      <c r="E30" s="47"/>
      <c r="F30" s="161">
        <v>62</v>
      </c>
      <c r="G30" s="108">
        <v>0.73</v>
      </c>
      <c r="H30" s="108">
        <f t="shared" si="1"/>
        <v>45.26</v>
      </c>
      <c r="I30" s="108"/>
      <c r="J30" s="108"/>
      <c r="K30" s="108"/>
      <c r="L30" s="108"/>
      <c r="M30" s="108">
        <f t="shared" si="2"/>
        <v>45.26</v>
      </c>
    </row>
    <row r="31" spans="1:13" s="146" customFormat="1" ht="14.25" customHeight="1">
      <c r="A31" s="47">
        <v>5</v>
      </c>
      <c r="B31" s="52"/>
      <c r="C31" s="38" t="s">
        <v>246</v>
      </c>
      <c r="D31" s="47" t="s">
        <v>59</v>
      </c>
      <c r="E31" s="47"/>
      <c r="F31" s="161">
        <v>96</v>
      </c>
      <c r="G31" s="108">
        <v>2.7</v>
      </c>
      <c r="H31" s="108">
        <f t="shared" si="1"/>
        <v>259.20000000000005</v>
      </c>
      <c r="I31" s="108"/>
      <c r="J31" s="108"/>
      <c r="K31" s="108"/>
      <c r="L31" s="108"/>
      <c r="M31" s="108">
        <f t="shared" si="2"/>
        <v>259.20000000000005</v>
      </c>
    </row>
    <row r="32" spans="1:13" s="146" customFormat="1" ht="14.25" customHeight="1">
      <c r="A32" s="47">
        <v>6</v>
      </c>
      <c r="B32" s="52"/>
      <c r="C32" s="38" t="s">
        <v>622</v>
      </c>
      <c r="D32" s="47" t="s">
        <v>59</v>
      </c>
      <c r="E32" s="47"/>
      <c r="F32" s="161">
        <v>2</v>
      </c>
      <c r="G32" s="108">
        <v>7.99</v>
      </c>
      <c r="H32" s="108">
        <f t="shared" si="1"/>
        <v>15.98</v>
      </c>
      <c r="I32" s="108"/>
      <c r="J32" s="108"/>
      <c r="K32" s="108"/>
      <c r="L32" s="108"/>
      <c r="M32" s="108">
        <f t="shared" si="2"/>
        <v>15.98</v>
      </c>
    </row>
    <row r="33" spans="1:13" s="146" customFormat="1" ht="14.25" customHeight="1">
      <c r="A33" s="47">
        <v>7</v>
      </c>
      <c r="B33" s="144"/>
      <c r="C33" s="38" t="s">
        <v>212</v>
      </c>
      <c r="D33" s="47" t="s">
        <v>59</v>
      </c>
      <c r="E33" s="74"/>
      <c r="F33" s="161">
        <v>5</v>
      </c>
      <c r="G33" s="108">
        <v>1.7</v>
      </c>
      <c r="H33" s="108">
        <f t="shared" si="1"/>
        <v>8.5</v>
      </c>
      <c r="I33" s="108"/>
      <c r="J33" s="108"/>
      <c r="K33" s="108"/>
      <c r="L33" s="108"/>
      <c r="M33" s="108">
        <f t="shared" si="2"/>
        <v>8.5</v>
      </c>
    </row>
    <row r="34" spans="1:13" s="146" customFormat="1" ht="14.25" customHeight="1">
      <c r="A34" s="47">
        <v>8</v>
      </c>
      <c r="B34" s="144"/>
      <c r="C34" s="38" t="s">
        <v>247</v>
      </c>
      <c r="D34" s="47" t="s">
        <v>59</v>
      </c>
      <c r="E34" s="74"/>
      <c r="F34" s="161">
        <v>29</v>
      </c>
      <c r="G34" s="108">
        <v>2.9</v>
      </c>
      <c r="H34" s="108">
        <f t="shared" si="1"/>
        <v>84.1</v>
      </c>
      <c r="I34" s="108"/>
      <c r="J34" s="108"/>
      <c r="K34" s="108"/>
      <c r="L34" s="108"/>
      <c r="M34" s="108">
        <f t="shared" si="2"/>
        <v>84.1</v>
      </c>
    </row>
    <row r="35" spans="1:13" s="146" customFormat="1" ht="14.25" customHeight="1">
      <c r="A35" s="47">
        <v>9</v>
      </c>
      <c r="B35" s="144"/>
      <c r="C35" s="38" t="s">
        <v>248</v>
      </c>
      <c r="D35" s="47" t="s">
        <v>59</v>
      </c>
      <c r="E35" s="74"/>
      <c r="F35" s="161">
        <v>37</v>
      </c>
      <c r="G35" s="108">
        <v>5.5</v>
      </c>
      <c r="H35" s="108">
        <f t="shared" si="1"/>
        <v>203.5</v>
      </c>
      <c r="I35" s="108"/>
      <c r="J35" s="108"/>
      <c r="K35" s="108"/>
      <c r="L35" s="108"/>
      <c r="M35" s="108">
        <f t="shared" si="2"/>
        <v>203.5</v>
      </c>
    </row>
    <row r="36" spans="1:13" s="146" customFormat="1" ht="14.25" customHeight="1">
      <c r="A36" s="47">
        <v>10</v>
      </c>
      <c r="B36" s="144"/>
      <c r="C36" s="38" t="s">
        <v>623</v>
      </c>
      <c r="D36" s="47" t="s">
        <v>59</v>
      </c>
      <c r="E36" s="74"/>
      <c r="F36" s="161">
        <v>7</v>
      </c>
      <c r="G36" s="108">
        <v>13</v>
      </c>
      <c r="H36" s="108">
        <f t="shared" si="1"/>
        <v>91</v>
      </c>
      <c r="I36" s="108"/>
      <c r="J36" s="108"/>
      <c r="K36" s="108"/>
      <c r="L36" s="108"/>
      <c r="M36" s="108">
        <f t="shared" si="2"/>
        <v>91</v>
      </c>
    </row>
    <row r="37" spans="1:13" s="146" customFormat="1" ht="14.25" customHeight="1">
      <c r="A37" s="47">
        <v>11</v>
      </c>
      <c r="B37" s="154"/>
      <c r="C37" s="38" t="s">
        <v>350</v>
      </c>
      <c r="D37" s="47" t="s">
        <v>59</v>
      </c>
      <c r="E37" s="74"/>
      <c r="F37" s="161">
        <v>3</v>
      </c>
      <c r="G37" s="108">
        <v>6.8</v>
      </c>
      <c r="H37" s="108">
        <f t="shared" si="1"/>
        <v>20.4</v>
      </c>
      <c r="I37" s="108"/>
      <c r="J37" s="108"/>
      <c r="K37" s="108"/>
      <c r="L37" s="108"/>
      <c r="M37" s="108">
        <f t="shared" si="2"/>
        <v>20.4</v>
      </c>
    </row>
    <row r="38" spans="1:13" s="146" customFormat="1" ht="14.25" customHeight="1">
      <c r="A38" s="47">
        <v>12</v>
      </c>
      <c r="B38" s="154"/>
      <c r="C38" s="38" t="s">
        <v>624</v>
      </c>
      <c r="D38" s="47" t="s">
        <v>59</v>
      </c>
      <c r="E38" s="74"/>
      <c r="F38" s="161">
        <v>1</v>
      </c>
      <c r="G38" s="108">
        <v>16.6</v>
      </c>
      <c r="H38" s="108">
        <f t="shared" si="1"/>
        <v>16.6</v>
      </c>
      <c r="I38" s="108"/>
      <c r="J38" s="108"/>
      <c r="K38" s="108"/>
      <c r="L38" s="108"/>
      <c r="M38" s="108">
        <f t="shared" si="2"/>
        <v>16.6</v>
      </c>
    </row>
    <row r="39" spans="1:13" s="146" customFormat="1" ht="14.25" customHeight="1">
      <c r="A39" s="47">
        <v>13</v>
      </c>
      <c r="B39" s="144"/>
      <c r="C39" s="38" t="s">
        <v>625</v>
      </c>
      <c r="D39" s="47" t="s">
        <v>59</v>
      </c>
      <c r="E39" s="74"/>
      <c r="F39" s="161">
        <v>31</v>
      </c>
      <c r="G39" s="108">
        <v>5.8</v>
      </c>
      <c r="H39" s="108">
        <f t="shared" si="1"/>
        <v>179.79999999999998</v>
      </c>
      <c r="I39" s="108"/>
      <c r="J39" s="108"/>
      <c r="K39" s="108"/>
      <c r="L39" s="108"/>
      <c r="M39" s="108">
        <f t="shared" si="2"/>
        <v>179.79999999999998</v>
      </c>
    </row>
    <row r="40" spans="1:13" s="146" customFormat="1" ht="14.25" customHeight="1">
      <c r="A40" s="47">
        <v>14</v>
      </c>
      <c r="B40" s="144"/>
      <c r="C40" s="38" t="s">
        <v>626</v>
      </c>
      <c r="D40" s="47" t="s">
        <v>59</v>
      </c>
      <c r="E40" s="74"/>
      <c r="F40" s="161">
        <v>17</v>
      </c>
      <c r="G40" s="108">
        <v>6.4</v>
      </c>
      <c r="H40" s="108">
        <f t="shared" si="1"/>
        <v>108.80000000000001</v>
      </c>
      <c r="I40" s="108"/>
      <c r="J40" s="108"/>
      <c r="K40" s="108"/>
      <c r="L40" s="108"/>
      <c r="M40" s="108">
        <f t="shared" si="2"/>
        <v>108.80000000000001</v>
      </c>
    </row>
    <row r="41" spans="1:13" s="146" customFormat="1" ht="14.25" customHeight="1">
      <c r="A41" s="47">
        <v>15</v>
      </c>
      <c r="B41" s="144"/>
      <c r="C41" s="38" t="s">
        <v>627</v>
      </c>
      <c r="D41" s="47" t="s">
        <v>59</v>
      </c>
      <c r="E41" s="74"/>
      <c r="F41" s="161">
        <v>1</v>
      </c>
      <c r="G41" s="108">
        <v>5</v>
      </c>
      <c r="H41" s="108">
        <f t="shared" si="1"/>
        <v>5</v>
      </c>
      <c r="I41" s="108"/>
      <c r="J41" s="108"/>
      <c r="K41" s="108"/>
      <c r="L41" s="108"/>
      <c r="M41" s="108">
        <f t="shared" si="2"/>
        <v>5</v>
      </c>
    </row>
    <row r="42" spans="1:13" s="146" customFormat="1" ht="13.5" customHeight="1">
      <c r="A42" s="28">
        <v>16</v>
      </c>
      <c r="B42" s="27" t="s">
        <v>205</v>
      </c>
      <c r="C42" s="117" t="s">
        <v>399</v>
      </c>
      <c r="D42" s="28" t="s">
        <v>59</v>
      </c>
      <c r="E42" s="28"/>
      <c r="F42" s="164">
        <v>33</v>
      </c>
      <c r="G42" s="30"/>
      <c r="H42" s="30"/>
      <c r="I42" s="30"/>
      <c r="J42" s="30"/>
      <c r="K42" s="30"/>
      <c r="L42" s="30"/>
      <c r="M42" s="30"/>
    </row>
    <row r="43" spans="1:13" s="146" customFormat="1" ht="13.5" customHeight="1">
      <c r="A43" s="1"/>
      <c r="B43" s="12"/>
      <c r="C43" s="19" t="s">
        <v>54</v>
      </c>
      <c r="D43" s="1" t="s">
        <v>59</v>
      </c>
      <c r="E43" s="1">
        <v>1</v>
      </c>
      <c r="F43" s="13">
        <f>F42*E43</f>
        <v>33</v>
      </c>
      <c r="G43" s="13"/>
      <c r="H43" s="107"/>
      <c r="I43" s="13">
        <v>30</v>
      </c>
      <c r="J43" s="13">
        <f>F43*I43</f>
        <v>990</v>
      </c>
      <c r="K43" s="13"/>
      <c r="L43" s="13"/>
      <c r="M43" s="13">
        <f>H43+J43+L43</f>
        <v>990</v>
      </c>
    </row>
    <row r="44" spans="1:13" s="146" customFormat="1" ht="13.5" customHeight="1">
      <c r="A44" s="1"/>
      <c r="B44" s="257"/>
      <c r="C44" s="19" t="s">
        <v>99</v>
      </c>
      <c r="D44" s="1" t="s">
        <v>43</v>
      </c>
      <c r="E44" s="1">
        <v>0.02</v>
      </c>
      <c r="F44" s="13">
        <f>F42*E44</f>
        <v>0.66</v>
      </c>
      <c r="G44" s="13"/>
      <c r="H44" s="13"/>
      <c r="I44" s="13"/>
      <c r="J44" s="13"/>
      <c r="K44" s="13">
        <v>3.2</v>
      </c>
      <c r="L44" s="13">
        <f>F44*K44</f>
        <v>2.112</v>
      </c>
      <c r="M44" s="13">
        <f>H44+J44+L44</f>
        <v>2.112</v>
      </c>
    </row>
    <row r="45" spans="1:13" s="146" customFormat="1" ht="14.25" customHeight="1">
      <c r="A45" s="1"/>
      <c r="B45" s="257"/>
      <c r="C45" s="19" t="s">
        <v>56</v>
      </c>
      <c r="D45" s="1"/>
      <c r="E45" s="1"/>
      <c r="F45" s="13"/>
      <c r="G45" s="13"/>
      <c r="H45" s="13"/>
      <c r="I45" s="13"/>
      <c r="J45" s="13"/>
      <c r="K45" s="13"/>
      <c r="L45" s="13"/>
      <c r="M45" s="13"/>
    </row>
    <row r="46" spans="1:13" s="146" customFormat="1" ht="14.25" customHeight="1">
      <c r="A46" s="1"/>
      <c r="B46" s="362"/>
      <c r="C46" s="19" t="s">
        <v>206</v>
      </c>
      <c r="D46" s="1" t="s">
        <v>125</v>
      </c>
      <c r="E46" s="1">
        <v>1</v>
      </c>
      <c r="F46" s="13">
        <f>F42*E46</f>
        <v>33</v>
      </c>
      <c r="G46" s="13">
        <v>15.5</v>
      </c>
      <c r="H46" s="13">
        <f>F46*G46</f>
        <v>511.5</v>
      </c>
      <c r="I46" s="13"/>
      <c r="J46" s="13"/>
      <c r="K46" s="13"/>
      <c r="L46" s="13"/>
      <c r="M46" s="13">
        <f>H46+J46+L46</f>
        <v>511.5</v>
      </c>
    </row>
    <row r="47" spans="1:13" s="146" customFormat="1" ht="13.5" customHeight="1">
      <c r="A47" s="1"/>
      <c r="B47" s="257"/>
      <c r="C47" s="19" t="s">
        <v>57</v>
      </c>
      <c r="D47" s="1" t="s">
        <v>43</v>
      </c>
      <c r="E47" s="1">
        <v>0.11</v>
      </c>
      <c r="F47" s="13">
        <f>F42*E47</f>
        <v>3.63</v>
      </c>
      <c r="G47" s="13">
        <v>3.2</v>
      </c>
      <c r="H47" s="13">
        <f>F47*G47</f>
        <v>11.616</v>
      </c>
      <c r="I47" s="13"/>
      <c r="J47" s="13"/>
      <c r="K47" s="13"/>
      <c r="L47" s="13"/>
      <c r="M47" s="13">
        <f>H47+J47+L47</f>
        <v>11.616</v>
      </c>
    </row>
    <row r="48" spans="1:13" s="146" customFormat="1" ht="14.25" customHeight="1">
      <c r="A48" s="28">
        <v>17</v>
      </c>
      <c r="B48" s="27" t="s">
        <v>207</v>
      </c>
      <c r="C48" s="117" t="s">
        <v>208</v>
      </c>
      <c r="D48" s="82" t="s">
        <v>241</v>
      </c>
      <c r="E48" s="28"/>
      <c r="F48" s="164">
        <v>29</v>
      </c>
      <c r="G48" s="30"/>
      <c r="H48" s="30"/>
      <c r="I48" s="30"/>
      <c r="J48" s="30"/>
      <c r="K48" s="30"/>
      <c r="L48" s="30"/>
      <c r="M48" s="30"/>
    </row>
    <row r="49" spans="1:13" s="146" customFormat="1" ht="13.5" customHeight="1">
      <c r="A49" s="1"/>
      <c r="B49" s="12"/>
      <c r="C49" s="19" t="s">
        <v>54</v>
      </c>
      <c r="D49" s="1" t="s">
        <v>59</v>
      </c>
      <c r="E49" s="1">
        <v>1</v>
      </c>
      <c r="F49" s="13">
        <f>F48*E49</f>
        <v>29</v>
      </c>
      <c r="G49" s="13"/>
      <c r="H49" s="107"/>
      <c r="I49" s="13">
        <v>30</v>
      </c>
      <c r="J49" s="13">
        <f>F49*I49</f>
        <v>870</v>
      </c>
      <c r="K49" s="13"/>
      <c r="L49" s="13"/>
      <c r="M49" s="13">
        <f>H49+J49+L49</f>
        <v>870</v>
      </c>
    </row>
    <row r="50" spans="1:13" s="146" customFormat="1" ht="13.5" customHeight="1">
      <c r="A50" s="1"/>
      <c r="B50" s="257"/>
      <c r="C50" s="19" t="s">
        <v>99</v>
      </c>
      <c r="D50" s="1" t="s">
        <v>43</v>
      </c>
      <c r="E50" s="1">
        <v>0.07</v>
      </c>
      <c r="F50" s="13">
        <f>F48*E50</f>
        <v>2.0300000000000002</v>
      </c>
      <c r="G50" s="13"/>
      <c r="H50" s="13"/>
      <c r="I50" s="13"/>
      <c r="J50" s="13"/>
      <c r="K50" s="13">
        <v>3.2</v>
      </c>
      <c r="L50" s="13">
        <f>F50*K50</f>
        <v>6.496000000000001</v>
      </c>
      <c r="M50" s="13">
        <f>H50+J50+L50</f>
        <v>6.496000000000001</v>
      </c>
    </row>
    <row r="51" spans="1:13" s="146" customFormat="1" ht="14.25" customHeight="1">
      <c r="A51" s="1"/>
      <c r="B51" s="257"/>
      <c r="C51" s="19" t="s">
        <v>56</v>
      </c>
      <c r="D51" s="1"/>
      <c r="E51" s="1"/>
      <c r="F51" s="13"/>
      <c r="G51" s="13"/>
      <c r="H51" s="13"/>
      <c r="I51" s="13"/>
      <c r="J51" s="13"/>
      <c r="K51" s="13"/>
      <c r="L51" s="13"/>
      <c r="M51" s="13"/>
    </row>
    <row r="52" spans="1:13" s="146" customFormat="1" ht="15" customHeight="1">
      <c r="A52" s="1"/>
      <c r="B52" s="362"/>
      <c r="C52" s="19" t="s">
        <v>208</v>
      </c>
      <c r="D52" s="1" t="s">
        <v>59</v>
      </c>
      <c r="E52" s="1">
        <v>1</v>
      </c>
      <c r="F52" s="13">
        <f>F48*E52</f>
        <v>29</v>
      </c>
      <c r="G52" s="13">
        <v>129</v>
      </c>
      <c r="H52" s="13">
        <f>F52*G52</f>
        <v>3741</v>
      </c>
      <c r="I52" s="13"/>
      <c r="J52" s="13"/>
      <c r="K52" s="13"/>
      <c r="L52" s="13"/>
      <c r="M52" s="13">
        <f>H52+J52+L52</f>
        <v>3741</v>
      </c>
    </row>
    <row r="53" spans="1:13" s="146" customFormat="1" ht="15.75" customHeight="1">
      <c r="A53" s="1"/>
      <c r="B53" s="257"/>
      <c r="C53" s="19" t="s">
        <v>57</v>
      </c>
      <c r="D53" s="1" t="s">
        <v>43</v>
      </c>
      <c r="E53" s="1">
        <v>0.37</v>
      </c>
      <c r="F53" s="13">
        <f>F48*E53</f>
        <v>10.73</v>
      </c>
      <c r="G53" s="13">
        <v>3.2</v>
      </c>
      <c r="H53" s="13">
        <f>F53*G53</f>
        <v>34.336000000000006</v>
      </c>
      <c r="I53" s="13"/>
      <c r="J53" s="13"/>
      <c r="K53" s="13"/>
      <c r="L53" s="13"/>
      <c r="M53" s="13">
        <f>H53+J53+L53</f>
        <v>34.336000000000006</v>
      </c>
    </row>
    <row r="54" spans="1:13" s="363" customFormat="1" ht="40.5">
      <c r="A54" s="82">
        <v>18</v>
      </c>
      <c r="B54" s="532" t="s">
        <v>209</v>
      </c>
      <c r="C54" s="83" t="s">
        <v>240</v>
      </c>
      <c r="D54" s="82" t="s">
        <v>241</v>
      </c>
      <c r="E54" s="84"/>
      <c r="F54" s="460">
        <v>2</v>
      </c>
      <c r="G54" s="130"/>
      <c r="H54" s="130"/>
      <c r="I54" s="130"/>
      <c r="J54" s="130"/>
      <c r="K54" s="130"/>
      <c r="L54" s="130"/>
      <c r="M54" s="130"/>
    </row>
    <row r="55" spans="1:13" s="363" customFormat="1" ht="13.5">
      <c r="A55" s="32"/>
      <c r="B55" s="533"/>
      <c r="C55" s="34" t="s">
        <v>54</v>
      </c>
      <c r="D55" s="32" t="s">
        <v>241</v>
      </c>
      <c r="E55" s="35">
        <v>1</v>
      </c>
      <c r="F55" s="131">
        <f>F54*E55</f>
        <v>2</v>
      </c>
      <c r="G55" s="131"/>
      <c r="H55" s="174"/>
      <c r="I55" s="131">
        <v>30</v>
      </c>
      <c r="J55" s="131">
        <f>F55*I55</f>
        <v>60</v>
      </c>
      <c r="K55" s="131"/>
      <c r="L55" s="131"/>
      <c r="M55" s="131">
        <f>H55+J55+L55</f>
        <v>60</v>
      </c>
    </row>
    <row r="56" spans="1:13" s="363" customFormat="1" ht="13.5">
      <c r="A56" s="32"/>
      <c r="B56" s="533"/>
      <c r="C56" s="34" t="s">
        <v>116</v>
      </c>
      <c r="D56" s="65" t="s">
        <v>43</v>
      </c>
      <c r="E56" s="35">
        <v>0.13</v>
      </c>
      <c r="F56" s="131">
        <f>F54*E56</f>
        <v>0.26</v>
      </c>
      <c r="G56" s="131"/>
      <c r="H56" s="131"/>
      <c r="I56" s="131"/>
      <c r="J56" s="131"/>
      <c r="K56" s="131">
        <v>3.2</v>
      </c>
      <c r="L56" s="131">
        <f>F56*K56</f>
        <v>0.8320000000000001</v>
      </c>
      <c r="M56" s="131">
        <f>H56+J56+L56</f>
        <v>0.8320000000000001</v>
      </c>
    </row>
    <row r="57" spans="1:13" s="363" customFormat="1" ht="13.5">
      <c r="A57" s="32"/>
      <c r="B57" s="533"/>
      <c r="C57" s="33" t="s">
        <v>56</v>
      </c>
      <c r="D57" s="32"/>
      <c r="E57" s="35"/>
      <c r="F57" s="131"/>
      <c r="G57" s="131"/>
      <c r="H57" s="131"/>
      <c r="I57" s="131"/>
      <c r="J57" s="131"/>
      <c r="K57" s="131"/>
      <c r="L57" s="131"/>
      <c r="M57" s="131"/>
    </row>
    <row r="58" spans="1:13" s="363" customFormat="1" ht="27">
      <c r="A58" s="32"/>
      <c r="B58" s="533"/>
      <c r="C58" s="34" t="s">
        <v>242</v>
      </c>
      <c r="D58" s="32" t="s">
        <v>241</v>
      </c>
      <c r="E58" s="35">
        <v>1</v>
      </c>
      <c r="F58" s="131">
        <f>F54*E58</f>
        <v>2</v>
      </c>
      <c r="G58" s="131">
        <v>450</v>
      </c>
      <c r="H58" s="131">
        <f>F58*G58</f>
        <v>900</v>
      </c>
      <c r="I58" s="131"/>
      <c r="J58" s="131"/>
      <c r="K58" s="131"/>
      <c r="L58" s="131"/>
      <c r="M58" s="131">
        <f>H58+J58+L58</f>
        <v>900</v>
      </c>
    </row>
    <row r="59" spans="1:13" s="363" customFormat="1" ht="13.5">
      <c r="A59" s="32"/>
      <c r="B59" s="533"/>
      <c r="C59" s="34" t="s">
        <v>57</v>
      </c>
      <c r="D59" s="69" t="s">
        <v>43</v>
      </c>
      <c r="E59" s="35">
        <v>0.94</v>
      </c>
      <c r="F59" s="131">
        <f>F54*E59</f>
        <v>1.88</v>
      </c>
      <c r="G59" s="131">
        <v>3.2</v>
      </c>
      <c r="H59" s="131">
        <f>F59*G59</f>
        <v>6.016</v>
      </c>
      <c r="I59" s="131"/>
      <c r="J59" s="131"/>
      <c r="K59" s="131"/>
      <c r="L59" s="131"/>
      <c r="M59" s="131">
        <f>H59+J59+L59</f>
        <v>6.016</v>
      </c>
    </row>
    <row r="60" spans="1:13" s="361" customFormat="1" ht="27">
      <c r="A60" s="76">
        <v>19</v>
      </c>
      <c r="B60" s="85" t="s">
        <v>207</v>
      </c>
      <c r="C60" s="86" t="s">
        <v>243</v>
      </c>
      <c r="D60" s="76" t="s">
        <v>241</v>
      </c>
      <c r="E60" s="87"/>
      <c r="F60" s="460">
        <v>2</v>
      </c>
      <c r="G60" s="130"/>
      <c r="H60" s="130"/>
      <c r="I60" s="130"/>
      <c r="J60" s="130"/>
      <c r="K60" s="130"/>
      <c r="L60" s="130"/>
      <c r="M60" s="130"/>
    </row>
    <row r="61" spans="1:13" s="361" customFormat="1" ht="14.25" customHeight="1">
      <c r="A61" s="62"/>
      <c r="B61" s="88" t="s">
        <v>86</v>
      </c>
      <c r="C61" s="63" t="s">
        <v>54</v>
      </c>
      <c r="D61" s="62" t="s">
        <v>241</v>
      </c>
      <c r="E61" s="64">
        <v>1</v>
      </c>
      <c r="F61" s="131">
        <f>F60*E61</f>
        <v>2</v>
      </c>
      <c r="G61" s="131"/>
      <c r="H61" s="174"/>
      <c r="I61" s="131">
        <v>30</v>
      </c>
      <c r="J61" s="131">
        <f>F61*I61</f>
        <v>60</v>
      </c>
      <c r="K61" s="131"/>
      <c r="L61" s="131"/>
      <c r="M61" s="131">
        <f>H61+J61+L61</f>
        <v>60</v>
      </c>
    </row>
    <row r="62" spans="1:13" s="361" customFormat="1" ht="13.5">
      <c r="A62" s="62"/>
      <c r="B62" s="88"/>
      <c r="C62" s="63" t="s">
        <v>99</v>
      </c>
      <c r="D62" s="65" t="s">
        <v>43</v>
      </c>
      <c r="E62" s="64">
        <v>0.07</v>
      </c>
      <c r="F62" s="131">
        <f>F60*E62</f>
        <v>0.14</v>
      </c>
      <c r="G62" s="131"/>
      <c r="H62" s="131"/>
      <c r="I62" s="131"/>
      <c r="J62" s="131"/>
      <c r="K62" s="131">
        <v>3.2</v>
      </c>
      <c r="L62" s="131">
        <f>F62*K62</f>
        <v>0.44800000000000006</v>
      </c>
      <c r="M62" s="131">
        <f>H62+J62+L62</f>
        <v>0.44800000000000006</v>
      </c>
    </row>
    <row r="63" spans="1:13" s="361" customFormat="1" ht="13.5">
      <c r="A63" s="62"/>
      <c r="B63" s="88"/>
      <c r="C63" s="79" t="s">
        <v>56</v>
      </c>
      <c r="D63" s="62"/>
      <c r="E63" s="64"/>
      <c r="F63" s="131"/>
      <c r="G63" s="131"/>
      <c r="H63" s="131"/>
      <c r="I63" s="131"/>
      <c r="J63" s="131"/>
      <c r="K63" s="131"/>
      <c r="L63" s="131"/>
      <c r="M63" s="131"/>
    </row>
    <row r="64" spans="1:13" s="361" customFormat="1" ht="27">
      <c r="A64" s="62"/>
      <c r="B64" s="88"/>
      <c r="C64" s="79" t="s">
        <v>244</v>
      </c>
      <c r="D64" s="62" t="s">
        <v>241</v>
      </c>
      <c r="E64" s="62">
        <v>1</v>
      </c>
      <c r="F64" s="467">
        <f>F60*E64</f>
        <v>2</v>
      </c>
      <c r="G64" s="467">
        <v>250</v>
      </c>
      <c r="H64" s="467">
        <f>F64*G64</f>
        <v>500</v>
      </c>
      <c r="I64" s="467"/>
      <c r="J64" s="467"/>
      <c r="K64" s="467"/>
      <c r="L64" s="467"/>
      <c r="M64" s="467">
        <f>H64+J64+L64</f>
        <v>500</v>
      </c>
    </row>
    <row r="65" spans="1:13" s="361" customFormat="1" ht="13.5">
      <c r="A65" s="67"/>
      <c r="B65" s="90"/>
      <c r="C65" s="68" t="s">
        <v>57</v>
      </c>
      <c r="D65" s="69" t="s">
        <v>43</v>
      </c>
      <c r="E65" s="70">
        <v>0.37</v>
      </c>
      <c r="F65" s="132">
        <f>F60*E65</f>
        <v>0.74</v>
      </c>
      <c r="G65" s="132">
        <v>3.2</v>
      </c>
      <c r="H65" s="132">
        <f>F65*G65</f>
        <v>2.368</v>
      </c>
      <c r="I65" s="132"/>
      <c r="J65" s="132"/>
      <c r="K65" s="132"/>
      <c r="L65" s="132"/>
      <c r="M65" s="132">
        <f>H65+J65+L65</f>
        <v>2.368</v>
      </c>
    </row>
    <row r="66" spans="1:13" s="146" customFormat="1" ht="15" customHeight="1">
      <c r="A66" s="1">
        <v>20</v>
      </c>
      <c r="B66" s="12" t="s">
        <v>209</v>
      </c>
      <c r="C66" s="19" t="s">
        <v>213</v>
      </c>
      <c r="D66" s="76" t="s">
        <v>241</v>
      </c>
      <c r="E66" s="1"/>
      <c r="F66" s="165">
        <v>29</v>
      </c>
      <c r="G66" s="13"/>
      <c r="H66" s="13"/>
      <c r="I66" s="13"/>
      <c r="J66" s="13"/>
      <c r="K66" s="13"/>
      <c r="L66" s="13"/>
      <c r="M66" s="13"/>
    </row>
    <row r="67" spans="1:13" s="146" customFormat="1" ht="14.25" customHeight="1">
      <c r="A67" s="1"/>
      <c r="B67" s="12"/>
      <c r="C67" s="19" t="s">
        <v>54</v>
      </c>
      <c r="D67" s="1" t="s">
        <v>59</v>
      </c>
      <c r="E67" s="1">
        <v>1</v>
      </c>
      <c r="F67" s="13">
        <f>F66*E67</f>
        <v>29</v>
      </c>
      <c r="G67" s="13"/>
      <c r="H67" s="107"/>
      <c r="I67" s="13">
        <v>30</v>
      </c>
      <c r="J67" s="13">
        <f>F67*I67</f>
        <v>870</v>
      </c>
      <c r="K67" s="13"/>
      <c r="L67" s="13"/>
      <c r="M67" s="13">
        <f>H67+J67+L67</f>
        <v>870</v>
      </c>
    </row>
    <row r="68" spans="1:13" s="146" customFormat="1" ht="14.25" customHeight="1">
      <c r="A68" s="1"/>
      <c r="B68" s="257"/>
      <c r="C68" s="19" t="s">
        <v>116</v>
      </c>
      <c r="D68" s="1" t="s">
        <v>43</v>
      </c>
      <c r="E68" s="1">
        <v>0.13</v>
      </c>
      <c r="F68" s="13">
        <f>F66*E68</f>
        <v>3.77</v>
      </c>
      <c r="G68" s="13"/>
      <c r="H68" s="13"/>
      <c r="I68" s="13"/>
      <c r="J68" s="13"/>
      <c r="K68" s="13">
        <v>3.2</v>
      </c>
      <c r="L68" s="13">
        <f>F68*K68</f>
        <v>12.064</v>
      </c>
      <c r="M68" s="13">
        <f>H68+J68+L68</f>
        <v>12.064</v>
      </c>
    </row>
    <row r="69" spans="1:13" s="146" customFormat="1" ht="14.25" customHeight="1">
      <c r="A69" s="1"/>
      <c r="B69" s="257"/>
      <c r="C69" s="19" t="s">
        <v>56</v>
      </c>
      <c r="D69" s="1"/>
      <c r="E69" s="1"/>
      <c r="F69" s="13"/>
      <c r="G69" s="13"/>
      <c r="H69" s="13"/>
      <c r="I69" s="13"/>
      <c r="J69" s="13"/>
      <c r="K69" s="13"/>
      <c r="L69" s="13"/>
      <c r="M69" s="13"/>
    </row>
    <row r="70" spans="1:13" s="146" customFormat="1" ht="14.25" customHeight="1">
      <c r="A70" s="1"/>
      <c r="B70" s="257"/>
      <c r="C70" s="19" t="s">
        <v>210</v>
      </c>
      <c r="D70" s="1" t="s">
        <v>59</v>
      </c>
      <c r="E70" s="1">
        <v>1</v>
      </c>
      <c r="F70" s="13">
        <f>F66*E70</f>
        <v>29</v>
      </c>
      <c r="G70" s="13">
        <v>170</v>
      </c>
      <c r="H70" s="13">
        <f>F70*G70</f>
        <v>4930</v>
      </c>
      <c r="I70" s="13"/>
      <c r="J70" s="13"/>
      <c r="K70" s="13"/>
      <c r="L70" s="13"/>
      <c r="M70" s="13">
        <f>H70+J70+L70</f>
        <v>4930</v>
      </c>
    </row>
    <row r="71" spans="1:13" s="146" customFormat="1" ht="14.25" customHeight="1">
      <c r="A71" s="1"/>
      <c r="B71" s="257"/>
      <c r="C71" s="123" t="s">
        <v>57</v>
      </c>
      <c r="D71" s="1" t="s">
        <v>43</v>
      </c>
      <c r="E71" s="1">
        <v>0.94</v>
      </c>
      <c r="F71" s="13">
        <f>F66*E71</f>
        <v>27.259999999999998</v>
      </c>
      <c r="G71" s="13">
        <v>3.2</v>
      </c>
      <c r="H71" s="13">
        <f>F71*G71</f>
        <v>87.232</v>
      </c>
      <c r="I71" s="13"/>
      <c r="J71" s="13"/>
      <c r="K71" s="13"/>
      <c r="L71" s="13"/>
      <c r="M71" s="13">
        <f>H71+J71+L71</f>
        <v>87.232</v>
      </c>
    </row>
    <row r="72" spans="1:13" s="146" customFormat="1" ht="15" customHeight="1">
      <c r="A72" s="28">
        <v>21</v>
      </c>
      <c r="B72" s="27" t="s">
        <v>628</v>
      </c>
      <c r="C72" s="19" t="s">
        <v>647</v>
      </c>
      <c r="D72" s="76" t="s">
        <v>241</v>
      </c>
      <c r="E72" s="28"/>
      <c r="F72" s="164">
        <v>28</v>
      </c>
      <c r="G72" s="30"/>
      <c r="H72" s="30"/>
      <c r="I72" s="30"/>
      <c r="J72" s="30"/>
      <c r="K72" s="30"/>
      <c r="L72" s="30"/>
      <c r="M72" s="30"/>
    </row>
    <row r="73" spans="1:13" s="146" customFormat="1" ht="14.25" customHeight="1">
      <c r="A73" s="1"/>
      <c r="B73" s="12"/>
      <c r="C73" s="19" t="s">
        <v>54</v>
      </c>
      <c r="D73" s="1" t="s">
        <v>59</v>
      </c>
      <c r="E73" s="1">
        <v>1</v>
      </c>
      <c r="F73" s="13">
        <f>F72*E73</f>
        <v>28</v>
      </c>
      <c r="G73" s="13"/>
      <c r="H73" s="107"/>
      <c r="I73" s="13">
        <v>30</v>
      </c>
      <c r="J73" s="13">
        <f>F73*I73</f>
        <v>840</v>
      </c>
      <c r="K73" s="13"/>
      <c r="L73" s="13"/>
      <c r="M73" s="13">
        <f>H73+J73+L73</f>
        <v>840</v>
      </c>
    </row>
    <row r="74" spans="1:13" s="146" customFormat="1" ht="14.25" customHeight="1">
      <c r="A74" s="1"/>
      <c r="B74" s="257"/>
      <c r="C74" s="19" t="s">
        <v>116</v>
      </c>
      <c r="D74" s="1" t="s">
        <v>43</v>
      </c>
      <c r="E74" s="1">
        <v>0.15</v>
      </c>
      <c r="F74" s="13">
        <f>F72*E74</f>
        <v>4.2</v>
      </c>
      <c r="G74" s="13"/>
      <c r="H74" s="13"/>
      <c r="I74" s="13"/>
      <c r="J74" s="13"/>
      <c r="K74" s="13">
        <v>3.2</v>
      </c>
      <c r="L74" s="13">
        <f>F74*K74</f>
        <v>13.440000000000001</v>
      </c>
      <c r="M74" s="13">
        <f>H74+J74+L74</f>
        <v>13.440000000000001</v>
      </c>
    </row>
    <row r="75" spans="1:13" s="146" customFormat="1" ht="14.25" customHeight="1">
      <c r="A75" s="1"/>
      <c r="B75" s="257"/>
      <c r="C75" s="19" t="s">
        <v>56</v>
      </c>
      <c r="D75" s="1"/>
      <c r="E75" s="1"/>
      <c r="F75" s="13"/>
      <c r="G75" s="13"/>
      <c r="H75" s="13"/>
      <c r="I75" s="13"/>
      <c r="J75" s="13"/>
      <c r="K75" s="13"/>
      <c r="L75" s="13"/>
      <c r="M75" s="13"/>
    </row>
    <row r="76" spans="1:13" s="146" customFormat="1" ht="14.25" customHeight="1">
      <c r="A76" s="1"/>
      <c r="B76" s="257"/>
      <c r="C76" s="19" t="s">
        <v>647</v>
      </c>
      <c r="D76" s="1" t="s">
        <v>59</v>
      </c>
      <c r="E76" s="1">
        <v>1</v>
      </c>
      <c r="F76" s="13">
        <f>F72*E76</f>
        <v>28</v>
      </c>
      <c r="G76" s="13">
        <v>90</v>
      </c>
      <c r="H76" s="13">
        <f>F76*G76</f>
        <v>2520</v>
      </c>
      <c r="I76" s="13"/>
      <c r="J76" s="13"/>
      <c r="K76" s="13"/>
      <c r="L76" s="13"/>
      <c r="M76" s="13">
        <f>H76+J76+L76</f>
        <v>2520</v>
      </c>
    </row>
    <row r="77" spans="1:13" s="146" customFormat="1" ht="14.25" customHeight="1">
      <c r="A77" s="1"/>
      <c r="B77" s="257"/>
      <c r="C77" s="19" t="s">
        <v>57</v>
      </c>
      <c r="D77" s="1" t="s">
        <v>43</v>
      </c>
      <c r="E77" s="1">
        <v>0.4</v>
      </c>
      <c r="F77" s="13">
        <f>F72*E77</f>
        <v>11.200000000000001</v>
      </c>
      <c r="G77" s="13">
        <v>3.2</v>
      </c>
      <c r="H77" s="13">
        <f>F77*G77</f>
        <v>35.84</v>
      </c>
      <c r="I77" s="13"/>
      <c r="J77" s="13"/>
      <c r="K77" s="13"/>
      <c r="L77" s="13"/>
      <c r="M77" s="13">
        <f>H77+J77+L77</f>
        <v>35.84</v>
      </c>
    </row>
    <row r="78" spans="1:13" s="146" customFormat="1" ht="13.5">
      <c r="A78" s="47"/>
      <c r="B78" s="47"/>
      <c r="C78" s="48" t="s">
        <v>102</v>
      </c>
      <c r="D78" s="52"/>
      <c r="E78" s="52"/>
      <c r="F78" s="161"/>
      <c r="G78" s="161"/>
      <c r="H78" s="161">
        <f>SUM(H9:H77)</f>
        <v>19742.4644</v>
      </c>
      <c r="I78" s="161"/>
      <c r="J78" s="161">
        <f>SUM(J9:J77)</f>
        <v>4937.3636</v>
      </c>
      <c r="K78" s="161"/>
      <c r="L78" s="161">
        <f>SUM(L9:L77)</f>
        <v>41.63264000000001</v>
      </c>
      <c r="M78" s="161">
        <f>SUM(M9:M77)</f>
        <v>24721.46064</v>
      </c>
    </row>
    <row r="79" spans="1:13" s="146" customFormat="1" ht="27">
      <c r="A79" s="47"/>
      <c r="B79" s="47"/>
      <c r="C79" s="46" t="s">
        <v>398</v>
      </c>
      <c r="D79" s="81">
        <v>0.12</v>
      </c>
      <c r="E79" s="74"/>
      <c r="F79" s="109"/>
      <c r="G79" s="109"/>
      <c r="H79" s="109">
        <f>H78*D79</f>
        <v>2369.095728</v>
      </c>
      <c r="I79" s="109"/>
      <c r="J79" s="109">
        <f>J78*D79</f>
        <v>592.483632</v>
      </c>
      <c r="K79" s="109"/>
      <c r="L79" s="109">
        <f>D79*L78</f>
        <v>4.995916800000001</v>
      </c>
      <c r="M79" s="109">
        <f>M78*D79</f>
        <v>2966.5752768</v>
      </c>
    </row>
    <row r="80" spans="1:13" s="146" customFormat="1" ht="15.75" customHeight="1">
      <c r="A80" s="47"/>
      <c r="B80" s="47"/>
      <c r="C80" s="80" t="s">
        <v>49</v>
      </c>
      <c r="D80" s="47"/>
      <c r="E80" s="74"/>
      <c r="F80" s="109"/>
      <c r="G80" s="109"/>
      <c r="H80" s="109">
        <f>H78+H79</f>
        <v>22111.560128</v>
      </c>
      <c r="I80" s="109"/>
      <c r="J80" s="109">
        <f>J78+J79</f>
        <v>5529.847232</v>
      </c>
      <c r="K80" s="109"/>
      <c r="L80" s="109">
        <f>L78+L79</f>
        <v>46.62855680000001</v>
      </c>
      <c r="M80" s="109">
        <f>M78+M79</f>
        <v>27688.0359168</v>
      </c>
    </row>
    <row r="81" spans="1:13" s="146" customFormat="1" ht="13.5">
      <c r="A81" s="47"/>
      <c r="B81" s="47"/>
      <c r="C81" s="38" t="s">
        <v>227</v>
      </c>
      <c r="D81" s="81">
        <v>0.08</v>
      </c>
      <c r="E81" s="74"/>
      <c r="F81" s="109"/>
      <c r="G81" s="109"/>
      <c r="H81" s="109">
        <f>H80*D81</f>
        <v>1768.9248102400002</v>
      </c>
      <c r="I81" s="109"/>
      <c r="J81" s="109">
        <f>J80*D81</f>
        <v>442.38777856</v>
      </c>
      <c r="K81" s="109"/>
      <c r="L81" s="109">
        <f>L80*D81</f>
        <v>3.730284544000001</v>
      </c>
      <c r="M81" s="109">
        <f>M80*D81</f>
        <v>2215.042873344</v>
      </c>
    </row>
    <row r="82" spans="1:13" s="146" customFormat="1" ht="13.5">
      <c r="A82" s="47"/>
      <c r="B82" s="47"/>
      <c r="C82" s="48" t="s">
        <v>49</v>
      </c>
      <c r="D82" s="52"/>
      <c r="E82" s="49"/>
      <c r="F82" s="169"/>
      <c r="G82" s="169"/>
      <c r="H82" s="188">
        <f>H80+H81</f>
        <v>23880.484938240003</v>
      </c>
      <c r="I82" s="188"/>
      <c r="J82" s="188">
        <f>J80+J81</f>
        <v>5972.23501056</v>
      </c>
      <c r="K82" s="188"/>
      <c r="L82" s="188">
        <f>L80+L81</f>
        <v>50.35884134400001</v>
      </c>
      <c r="M82" s="188">
        <f>M80+M81</f>
        <v>29903.078790143998</v>
      </c>
    </row>
    <row r="83" spans="1:13" s="146" customFormat="1" ht="13.5">
      <c r="A83" s="6"/>
      <c r="B83" s="6"/>
      <c r="C83" s="56"/>
      <c r="D83" s="196"/>
      <c r="E83" s="197"/>
      <c r="F83" s="198"/>
      <c r="G83" s="198"/>
      <c r="H83" s="364"/>
      <c r="I83" s="364"/>
      <c r="J83" s="364"/>
      <c r="K83" s="364"/>
      <c r="L83" s="364"/>
      <c r="M83" s="364"/>
    </row>
    <row r="84" spans="1:10" ht="13.5">
      <c r="A84" s="146"/>
      <c r="B84" s="492" t="s">
        <v>58</v>
      </c>
      <c r="C84" s="492"/>
      <c r="E84" s="492" t="s">
        <v>482</v>
      </c>
      <c r="F84" s="492"/>
      <c r="G84" s="492"/>
      <c r="H84" s="492"/>
      <c r="I84" s="492"/>
      <c r="J84" s="492"/>
    </row>
    <row r="86" spans="1:13" ht="13.5">
      <c r="A86" s="146"/>
      <c r="B86" s="268"/>
      <c r="C86" s="458" t="s">
        <v>891</v>
      </c>
      <c r="D86" s="268"/>
      <c r="E86" s="492" t="s">
        <v>890</v>
      </c>
      <c r="F86" s="492"/>
      <c r="G86" s="492"/>
      <c r="H86" s="492"/>
      <c r="I86" s="492"/>
      <c r="J86" s="492"/>
      <c r="K86" s="268"/>
      <c r="L86" s="268"/>
      <c r="M86" s="268"/>
    </row>
  </sheetData>
  <sheetProtection/>
  <mergeCells count="22">
    <mergeCell ref="B4:C4"/>
    <mergeCell ref="M6:M7"/>
    <mergeCell ref="G6:H6"/>
    <mergeCell ref="I6:J6"/>
    <mergeCell ref="A1:M1"/>
    <mergeCell ref="A2:M2"/>
    <mergeCell ref="A3:M3"/>
    <mergeCell ref="B5:C5"/>
    <mergeCell ref="J5:K5"/>
    <mergeCell ref="A6:A7"/>
    <mergeCell ref="K6:L6"/>
    <mergeCell ref="E6:F6"/>
    <mergeCell ref="F4:I4"/>
    <mergeCell ref="J4:K4"/>
    <mergeCell ref="G5:I5"/>
    <mergeCell ref="E86:J86"/>
    <mergeCell ref="B84:C84"/>
    <mergeCell ref="E84:J84"/>
    <mergeCell ref="C6:C7"/>
    <mergeCell ref="D6:D7"/>
    <mergeCell ref="B54:B59"/>
    <mergeCell ref="B6:B7"/>
  </mergeCells>
  <printOptions horizontalCentered="1"/>
  <pageMargins left="0.45" right="0" top="0.5" bottom="0.5" header="0.3" footer="0.3"/>
  <pageSetup horizontalDpi="600" verticalDpi="600" orientation="landscape" paperSize="9" scale="98" r:id="rId1"/>
  <headerFooter>
    <oddHeader>&amp;Cსაგანმანათლებლო და სამეცნიერო ინფრასტრუქტურის განვითარების სააგენტო</oddHeader>
    <oddFooter>&amp;Lხარჯთაღრიცხვა&amp;R&amp;P/&amp;N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M134"/>
  <sheetViews>
    <sheetView tabSelected="1" zoomScalePageLayoutView="0" workbookViewId="0" topLeftCell="A1">
      <pane ySplit="7" topLeftCell="A110" activePane="bottomLeft" state="frozen"/>
      <selection pane="topLeft" activeCell="A1" sqref="A1"/>
      <selection pane="bottomLeft" activeCell="A1" sqref="A1:M1"/>
    </sheetView>
  </sheetViews>
  <sheetFormatPr defaultColWidth="9.00390625" defaultRowHeight="12.75"/>
  <cols>
    <col min="1" max="1" width="2.375" style="268" customWidth="1"/>
    <col min="2" max="2" width="7.625" style="268" customWidth="1"/>
    <col min="3" max="3" width="38.375" style="268" customWidth="1"/>
    <col min="4" max="4" width="7.125" style="268" customWidth="1"/>
    <col min="5" max="5" width="6.625" style="268" customWidth="1"/>
    <col min="6" max="6" width="9.125" style="365" bestFit="1" customWidth="1"/>
    <col min="7" max="7" width="8.875" style="365" customWidth="1"/>
    <col min="8" max="8" width="13.375" style="365" bestFit="1" customWidth="1"/>
    <col min="9" max="9" width="7.875" style="365" customWidth="1"/>
    <col min="10" max="10" width="13.25390625" style="365" bestFit="1" customWidth="1"/>
    <col min="11" max="11" width="8.25390625" style="365" customWidth="1"/>
    <col min="12" max="12" width="10.125" style="365" bestFit="1" customWidth="1"/>
    <col min="13" max="13" width="13.25390625" style="365" bestFit="1" customWidth="1"/>
    <col min="14" max="16384" width="9.125" style="268" customWidth="1"/>
  </cols>
  <sheetData>
    <row r="1" spans="1:13" s="314" customFormat="1" ht="17.25" customHeight="1">
      <c r="A1" s="511" t="s">
        <v>897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</row>
    <row r="2" spans="1:13" s="314" customFormat="1" ht="16.5" customHeight="1">
      <c r="A2" s="518" t="s">
        <v>733</v>
      </c>
      <c r="B2" s="517"/>
      <c r="C2" s="517"/>
      <c r="D2" s="517"/>
      <c r="E2" s="517"/>
      <c r="F2" s="517"/>
      <c r="G2" s="517"/>
      <c r="H2" s="517"/>
      <c r="I2" s="517"/>
      <c r="J2" s="517"/>
      <c r="K2" s="517"/>
      <c r="L2" s="517"/>
      <c r="M2" s="517"/>
    </row>
    <row r="3" spans="1:13" s="314" customFormat="1" ht="16.5" customHeight="1">
      <c r="A3" s="518" t="s">
        <v>233</v>
      </c>
      <c r="B3" s="517"/>
      <c r="C3" s="517"/>
      <c r="D3" s="517"/>
      <c r="E3" s="517"/>
      <c r="F3" s="517"/>
      <c r="G3" s="517"/>
      <c r="H3" s="517"/>
      <c r="I3" s="517"/>
      <c r="J3" s="517"/>
      <c r="K3" s="517"/>
      <c r="L3" s="517"/>
      <c r="M3" s="536"/>
    </row>
    <row r="4" spans="2:13" s="317" customFormat="1" ht="13.5">
      <c r="B4" s="513" t="s">
        <v>428</v>
      </c>
      <c r="C4" s="514"/>
      <c r="D4" s="24"/>
      <c r="E4" s="24"/>
      <c r="F4" s="534" t="s">
        <v>184</v>
      </c>
      <c r="G4" s="534"/>
      <c r="H4" s="534"/>
      <c r="I4" s="534"/>
      <c r="J4" s="534">
        <f>M127</f>
        <v>53701.167571968</v>
      </c>
      <c r="K4" s="535"/>
      <c r="L4" s="60" t="s">
        <v>43</v>
      </c>
      <c r="M4" s="60"/>
    </row>
    <row r="5" spans="1:13" s="317" customFormat="1" ht="13.5">
      <c r="A5" s="319"/>
      <c r="B5" s="513" t="s">
        <v>876</v>
      </c>
      <c r="C5" s="514"/>
      <c r="D5" s="26"/>
      <c r="E5" s="26"/>
      <c r="F5" s="61"/>
      <c r="G5" s="538" t="s">
        <v>185</v>
      </c>
      <c r="H5" s="538"/>
      <c r="I5" s="538"/>
      <c r="J5" s="534">
        <f>J127</f>
        <v>7079.684290559999</v>
      </c>
      <c r="K5" s="535"/>
      <c r="L5" s="60" t="s">
        <v>43</v>
      </c>
      <c r="M5" s="60"/>
    </row>
    <row r="6" spans="1:13" s="314" customFormat="1" ht="42" customHeight="1">
      <c r="A6" s="521" t="s">
        <v>61</v>
      </c>
      <c r="B6" s="474" t="s">
        <v>74</v>
      </c>
      <c r="C6" s="474" t="s">
        <v>63</v>
      </c>
      <c r="D6" s="474" t="s">
        <v>44</v>
      </c>
      <c r="E6" s="529" t="s">
        <v>45</v>
      </c>
      <c r="F6" s="530"/>
      <c r="G6" s="537" t="s">
        <v>46</v>
      </c>
      <c r="H6" s="537"/>
      <c r="I6" s="537" t="s">
        <v>47</v>
      </c>
      <c r="J6" s="537"/>
      <c r="K6" s="537" t="s">
        <v>48</v>
      </c>
      <c r="L6" s="537"/>
      <c r="M6" s="537" t="s">
        <v>49</v>
      </c>
    </row>
    <row r="7" spans="1:13" s="22" customFormat="1" ht="54">
      <c r="A7" s="521"/>
      <c r="B7" s="521"/>
      <c r="C7" s="474"/>
      <c r="D7" s="474"/>
      <c r="E7" s="74" t="s">
        <v>50</v>
      </c>
      <c r="F7" s="73" t="s">
        <v>51</v>
      </c>
      <c r="G7" s="73" t="s">
        <v>52</v>
      </c>
      <c r="H7" s="73" t="s">
        <v>49</v>
      </c>
      <c r="I7" s="73" t="s">
        <v>52</v>
      </c>
      <c r="J7" s="73" t="s">
        <v>49</v>
      </c>
      <c r="K7" s="73" t="s">
        <v>52</v>
      </c>
      <c r="L7" s="73" t="s">
        <v>49</v>
      </c>
      <c r="M7" s="537"/>
    </row>
    <row r="8" spans="1:13" s="22" customFormat="1" ht="15" customHeight="1">
      <c r="A8" s="359" t="s">
        <v>53</v>
      </c>
      <c r="B8" s="359" t="s">
        <v>68</v>
      </c>
      <c r="C8" s="359" t="s">
        <v>69</v>
      </c>
      <c r="D8" s="359" t="s">
        <v>70</v>
      </c>
      <c r="E8" s="359" t="s">
        <v>71</v>
      </c>
      <c r="F8" s="366" t="s">
        <v>72</v>
      </c>
      <c r="G8" s="367" t="s">
        <v>60</v>
      </c>
      <c r="H8" s="367" t="s">
        <v>73</v>
      </c>
      <c r="I8" s="367" t="s">
        <v>109</v>
      </c>
      <c r="J8" s="367" t="s">
        <v>110</v>
      </c>
      <c r="K8" s="368">
        <v>11</v>
      </c>
      <c r="L8" s="367" t="s">
        <v>111</v>
      </c>
      <c r="M8" s="367" t="s">
        <v>112</v>
      </c>
    </row>
    <row r="9" spans="1:13" s="361" customFormat="1" ht="16.5">
      <c r="A9" s="273"/>
      <c r="B9" s="154"/>
      <c r="C9" s="259" t="s">
        <v>233</v>
      </c>
      <c r="D9" s="91"/>
      <c r="E9" s="288"/>
      <c r="F9" s="170"/>
      <c r="G9" s="170"/>
      <c r="H9" s="170"/>
      <c r="I9" s="170"/>
      <c r="J9" s="170"/>
      <c r="K9" s="170"/>
      <c r="L9" s="170"/>
      <c r="M9" s="170"/>
    </row>
    <row r="10" spans="1:13" s="45" customFormat="1" ht="54">
      <c r="A10" s="1">
        <v>1</v>
      </c>
      <c r="B10" s="1" t="s">
        <v>470</v>
      </c>
      <c r="C10" s="19" t="s">
        <v>649</v>
      </c>
      <c r="D10" s="18" t="s">
        <v>130</v>
      </c>
      <c r="E10" s="13"/>
      <c r="F10" s="461">
        <v>2</v>
      </c>
      <c r="G10" s="176"/>
      <c r="H10" s="115"/>
      <c r="I10" s="115"/>
      <c r="J10" s="115"/>
      <c r="K10" s="115"/>
      <c r="L10" s="115"/>
      <c r="M10" s="115"/>
    </row>
    <row r="11" spans="1:13" s="22" customFormat="1" ht="14.25" customHeight="1">
      <c r="A11" s="1"/>
      <c r="B11" s="20"/>
      <c r="C11" s="19" t="s">
        <v>54</v>
      </c>
      <c r="D11" s="1" t="s">
        <v>366</v>
      </c>
      <c r="E11" s="1">
        <v>28.6</v>
      </c>
      <c r="F11" s="115">
        <f>F10*E11</f>
        <v>57.2</v>
      </c>
      <c r="G11" s="115"/>
      <c r="H11" s="115"/>
      <c r="I11" s="115">
        <v>6</v>
      </c>
      <c r="J11" s="115">
        <f>F11*I11</f>
        <v>343.20000000000005</v>
      </c>
      <c r="K11" s="115"/>
      <c r="L11" s="115"/>
      <c r="M11" s="115">
        <f>H11+J11+L11</f>
        <v>343.20000000000005</v>
      </c>
    </row>
    <row r="12" spans="1:13" s="361" customFormat="1" ht="13.5">
      <c r="A12" s="62"/>
      <c r="B12" s="20"/>
      <c r="C12" s="63" t="s">
        <v>99</v>
      </c>
      <c r="D12" s="65" t="s">
        <v>43</v>
      </c>
      <c r="E12" s="64">
        <v>1.43</v>
      </c>
      <c r="F12" s="131">
        <f>F10*E12</f>
        <v>2.86</v>
      </c>
      <c r="G12" s="131"/>
      <c r="H12" s="131"/>
      <c r="I12" s="131"/>
      <c r="J12" s="131"/>
      <c r="K12" s="131">
        <v>3.2</v>
      </c>
      <c r="L12" s="131">
        <f>F12*K12</f>
        <v>9.152</v>
      </c>
      <c r="M12" s="131">
        <f>H12+J12+L12</f>
        <v>9.152</v>
      </c>
    </row>
    <row r="13" spans="1:13" s="121" customFormat="1" ht="13.5">
      <c r="A13" s="1"/>
      <c r="B13" s="20"/>
      <c r="C13" s="19" t="s">
        <v>56</v>
      </c>
      <c r="D13" s="1"/>
      <c r="E13" s="13"/>
      <c r="F13" s="115"/>
      <c r="G13" s="115"/>
      <c r="H13" s="115"/>
      <c r="I13" s="115"/>
      <c r="J13" s="115"/>
      <c r="K13" s="115"/>
      <c r="L13" s="115"/>
      <c r="M13" s="115"/>
    </row>
    <row r="14" spans="1:13" s="121" customFormat="1" ht="54">
      <c r="A14" s="1"/>
      <c r="B14" s="20"/>
      <c r="C14" s="19" t="s">
        <v>648</v>
      </c>
      <c r="D14" s="18" t="s">
        <v>130</v>
      </c>
      <c r="E14" s="13">
        <v>1</v>
      </c>
      <c r="F14" s="115">
        <f>F10*E14</f>
        <v>2</v>
      </c>
      <c r="G14" s="115">
        <v>6500</v>
      </c>
      <c r="H14" s="115">
        <f>F14*G14</f>
        <v>13000</v>
      </c>
      <c r="I14" s="115"/>
      <c r="J14" s="115"/>
      <c r="K14" s="115"/>
      <c r="L14" s="115"/>
      <c r="M14" s="115">
        <f>H14+J14+L14</f>
        <v>13000</v>
      </c>
    </row>
    <row r="15" spans="1:13" s="361" customFormat="1" ht="13.5">
      <c r="A15" s="67"/>
      <c r="B15" s="153"/>
      <c r="C15" s="68" t="s">
        <v>57</v>
      </c>
      <c r="D15" s="69" t="s">
        <v>43</v>
      </c>
      <c r="E15" s="70">
        <v>5.16</v>
      </c>
      <c r="F15" s="132">
        <f>F10*E15</f>
        <v>10.32</v>
      </c>
      <c r="G15" s="132">
        <v>3.2</v>
      </c>
      <c r="H15" s="132">
        <f>F15*G15</f>
        <v>33.024</v>
      </c>
      <c r="I15" s="132"/>
      <c r="J15" s="132"/>
      <c r="K15" s="132"/>
      <c r="L15" s="132"/>
      <c r="M15" s="132">
        <f>H15+J15+L15</f>
        <v>33.024</v>
      </c>
    </row>
    <row r="16" spans="1:13" s="45" customFormat="1" ht="54">
      <c r="A16" s="1">
        <v>2</v>
      </c>
      <c r="B16" s="1" t="s">
        <v>470</v>
      </c>
      <c r="C16" s="19" t="s">
        <v>650</v>
      </c>
      <c r="D16" s="18" t="s">
        <v>130</v>
      </c>
      <c r="E16" s="13"/>
      <c r="F16" s="461">
        <v>1</v>
      </c>
      <c r="G16" s="176"/>
      <c r="H16" s="115"/>
      <c r="I16" s="115"/>
      <c r="J16" s="115"/>
      <c r="K16" s="115"/>
      <c r="L16" s="115"/>
      <c r="M16" s="115"/>
    </row>
    <row r="17" spans="1:13" s="22" customFormat="1" ht="14.25" customHeight="1">
      <c r="A17" s="1"/>
      <c r="B17" s="20"/>
      <c r="C17" s="19" t="s">
        <v>54</v>
      </c>
      <c r="D17" s="1" t="s">
        <v>366</v>
      </c>
      <c r="E17" s="1">
        <v>28.6</v>
      </c>
      <c r="F17" s="115">
        <f>F16*E17</f>
        <v>28.6</v>
      </c>
      <c r="G17" s="115"/>
      <c r="H17" s="115"/>
      <c r="I17" s="115">
        <v>6</v>
      </c>
      <c r="J17" s="115">
        <f>F17*I17</f>
        <v>171.60000000000002</v>
      </c>
      <c r="K17" s="115"/>
      <c r="L17" s="115"/>
      <c r="M17" s="115">
        <f>H17+J17+L17</f>
        <v>171.60000000000002</v>
      </c>
    </row>
    <row r="18" spans="1:13" s="361" customFormat="1" ht="13.5">
      <c r="A18" s="62"/>
      <c r="B18" s="20"/>
      <c r="C18" s="63" t="s">
        <v>99</v>
      </c>
      <c r="D18" s="65" t="s">
        <v>43</v>
      </c>
      <c r="E18" s="64">
        <v>1.43</v>
      </c>
      <c r="F18" s="131">
        <f>F16*E18</f>
        <v>1.43</v>
      </c>
      <c r="G18" s="131"/>
      <c r="H18" s="131"/>
      <c r="I18" s="131"/>
      <c r="J18" s="131"/>
      <c r="K18" s="131">
        <v>3.2</v>
      </c>
      <c r="L18" s="131">
        <f>F18*K18</f>
        <v>4.576</v>
      </c>
      <c r="M18" s="131">
        <f>H18+J18+L18</f>
        <v>4.576</v>
      </c>
    </row>
    <row r="19" spans="1:13" s="121" customFormat="1" ht="13.5">
      <c r="A19" s="1"/>
      <c r="B19" s="20"/>
      <c r="C19" s="19" t="s">
        <v>56</v>
      </c>
      <c r="D19" s="1"/>
      <c r="E19" s="13"/>
      <c r="F19" s="115"/>
      <c r="G19" s="115"/>
      <c r="H19" s="115"/>
      <c r="I19" s="115"/>
      <c r="J19" s="115"/>
      <c r="K19" s="115"/>
      <c r="L19" s="115"/>
      <c r="M19" s="115"/>
    </row>
    <row r="20" spans="1:13" s="121" customFormat="1" ht="54">
      <c r="A20" s="1"/>
      <c r="B20" s="20"/>
      <c r="C20" s="19" t="s">
        <v>650</v>
      </c>
      <c r="D20" s="18" t="s">
        <v>130</v>
      </c>
      <c r="E20" s="13">
        <v>1</v>
      </c>
      <c r="F20" s="115">
        <f>F16*E20</f>
        <v>1</v>
      </c>
      <c r="G20" s="115">
        <v>8500</v>
      </c>
      <c r="H20" s="115">
        <f>F20*G20</f>
        <v>8500</v>
      </c>
      <c r="I20" s="115"/>
      <c r="J20" s="115"/>
      <c r="K20" s="115"/>
      <c r="L20" s="115"/>
      <c r="M20" s="115">
        <f>H20+J20+L20</f>
        <v>8500</v>
      </c>
    </row>
    <row r="21" spans="1:13" s="361" customFormat="1" ht="13.5">
      <c r="A21" s="67"/>
      <c r="B21" s="153"/>
      <c r="C21" s="68" t="s">
        <v>57</v>
      </c>
      <c r="D21" s="69" t="s">
        <v>43</v>
      </c>
      <c r="E21" s="70">
        <v>5.16</v>
      </c>
      <c r="F21" s="132">
        <f>F16*E21</f>
        <v>5.16</v>
      </c>
      <c r="G21" s="132">
        <v>3.2</v>
      </c>
      <c r="H21" s="132">
        <f>F21*G21</f>
        <v>16.512</v>
      </c>
      <c r="I21" s="132"/>
      <c r="J21" s="132"/>
      <c r="K21" s="132"/>
      <c r="L21" s="132"/>
      <c r="M21" s="132">
        <f>H21+J21+L21</f>
        <v>16.512</v>
      </c>
    </row>
    <row r="22" spans="1:13" s="45" customFormat="1" ht="27">
      <c r="A22" s="1">
        <v>3</v>
      </c>
      <c r="B22" s="1" t="s">
        <v>652</v>
      </c>
      <c r="C22" s="19" t="s">
        <v>653</v>
      </c>
      <c r="D22" s="18" t="s">
        <v>130</v>
      </c>
      <c r="E22" s="14"/>
      <c r="F22" s="461">
        <v>4</v>
      </c>
      <c r="G22" s="176"/>
      <c r="H22" s="115"/>
      <c r="I22" s="115"/>
      <c r="J22" s="115"/>
      <c r="K22" s="115"/>
      <c r="L22" s="115"/>
      <c r="M22" s="115"/>
    </row>
    <row r="23" spans="1:13" s="22" customFormat="1" ht="14.25" customHeight="1">
      <c r="A23" s="1"/>
      <c r="B23" s="20"/>
      <c r="C23" s="19" t="s">
        <v>54</v>
      </c>
      <c r="D23" s="62" t="s">
        <v>55</v>
      </c>
      <c r="E23" s="1">
        <v>1.3</v>
      </c>
      <c r="F23" s="115">
        <f>F22*E23</f>
        <v>5.2</v>
      </c>
      <c r="G23" s="115"/>
      <c r="H23" s="115"/>
      <c r="I23" s="115">
        <v>6</v>
      </c>
      <c r="J23" s="115">
        <f>F23*I23</f>
        <v>31.200000000000003</v>
      </c>
      <c r="K23" s="115"/>
      <c r="L23" s="115"/>
      <c r="M23" s="115">
        <f>H23+J23+L23</f>
        <v>31.200000000000003</v>
      </c>
    </row>
    <row r="24" spans="1:13" s="361" customFormat="1" ht="13.5">
      <c r="A24" s="62"/>
      <c r="B24" s="20"/>
      <c r="C24" s="63" t="s">
        <v>99</v>
      </c>
      <c r="D24" s="65" t="s">
        <v>43</v>
      </c>
      <c r="E24" s="64">
        <v>0.1</v>
      </c>
      <c r="F24" s="131">
        <f>F22*E24</f>
        <v>0.4</v>
      </c>
      <c r="G24" s="131"/>
      <c r="H24" s="131"/>
      <c r="I24" s="131"/>
      <c r="J24" s="131"/>
      <c r="K24" s="131">
        <v>3.2</v>
      </c>
      <c r="L24" s="131">
        <f>F24*K24</f>
        <v>1.2800000000000002</v>
      </c>
      <c r="M24" s="131">
        <f>H24+J24+L24</f>
        <v>1.2800000000000002</v>
      </c>
    </row>
    <row r="25" spans="1:13" s="121" customFormat="1" ht="13.5">
      <c r="A25" s="1"/>
      <c r="B25" s="20"/>
      <c r="C25" s="19" t="s">
        <v>56</v>
      </c>
      <c r="D25" s="1"/>
      <c r="E25" s="1"/>
      <c r="F25" s="115"/>
      <c r="G25" s="115"/>
      <c r="H25" s="115"/>
      <c r="I25" s="115"/>
      <c r="J25" s="115"/>
      <c r="K25" s="115"/>
      <c r="L25" s="115"/>
      <c r="M25" s="115"/>
    </row>
    <row r="26" spans="1:13" s="121" customFormat="1" ht="13.5">
      <c r="A26" s="1"/>
      <c r="B26" s="20"/>
      <c r="C26" s="19" t="s">
        <v>651</v>
      </c>
      <c r="D26" s="18" t="s">
        <v>130</v>
      </c>
      <c r="E26" s="1">
        <v>1</v>
      </c>
      <c r="F26" s="115">
        <f>F22*E26</f>
        <v>4</v>
      </c>
      <c r="G26" s="115">
        <v>350</v>
      </c>
      <c r="H26" s="115">
        <f>F26*G26</f>
        <v>1400</v>
      </c>
      <c r="I26" s="115"/>
      <c r="J26" s="115"/>
      <c r="K26" s="115"/>
      <c r="L26" s="115"/>
      <c r="M26" s="115">
        <f>H26+J26+L26</f>
        <v>1400</v>
      </c>
    </row>
    <row r="27" spans="1:13" s="361" customFormat="1" ht="13.5">
      <c r="A27" s="67"/>
      <c r="B27" s="153"/>
      <c r="C27" s="68" t="s">
        <v>57</v>
      </c>
      <c r="D27" s="69" t="s">
        <v>43</v>
      </c>
      <c r="E27" s="70">
        <v>0.9</v>
      </c>
      <c r="F27" s="132">
        <f>F22*E27</f>
        <v>3.6</v>
      </c>
      <c r="G27" s="132">
        <v>3.2</v>
      </c>
      <c r="H27" s="132">
        <f>F27*G27</f>
        <v>11.520000000000001</v>
      </c>
      <c r="I27" s="132"/>
      <c r="J27" s="132"/>
      <c r="K27" s="132"/>
      <c r="L27" s="132"/>
      <c r="M27" s="132">
        <f>H27+J27+L27</f>
        <v>11.520000000000001</v>
      </c>
    </row>
    <row r="28" spans="1:13" s="45" customFormat="1" ht="27">
      <c r="A28" s="1">
        <v>4</v>
      </c>
      <c r="B28" s="1" t="s">
        <v>654</v>
      </c>
      <c r="C28" s="19" t="s">
        <v>655</v>
      </c>
      <c r="D28" s="18" t="s">
        <v>130</v>
      </c>
      <c r="E28" s="14"/>
      <c r="F28" s="461">
        <v>2</v>
      </c>
      <c r="G28" s="176"/>
      <c r="H28" s="115"/>
      <c r="I28" s="115"/>
      <c r="J28" s="115"/>
      <c r="K28" s="115"/>
      <c r="L28" s="115"/>
      <c r="M28" s="115"/>
    </row>
    <row r="29" spans="1:13" s="22" customFormat="1" ht="14.25" customHeight="1">
      <c r="A29" s="1"/>
      <c r="B29" s="20"/>
      <c r="C29" s="19" t="s">
        <v>54</v>
      </c>
      <c r="D29" s="62" t="s">
        <v>55</v>
      </c>
      <c r="E29" s="1">
        <v>1.96</v>
      </c>
      <c r="F29" s="115">
        <f>F28*E29</f>
        <v>3.92</v>
      </c>
      <c r="G29" s="115"/>
      <c r="H29" s="115"/>
      <c r="I29" s="115">
        <v>6</v>
      </c>
      <c r="J29" s="115">
        <f>F29*I29</f>
        <v>23.52</v>
      </c>
      <c r="K29" s="115"/>
      <c r="L29" s="115"/>
      <c r="M29" s="115">
        <f>H29+J29+L29</f>
        <v>23.52</v>
      </c>
    </row>
    <row r="30" spans="1:13" s="361" customFormat="1" ht="13.5">
      <c r="A30" s="62"/>
      <c r="B30" s="20"/>
      <c r="C30" s="63" t="s">
        <v>99</v>
      </c>
      <c r="D30" s="65" t="s">
        <v>43</v>
      </c>
      <c r="E30" s="64">
        <v>0.16</v>
      </c>
      <c r="F30" s="131">
        <f>F28*E30</f>
        <v>0.32</v>
      </c>
      <c r="G30" s="131"/>
      <c r="H30" s="131"/>
      <c r="I30" s="131"/>
      <c r="J30" s="131"/>
      <c r="K30" s="131">
        <v>3.2</v>
      </c>
      <c r="L30" s="131">
        <f>F30*K30</f>
        <v>1.024</v>
      </c>
      <c r="M30" s="131">
        <f>H30+J30+L30</f>
        <v>1.024</v>
      </c>
    </row>
    <row r="31" spans="1:13" s="121" customFormat="1" ht="13.5">
      <c r="A31" s="1"/>
      <c r="B31" s="20"/>
      <c r="C31" s="19" t="s">
        <v>56</v>
      </c>
      <c r="D31" s="1"/>
      <c r="E31" s="1"/>
      <c r="F31" s="115"/>
      <c r="G31" s="115"/>
      <c r="H31" s="115"/>
      <c r="I31" s="115"/>
      <c r="J31" s="115"/>
      <c r="K31" s="115"/>
      <c r="L31" s="115"/>
      <c r="M31" s="115"/>
    </row>
    <row r="32" spans="1:13" s="121" customFormat="1" ht="27">
      <c r="A32" s="1"/>
      <c r="B32" s="20"/>
      <c r="C32" s="19" t="s">
        <v>655</v>
      </c>
      <c r="D32" s="18" t="s">
        <v>130</v>
      </c>
      <c r="E32" s="1">
        <v>1</v>
      </c>
      <c r="F32" s="115">
        <f>F28*E32</f>
        <v>2</v>
      </c>
      <c r="G32" s="115">
        <v>400</v>
      </c>
      <c r="H32" s="115">
        <f>F32*G32</f>
        <v>800</v>
      </c>
      <c r="I32" s="115"/>
      <c r="J32" s="115"/>
      <c r="K32" s="115"/>
      <c r="L32" s="115"/>
      <c r="M32" s="115">
        <f>H32+J32+L32</f>
        <v>800</v>
      </c>
    </row>
    <row r="33" spans="1:13" s="361" customFormat="1" ht="13.5">
      <c r="A33" s="67"/>
      <c r="B33" s="153"/>
      <c r="C33" s="68" t="s">
        <v>57</v>
      </c>
      <c r="D33" s="69" t="s">
        <v>43</v>
      </c>
      <c r="E33" s="70">
        <v>1.78</v>
      </c>
      <c r="F33" s="132">
        <f>F28*E33</f>
        <v>3.56</v>
      </c>
      <c r="G33" s="132">
        <v>3.2</v>
      </c>
      <c r="H33" s="132">
        <f>F33*G33</f>
        <v>11.392000000000001</v>
      </c>
      <c r="I33" s="132"/>
      <c r="J33" s="132"/>
      <c r="K33" s="132"/>
      <c r="L33" s="132"/>
      <c r="M33" s="132">
        <f>H33+J33+L33</f>
        <v>11.392000000000001</v>
      </c>
    </row>
    <row r="34" spans="1:13" s="45" customFormat="1" ht="27">
      <c r="A34" s="1">
        <v>5</v>
      </c>
      <c r="B34" s="27" t="s">
        <v>86</v>
      </c>
      <c r="C34" s="19" t="s">
        <v>860</v>
      </c>
      <c r="D34" s="18" t="s">
        <v>130</v>
      </c>
      <c r="E34" s="14"/>
      <c r="F34" s="461">
        <v>3</v>
      </c>
      <c r="G34" s="176"/>
      <c r="H34" s="115"/>
      <c r="I34" s="115"/>
      <c r="J34" s="115"/>
      <c r="K34" s="115"/>
      <c r="L34" s="115"/>
      <c r="M34" s="115"/>
    </row>
    <row r="35" spans="1:13" s="22" customFormat="1" ht="14.25" customHeight="1">
      <c r="A35" s="1"/>
      <c r="B35" s="20"/>
      <c r="C35" s="19" t="s">
        <v>54</v>
      </c>
      <c r="D35" s="18" t="s">
        <v>130</v>
      </c>
      <c r="E35" s="1">
        <v>1</v>
      </c>
      <c r="F35" s="115">
        <f>F34*E35</f>
        <v>3</v>
      </c>
      <c r="G35" s="115"/>
      <c r="H35" s="115"/>
      <c r="I35" s="115">
        <v>10</v>
      </c>
      <c r="J35" s="115">
        <f>F35*I35</f>
        <v>30</v>
      </c>
      <c r="K35" s="115"/>
      <c r="L35" s="115"/>
      <c r="M35" s="115">
        <f>H35+J35+L35</f>
        <v>30</v>
      </c>
    </row>
    <row r="36" spans="1:13" s="121" customFormat="1" ht="27">
      <c r="A36" s="1"/>
      <c r="B36" s="20"/>
      <c r="C36" s="19" t="s">
        <v>861</v>
      </c>
      <c r="D36" s="18" t="s">
        <v>130</v>
      </c>
      <c r="E36" s="1">
        <v>1</v>
      </c>
      <c r="F36" s="115">
        <f>F34*E36</f>
        <v>3</v>
      </c>
      <c r="G36" s="115">
        <v>100</v>
      </c>
      <c r="H36" s="115">
        <f>F36*G36</f>
        <v>300</v>
      </c>
      <c r="I36" s="115"/>
      <c r="J36" s="115"/>
      <c r="K36" s="115"/>
      <c r="L36" s="115"/>
      <c r="M36" s="115">
        <f>H36+J36+L36</f>
        <v>300</v>
      </c>
    </row>
    <row r="37" spans="1:13" s="71" customFormat="1" ht="27">
      <c r="A37" s="28">
        <v>6</v>
      </c>
      <c r="B37" s="27" t="s">
        <v>86</v>
      </c>
      <c r="C37" s="117" t="s">
        <v>641</v>
      </c>
      <c r="D37" s="152" t="s">
        <v>115</v>
      </c>
      <c r="E37" s="30"/>
      <c r="F37" s="462">
        <v>50</v>
      </c>
      <c r="G37" s="195"/>
      <c r="H37" s="133"/>
      <c r="I37" s="133"/>
      <c r="J37" s="133"/>
      <c r="K37" s="133"/>
      <c r="L37" s="133"/>
      <c r="M37" s="133"/>
    </row>
    <row r="38" spans="1:13" s="221" customFormat="1" ht="15.75" customHeight="1">
      <c r="A38" s="1"/>
      <c r="B38" s="12"/>
      <c r="C38" s="19" t="s">
        <v>141</v>
      </c>
      <c r="D38" s="18" t="s">
        <v>115</v>
      </c>
      <c r="E38" s="13">
        <v>1</v>
      </c>
      <c r="F38" s="115">
        <f>F37*E38</f>
        <v>50</v>
      </c>
      <c r="G38" s="177"/>
      <c r="H38" s="162"/>
      <c r="I38" s="115">
        <v>3</v>
      </c>
      <c r="J38" s="115">
        <v>108</v>
      </c>
      <c r="K38" s="115"/>
      <c r="L38" s="115"/>
      <c r="M38" s="115">
        <v>108</v>
      </c>
    </row>
    <row r="39" spans="1:13" s="221" customFormat="1" ht="15.75" customHeight="1">
      <c r="A39" s="37"/>
      <c r="B39" s="222"/>
      <c r="C39" s="123" t="s">
        <v>641</v>
      </c>
      <c r="D39" s="219" t="s">
        <v>121</v>
      </c>
      <c r="E39" s="124">
        <v>1</v>
      </c>
      <c r="F39" s="129">
        <f>F37*E39</f>
        <v>50</v>
      </c>
      <c r="G39" s="129">
        <v>12</v>
      </c>
      <c r="H39" s="129">
        <f>G39*F39</f>
        <v>600</v>
      </c>
      <c r="I39" s="129"/>
      <c r="J39" s="129"/>
      <c r="K39" s="129"/>
      <c r="L39" s="129"/>
      <c r="M39" s="129">
        <f>H39</f>
        <v>600</v>
      </c>
    </row>
    <row r="40" spans="1:13" s="146" customFormat="1" ht="27">
      <c r="A40" s="28">
        <v>7</v>
      </c>
      <c r="B40" s="27" t="s">
        <v>469</v>
      </c>
      <c r="C40" s="43" t="s">
        <v>471</v>
      </c>
      <c r="D40" s="152" t="s">
        <v>64</v>
      </c>
      <c r="E40" s="28"/>
      <c r="F40" s="462">
        <v>280</v>
      </c>
      <c r="G40" s="195"/>
      <c r="H40" s="220"/>
      <c r="I40" s="133"/>
      <c r="J40" s="133"/>
      <c r="K40" s="133"/>
      <c r="L40" s="133"/>
      <c r="M40" s="133"/>
    </row>
    <row r="41" spans="1:13" s="146" customFormat="1" ht="14.25" customHeight="1">
      <c r="A41" s="1"/>
      <c r="B41" s="12"/>
      <c r="C41" s="19" t="s">
        <v>141</v>
      </c>
      <c r="D41" s="18" t="s">
        <v>55</v>
      </c>
      <c r="E41" s="14">
        <v>1.54</v>
      </c>
      <c r="F41" s="115">
        <f>F40*E41</f>
        <v>431.2</v>
      </c>
      <c r="G41" s="176"/>
      <c r="H41" s="162"/>
      <c r="I41" s="115">
        <v>6</v>
      </c>
      <c r="J41" s="115">
        <f>F41*I41</f>
        <v>2587.2</v>
      </c>
      <c r="K41" s="115"/>
      <c r="L41" s="115"/>
      <c r="M41" s="115">
        <f>H41+J41+L41</f>
        <v>2587.2</v>
      </c>
    </row>
    <row r="42" spans="1:13" s="146" customFormat="1" ht="14.25" customHeight="1">
      <c r="A42" s="1"/>
      <c r="B42" s="257"/>
      <c r="C42" s="19" t="s">
        <v>99</v>
      </c>
      <c r="D42" s="18" t="s">
        <v>43</v>
      </c>
      <c r="E42" s="14">
        <v>0.0373</v>
      </c>
      <c r="F42" s="115">
        <f>F40*E42</f>
        <v>10.443999999999999</v>
      </c>
      <c r="G42" s="176"/>
      <c r="H42" s="115"/>
      <c r="I42" s="115"/>
      <c r="J42" s="115"/>
      <c r="K42" s="115">
        <v>3.2</v>
      </c>
      <c r="L42" s="115">
        <f>F42*K42</f>
        <v>33.4208</v>
      </c>
      <c r="M42" s="115">
        <f>H42+J42+L42</f>
        <v>33.4208</v>
      </c>
    </row>
    <row r="43" spans="1:13" s="146" customFormat="1" ht="14.25" customHeight="1">
      <c r="A43" s="1"/>
      <c r="B43" s="257"/>
      <c r="C43" s="19" t="s">
        <v>56</v>
      </c>
      <c r="D43" s="18"/>
      <c r="E43" s="14"/>
      <c r="F43" s="115"/>
      <c r="G43" s="176"/>
      <c r="H43" s="115"/>
      <c r="I43" s="115"/>
      <c r="J43" s="115"/>
      <c r="K43" s="115"/>
      <c r="L43" s="115"/>
      <c r="M43" s="115"/>
    </row>
    <row r="44" spans="1:13" s="146" customFormat="1" ht="14.25" customHeight="1">
      <c r="A44" s="1"/>
      <c r="B44" s="257"/>
      <c r="C44" s="19" t="s">
        <v>468</v>
      </c>
      <c r="D44" s="18" t="s">
        <v>64</v>
      </c>
      <c r="E44" s="14">
        <v>1</v>
      </c>
      <c r="F44" s="115">
        <f>F40*E44</f>
        <v>280</v>
      </c>
      <c r="G44" s="115">
        <v>34.5</v>
      </c>
      <c r="H44" s="115">
        <f>F44*G44</f>
        <v>9660</v>
      </c>
      <c r="I44" s="115"/>
      <c r="J44" s="115"/>
      <c r="K44" s="115"/>
      <c r="L44" s="115"/>
      <c r="M44" s="115">
        <f>H44+J44+L44</f>
        <v>9660</v>
      </c>
    </row>
    <row r="45" spans="1:13" s="146" customFormat="1" ht="14.25" customHeight="1">
      <c r="A45" s="1"/>
      <c r="B45" s="257"/>
      <c r="C45" s="19" t="s">
        <v>202</v>
      </c>
      <c r="D45" s="18" t="s">
        <v>65</v>
      </c>
      <c r="E45" s="14">
        <v>0.65</v>
      </c>
      <c r="F45" s="115">
        <f>F40*E45</f>
        <v>182</v>
      </c>
      <c r="G45" s="115">
        <v>3.5</v>
      </c>
      <c r="H45" s="115">
        <f>F45*G45</f>
        <v>637</v>
      </c>
      <c r="I45" s="115"/>
      <c r="J45" s="115"/>
      <c r="K45" s="115"/>
      <c r="L45" s="115"/>
      <c r="M45" s="115">
        <f>H45+J45+L45</f>
        <v>637</v>
      </c>
    </row>
    <row r="46" spans="1:13" s="146" customFormat="1" ht="13.5" customHeight="1">
      <c r="A46" s="37"/>
      <c r="B46" s="222"/>
      <c r="C46" s="123" t="s">
        <v>57</v>
      </c>
      <c r="D46" s="219" t="s">
        <v>43</v>
      </c>
      <c r="E46" s="44">
        <v>0.169</v>
      </c>
      <c r="F46" s="129">
        <f>F40*E46</f>
        <v>47.32</v>
      </c>
      <c r="G46" s="129">
        <v>3.2</v>
      </c>
      <c r="H46" s="129">
        <f>F46*G46</f>
        <v>151.424</v>
      </c>
      <c r="I46" s="129"/>
      <c r="J46" s="129"/>
      <c r="K46" s="129"/>
      <c r="L46" s="129"/>
      <c r="M46" s="129">
        <f>H46+J46+L46</f>
        <v>151.424</v>
      </c>
    </row>
    <row r="47" spans="1:13" s="22" customFormat="1" ht="27">
      <c r="A47" s="28">
        <v>8</v>
      </c>
      <c r="B47" s="369" t="s">
        <v>132</v>
      </c>
      <c r="C47" s="43" t="s">
        <v>642</v>
      </c>
      <c r="D47" s="28" t="s">
        <v>66</v>
      </c>
      <c r="E47" s="118"/>
      <c r="F47" s="462">
        <f>250*0.05</f>
        <v>12.5</v>
      </c>
      <c r="G47" s="133"/>
      <c r="H47" s="133"/>
      <c r="I47" s="133"/>
      <c r="J47" s="133"/>
      <c r="K47" s="133"/>
      <c r="L47" s="133"/>
      <c r="M47" s="133"/>
    </row>
    <row r="48" spans="1:13" s="22" customFormat="1" ht="13.5">
      <c r="A48" s="1"/>
      <c r="B48" s="12"/>
      <c r="C48" s="19" t="s">
        <v>133</v>
      </c>
      <c r="D48" s="1" t="s">
        <v>55</v>
      </c>
      <c r="E48" s="14">
        <v>13.8</v>
      </c>
      <c r="F48" s="115">
        <f>F47*E48</f>
        <v>172.5</v>
      </c>
      <c r="G48" s="115"/>
      <c r="H48" s="162"/>
      <c r="I48" s="115">
        <v>6</v>
      </c>
      <c r="J48" s="115">
        <f>F48*I48</f>
        <v>1035</v>
      </c>
      <c r="K48" s="115"/>
      <c r="L48" s="115"/>
      <c r="M48" s="115">
        <f>H48+J48+L48</f>
        <v>1035</v>
      </c>
    </row>
    <row r="49" spans="1:13" s="135" customFormat="1" ht="13.5">
      <c r="A49" s="1"/>
      <c r="B49" s="20"/>
      <c r="C49" s="19" t="s">
        <v>116</v>
      </c>
      <c r="D49" s="1" t="s">
        <v>43</v>
      </c>
      <c r="E49" s="14">
        <v>0.17</v>
      </c>
      <c r="F49" s="115">
        <f>F47*E49</f>
        <v>2.125</v>
      </c>
      <c r="G49" s="115"/>
      <c r="H49" s="115"/>
      <c r="I49" s="115"/>
      <c r="J49" s="115"/>
      <c r="K49" s="115">
        <v>3.2</v>
      </c>
      <c r="L49" s="115">
        <f>F49*K49</f>
        <v>6.800000000000001</v>
      </c>
      <c r="M49" s="115">
        <f>H49+J49+L49</f>
        <v>6.800000000000001</v>
      </c>
    </row>
    <row r="50" spans="1:13" s="22" customFormat="1" ht="13.5">
      <c r="A50" s="1"/>
      <c r="B50" s="20"/>
      <c r="C50" s="19" t="s">
        <v>56</v>
      </c>
      <c r="D50" s="1"/>
      <c r="E50" s="14"/>
      <c r="F50" s="115"/>
      <c r="G50" s="115"/>
      <c r="H50" s="115"/>
      <c r="I50" s="115"/>
      <c r="J50" s="115"/>
      <c r="K50" s="115"/>
      <c r="L50" s="115"/>
      <c r="M50" s="115"/>
    </row>
    <row r="51" spans="1:13" s="22" customFormat="1" ht="13.5" customHeight="1">
      <c r="A51" s="1"/>
      <c r="B51" s="20"/>
      <c r="C51" s="19" t="s">
        <v>643</v>
      </c>
      <c r="D51" s="1" t="s">
        <v>64</v>
      </c>
      <c r="E51" s="14">
        <v>1.03</v>
      </c>
      <c r="F51" s="115">
        <f>F47/0.05*E51</f>
        <v>257.5</v>
      </c>
      <c r="G51" s="115">
        <v>5.7</v>
      </c>
      <c r="H51" s="115">
        <f>F51*G51</f>
        <v>1467.75</v>
      </c>
      <c r="I51" s="115"/>
      <c r="J51" s="115"/>
      <c r="K51" s="115"/>
      <c r="L51" s="115"/>
      <c r="M51" s="115">
        <f>H51+J51+L51</f>
        <v>1467.75</v>
      </c>
    </row>
    <row r="52" spans="1:13" s="22" customFormat="1" ht="13.5">
      <c r="A52" s="1"/>
      <c r="B52" s="20"/>
      <c r="C52" s="19" t="s">
        <v>134</v>
      </c>
      <c r="D52" s="1" t="s">
        <v>65</v>
      </c>
      <c r="E52" s="14">
        <v>10.6</v>
      </c>
      <c r="F52" s="115">
        <f>F47*E52</f>
        <v>132.5</v>
      </c>
      <c r="G52" s="115">
        <v>1.9</v>
      </c>
      <c r="H52" s="115">
        <f>F52*G52</f>
        <v>251.75</v>
      </c>
      <c r="I52" s="115"/>
      <c r="J52" s="115"/>
      <c r="K52" s="115"/>
      <c r="L52" s="115"/>
      <c r="M52" s="115">
        <f>H52+J52+L52</f>
        <v>251.75</v>
      </c>
    </row>
    <row r="53" spans="1:13" s="22" customFormat="1" ht="13.5">
      <c r="A53" s="1"/>
      <c r="B53" s="12"/>
      <c r="C53" s="19" t="s">
        <v>135</v>
      </c>
      <c r="D53" s="1" t="s">
        <v>65</v>
      </c>
      <c r="E53" s="14">
        <v>1</v>
      </c>
      <c r="F53" s="115">
        <f>F47*E53</f>
        <v>12.5</v>
      </c>
      <c r="G53" s="115">
        <v>2.2</v>
      </c>
      <c r="H53" s="115">
        <f>F53*G53</f>
        <v>27.500000000000004</v>
      </c>
      <c r="I53" s="115"/>
      <c r="J53" s="115"/>
      <c r="K53" s="115"/>
      <c r="L53" s="115"/>
      <c r="M53" s="115">
        <f>H53+J53+L53</f>
        <v>27.500000000000004</v>
      </c>
    </row>
    <row r="54" spans="1:13" s="22" customFormat="1" ht="13.5">
      <c r="A54" s="37"/>
      <c r="B54" s="370"/>
      <c r="C54" s="123" t="s">
        <v>57</v>
      </c>
      <c r="D54" s="37" t="s">
        <v>43</v>
      </c>
      <c r="E54" s="44">
        <v>0.9</v>
      </c>
      <c r="F54" s="129">
        <f>F47*E54</f>
        <v>11.25</v>
      </c>
      <c r="G54" s="129">
        <v>3.2</v>
      </c>
      <c r="H54" s="129">
        <f>F54*G54</f>
        <v>36</v>
      </c>
      <c r="I54" s="129"/>
      <c r="J54" s="129"/>
      <c r="K54" s="129"/>
      <c r="L54" s="129"/>
      <c r="M54" s="129">
        <f>H54+J54+L54</f>
        <v>36</v>
      </c>
    </row>
    <row r="55" spans="1:13" s="146" customFormat="1" ht="40.5">
      <c r="A55" s="28">
        <v>9</v>
      </c>
      <c r="B55" s="27" t="s">
        <v>201</v>
      </c>
      <c r="C55" s="43" t="s">
        <v>660</v>
      </c>
      <c r="D55" s="152" t="s">
        <v>115</v>
      </c>
      <c r="E55" s="118"/>
      <c r="F55" s="462">
        <v>24</v>
      </c>
      <c r="G55" s="159"/>
      <c r="H55" s="160"/>
      <c r="I55" s="30"/>
      <c r="J55" s="30"/>
      <c r="K55" s="30"/>
      <c r="L55" s="30"/>
      <c r="M55" s="30"/>
    </row>
    <row r="56" spans="1:13" s="146" customFormat="1" ht="14.25" customHeight="1">
      <c r="A56" s="1"/>
      <c r="B56" s="12"/>
      <c r="C56" s="19" t="s">
        <v>94</v>
      </c>
      <c r="D56" s="18" t="s">
        <v>55</v>
      </c>
      <c r="E56" s="14">
        <v>0.609</v>
      </c>
      <c r="F56" s="13">
        <f>F55*E56</f>
        <v>14.616</v>
      </c>
      <c r="G56" s="158"/>
      <c r="H56" s="107"/>
      <c r="I56" s="13">
        <v>4.6</v>
      </c>
      <c r="J56" s="13">
        <f>F56*I56</f>
        <v>67.2336</v>
      </c>
      <c r="K56" s="13"/>
      <c r="L56" s="13"/>
      <c r="M56" s="13">
        <f>H56+J56+L56</f>
        <v>67.2336</v>
      </c>
    </row>
    <row r="57" spans="1:13" s="146" customFormat="1" ht="14.25" customHeight="1">
      <c r="A57" s="1"/>
      <c r="B57" s="257"/>
      <c r="C57" s="19" t="s">
        <v>116</v>
      </c>
      <c r="D57" s="18" t="s">
        <v>43</v>
      </c>
      <c r="E57" s="14">
        <v>0.0021</v>
      </c>
      <c r="F57" s="13">
        <f>F55*E57</f>
        <v>0.0504</v>
      </c>
      <c r="G57" s="158"/>
      <c r="H57" s="13"/>
      <c r="I57" s="13"/>
      <c r="J57" s="13"/>
      <c r="K57" s="13">
        <v>3.2</v>
      </c>
      <c r="L57" s="13">
        <f>F57*K57</f>
        <v>0.16128</v>
      </c>
      <c r="M57" s="13">
        <f>H57+J57+L57</f>
        <v>0.16128</v>
      </c>
    </row>
    <row r="58" spans="1:13" s="146" customFormat="1" ht="14.25" customHeight="1">
      <c r="A58" s="1"/>
      <c r="B58" s="257"/>
      <c r="C58" s="19" t="s">
        <v>56</v>
      </c>
      <c r="D58" s="18"/>
      <c r="E58" s="14"/>
      <c r="F58" s="13"/>
      <c r="G58" s="158"/>
      <c r="H58" s="13"/>
      <c r="I58" s="13"/>
      <c r="J58" s="13"/>
      <c r="K58" s="13"/>
      <c r="L58" s="13"/>
      <c r="M58" s="13"/>
    </row>
    <row r="59" spans="1:13" s="146" customFormat="1" ht="14.25" customHeight="1">
      <c r="A59" s="1"/>
      <c r="B59" s="257"/>
      <c r="C59" s="19" t="s">
        <v>646</v>
      </c>
      <c r="D59" s="18" t="s">
        <v>115</v>
      </c>
      <c r="E59" s="1">
        <v>1</v>
      </c>
      <c r="F59" s="13">
        <f>F55*E59</f>
        <v>24</v>
      </c>
      <c r="G59" s="13">
        <v>1.7</v>
      </c>
      <c r="H59" s="13">
        <f>F59*G59</f>
        <v>40.8</v>
      </c>
      <c r="I59" s="13"/>
      <c r="J59" s="13"/>
      <c r="K59" s="13"/>
      <c r="L59" s="13"/>
      <c r="M59" s="13">
        <f>H59+J59+L59</f>
        <v>40.8</v>
      </c>
    </row>
    <row r="60" spans="1:13" s="146" customFormat="1" ht="15" customHeight="1">
      <c r="A60" s="1"/>
      <c r="B60" s="257"/>
      <c r="C60" s="19" t="s">
        <v>57</v>
      </c>
      <c r="D60" s="18" t="s">
        <v>43</v>
      </c>
      <c r="E60" s="14">
        <v>0.156</v>
      </c>
      <c r="F60" s="13">
        <f>F55*E60</f>
        <v>3.7439999999999998</v>
      </c>
      <c r="G60" s="13">
        <v>3.2</v>
      </c>
      <c r="H60" s="13">
        <f>F60*G60</f>
        <v>11.9808</v>
      </c>
      <c r="I60" s="13"/>
      <c r="J60" s="13"/>
      <c r="K60" s="13"/>
      <c r="L60" s="13"/>
      <c r="M60" s="13">
        <f>H60+J60+L60</f>
        <v>11.9808</v>
      </c>
    </row>
    <row r="61" spans="1:13" s="71" customFormat="1" ht="18" customHeight="1">
      <c r="A61" s="28">
        <v>10</v>
      </c>
      <c r="B61" s="258" t="s">
        <v>234</v>
      </c>
      <c r="C61" s="117" t="s">
        <v>657</v>
      </c>
      <c r="D61" s="152" t="s">
        <v>121</v>
      </c>
      <c r="E61" s="30"/>
      <c r="F61" s="166">
        <v>6</v>
      </c>
      <c r="G61" s="195"/>
      <c r="H61" s="133"/>
      <c r="I61" s="133"/>
      <c r="J61" s="133"/>
      <c r="K61" s="133"/>
      <c r="L61" s="133"/>
      <c r="M61" s="133"/>
    </row>
    <row r="62" spans="1:13" s="221" customFormat="1" ht="15.75" customHeight="1">
      <c r="A62" s="1"/>
      <c r="B62" s="12"/>
      <c r="C62" s="19" t="s">
        <v>141</v>
      </c>
      <c r="D62" s="1" t="s">
        <v>366</v>
      </c>
      <c r="E62" s="13">
        <v>1.34</v>
      </c>
      <c r="F62" s="115">
        <f>F61*E62</f>
        <v>8.040000000000001</v>
      </c>
      <c r="G62" s="177"/>
      <c r="H62" s="162"/>
      <c r="I62" s="115">
        <v>6</v>
      </c>
      <c r="J62" s="115">
        <f>F62*I62</f>
        <v>48.24000000000001</v>
      </c>
      <c r="K62" s="115"/>
      <c r="L62" s="115"/>
      <c r="M62" s="115">
        <f>H62+J62+L62</f>
        <v>48.24000000000001</v>
      </c>
    </row>
    <row r="63" spans="1:13" s="221" customFormat="1" ht="15.75" customHeight="1">
      <c r="A63" s="1"/>
      <c r="B63" s="257"/>
      <c r="C63" s="19" t="s">
        <v>99</v>
      </c>
      <c r="D63" s="18" t="s">
        <v>235</v>
      </c>
      <c r="E63" s="13">
        <v>0.05</v>
      </c>
      <c r="F63" s="115">
        <f>F61*E63</f>
        <v>0.30000000000000004</v>
      </c>
      <c r="G63" s="115"/>
      <c r="H63" s="115"/>
      <c r="I63" s="176"/>
      <c r="J63" s="115"/>
      <c r="K63" s="115">
        <v>3.2</v>
      </c>
      <c r="L63" s="115">
        <f>F63*K63</f>
        <v>0.9600000000000002</v>
      </c>
      <c r="M63" s="115">
        <f>H63+J63+L63</f>
        <v>0.9600000000000002</v>
      </c>
    </row>
    <row r="64" spans="1:13" s="221" customFormat="1" ht="13.5" customHeight="1">
      <c r="A64" s="1"/>
      <c r="B64" s="257"/>
      <c r="C64" s="19" t="s">
        <v>56</v>
      </c>
      <c r="D64" s="18"/>
      <c r="E64" s="13"/>
      <c r="F64" s="115"/>
      <c r="G64" s="177"/>
      <c r="H64" s="115"/>
      <c r="I64" s="115"/>
      <c r="J64" s="115"/>
      <c r="K64" s="115"/>
      <c r="L64" s="115"/>
      <c r="M64" s="115"/>
    </row>
    <row r="65" spans="1:13" s="221" customFormat="1" ht="15.75" customHeight="1">
      <c r="A65" s="1"/>
      <c r="B65" s="257"/>
      <c r="C65" s="19" t="s">
        <v>657</v>
      </c>
      <c r="D65" s="18" t="s">
        <v>121</v>
      </c>
      <c r="E65" s="13">
        <v>1</v>
      </c>
      <c r="F65" s="115">
        <f>F61*E65</f>
        <v>6</v>
      </c>
      <c r="G65" s="115">
        <v>75</v>
      </c>
      <c r="H65" s="115">
        <f>F65*G65</f>
        <v>450</v>
      </c>
      <c r="I65" s="115"/>
      <c r="J65" s="115"/>
      <c r="K65" s="115"/>
      <c r="L65" s="115"/>
      <c r="M65" s="115">
        <f>H65+J65+L65</f>
        <v>450</v>
      </c>
    </row>
    <row r="66" spans="1:13" s="221" customFormat="1" ht="15" customHeight="1">
      <c r="A66" s="37"/>
      <c r="B66" s="222"/>
      <c r="C66" s="123" t="s">
        <v>57</v>
      </c>
      <c r="D66" s="37" t="s">
        <v>43</v>
      </c>
      <c r="E66" s="124">
        <v>0.16</v>
      </c>
      <c r="F66" s="129">
        <f>F61*E66</f>
        <v>0.96</v>
      </c>
      <c r="G66" s="129">
        <v>3.2</v>
      </c>
      <c r="H66" s="129">
        <f>F66*G66</f>
        <v>3.072</v>
      </c>
      <c r="I66" s="129"/>
      <c r="J66" s="129"/>
      <c r="K66" s="129"/>
      <c r="L66" s="129"/>
      <c r="M66" s="129">
        <f>H66+J66+L66</f>
        <v>3.072</v>
      </c>
    </row>
    <row r="67" spans="1:13" s="45" customFormat="1" ht="13.5">
      <c r="A67" s="28">
        <v>11</v>
      </c>
      <c r="B67" s="258" t="s">
        <v>659</v>
      </c>
      <c r="C67" s="117" t="s">
        <v>658</v>
      </c>
      <c r="D67" s="152" t="s">
        <v>59</v>
      </c>
      <c r="E67" s="118"/>
      <c r="F67" s="166">
        <v>8</v>
      </c>
      <c r="G67" s="195"/>
      <c r="H67" s="133"/>
      <c r="I67" s="133"/>
      <c r="J67" s="133"/>
      <c r="K67" s="133"/>
      <c r="L67" s="133"/>
      <c r="M67" s="133"/>
    </row>
    <row r="68" spans="1:13" s="146" customFormat="1" ht="15.75" customHeight="1">
      <c r="A68" s="1"/>
      <c r="B68" s="12"/>
      <c r="C68" s="19" t="s">
        <v>141</v>
      </c>
      <c r="D68" s="18" t="s">
        <v>55</v>
      </c>
      <c r="E68" s="14">
        <v>2.07</v>
      </c>
      <c r="F68" s="115">
        <f>F67*E68</f>
        <v>16.56</v>
      </c>
      <c r="G68" s="115"/>
      <c r="H68" s="162"/>
      <c r="I68" s="115">
        <v>6</v>
      </c>
      <c r="J68" s="115">
        <f>F68*I68</f>
        <v>99.35999999999999</v>
      </c>
      <c r="K68" s="115"/>
      <c r="L68" s="115"/>
      <c r="M68" s="115">
        <f>H68+J68+L68</f>
        <v>99.35999999999999</v>
      </c>
    </row>
    <row r="69" spans="1:13" s="146" customFormat="1" ht="15.75" customHeight="1">
      <c r="A69" s="1"/>
      <c r="B69" s="257"/>
      <c r="C69" s="19" t="s">
        <v>99</v>
      </c>
      <c r="D69" s="18" t="s">
        <v>43</v>
      </c>
      <c r="E69" s="14">
        <v>0.05</v>
      </c>
      <c r="F69" s="115">
        <f>F67*E69</f>
        <v>0.4</v>
      </c>
      <c r="G69" s="115"/>
      <c r="H69" s="115"/>
      <c r="I69" s="115"/>
      <c r="J69" s="115"/>
      <c r="K69" s="115">
        <v>3.2</v>
      </c>
      <c r="L69" s="115">
        <f>F69*K69</f>
        <v>1.2800000000000002</v>
      </c>
      <c r="M69" s="115">
        <f>H69+J69+L69</f>
        <v>1.2800000000000002</v>
      </c>
    </row>
    <row r="70" spans="1:13" s="146" customFormat="1" ht="13.5" customHeight="1">
      <c r="A70" s="1"/>
      <c r="B70" s="257"/>
      <c r="C70" s="19" t="s">
        <v>56</v>
      </c>
      <c r="D70" s="18"/>
      <c r="E70" s="14"/>
      <c r="F70" s="115"/>
      <c r="G70" s="115"/>
      <c r="H70" s="115"/>
      <c r="I70" s="115"/>
      <c r="J70" s="115"/>
      <c r="K70" s="115"/>
      <c r="L70" s="115"/>
      <c r="M70" s="115"/>
    </row>
    <row r="71" spans="1:13" s="146" customFormat="1" ht="13.5">
      <c r="A71" s="1"/>
      <c r="B71" s="257"/>
      <c r="C71" s="117" t="s">
        <v>658</v>
      </c>
      <c r="D71" s="18" t="s">
        <v>59</v>
      </c>
      <c r="E71" s="1">
        <v>1</v>
      </c>
      <c r="F71" s="115">
        <f>F67*E71</f>
        <v>8</v>
      </c>
      <c r="G71" s="115">
        <v>50</v>
      </c>
      <c r="H71" s="115">
        <f>F71*G71</f>
        <v>400</v>
      </c>
      <c r="I71" s="115"/>
      <c r="J71" s="115"/>
      <c r="K71" s="115"/>
      <c r="L71" s="115"/>
      <c r="M71" s="115">
        <f>H71+J71+L71</f>
        <v>400</v>
      </c>
    </row>
    <row r="72" spans="1:13" s="146" customFormat="1" ht="13.5" customHeight="1">
      <c r="A72" s="1"/>
      <c r="B72" s="257"/>
      <c r="C72" s="19" t="s">
        <v>57</v>
      </c>
      <c r="D72" s="1" t="s">
        <v>43</v>
      </c>
      <c r="E72" s="14">
        <v>0.44</v>
      </c>
      <c r="F72" s="115">
        <f>F67*E72</f>
        <v>3.52</v>
      </c>
      <c r="G72" s="115">
        <v>3.2</v>
      </c>
      <c r="H72" s="115">
        <f>F72*G72</f>
        <v>11.264000000000001</v>
      </c>
      <c r="I72" s="115"/>
      <c r="J72" s="115"/>
      <c r="K72" s="115"/>
      <c r="L72" s="115"/>
      <c r="M72" s="115">
        <f>H72+J72+L72</f>
        <v>11.264000000000001</v>
      </c>
    </row>
    <row r="73" spans="1:13" s="45" customFormat="1" ht="13.5">
      <c r="A73" s="28">
        <v>10</v>
      </c>
      <c r="B73" s="258" t="s">
        <v>644</v>
      </c>
      <c r="C73" s="117" t="s">
        <v>645</v>
      </c>
      <c r="D73" s="152" t="s">
        <v>59</v>
      </c>
      <c r="E73" s="118"/>
      <c r="F73" s="166">
        <v>2</v>
      </c>
      <c r="G73" s="195"/>
      <c r="H73" s="133"/>
      <c r="I73" s="133"/>
      <c r="J73" s="133"/>
      <c r="K73" s="133"/>
      <c r="L73" s="133"/>
      <c r="M73" s="133"/>
    </row>
    <row r="74" spans="1:13" s="146" customFormat="1" ht="15.75" customHeight="1">
      <c r="A74" s="1"/>
      <c r="B74" s="12"/>
      <c r="C74" s="19" t="s">
        <v>141</v>
      </c>
      <c r="D74" s="18" t="s">
        <v>55</v>
      </c>
      <c r="E74" s="14">
        <v>2.99</v>
      </c>
      <c r="F74" s="115">
        <f>F73*E74</f>
        <v>5.98</v>
      </c>
      <c r="G74" s="115"/>
      <c r="H74" s="162"/>
      <c r="I74" s="115">
        <v>6</v>
      </c>
      <c r="J74" s="115">
        <f>F74*I74</f>
        <v>35.88</v>
      </c>
      <c r="K74" s="115"/>
      <c r="L74" s="115"/>
      <c r="M74" s="115">
        <f>H74+J74+L74</f>
        <v>35.88</v>
      </c>
    </row>
    <row r="75" spans="1:13" s="146" customFormat="1" ht="15.75" customHeight="1">
      <c r="A75" s="1"/>
      <c r="B75" s="257"/>
      <c r="C75" s="19" t="s">
        <v>99</v>
      </c>
      <c r="D75" s="18" t="s">
        <v>43</v>
      </c>
      <c r="E75" s="14">
        <v>0.13</v>
      </c>
      <c r="F75" s="115">
        <f>F73*E75</f>
        <v>0.26</v>
      </c>
      <c r="G75" s="115"/>
      <c r="H75" s="115"/>
      <c r="I75" s="115"/>
      <c r="J75" s="115"/>
      <c r="K75" s="115">
        <v>3.2</v>
      </c>
      <c r="L75" s="115">
        <f>F75*K75</f>
        <v>0.8320000000000001</v>
      </c>
      <c r="M75" s="115">
        <f>H75+J75+L75</f>
        <v>0.8320000000000001</v>
      </c>
    </row>
    <row r="76" spans="1:13" s="146" customFormat="1" ht="13.5" customHeight="1">
      <c r="A76" s="1"/>
      <c r="B76" s="257"/>
      <c r="C76" s="19" t="s">
        <v>56</v>
      </c>
      <c r="D76" s="18"/>
      <c r="E76" s="14"/>
      <c r="F76" s="115"/>
      <c r="G76" s="115"/>
      <c r="H76" s="115"/>
      <c r="I76" s="115"/>
      <c r="J76" s="115"/>
      <c r="K76" s="115"/>
      <c r="L76" s="115"/>
      <c r="M76" s="115"/>
    </row>
    <row r="77" spans="1:13" s="146" customFormat="1" ht="13.5">
      <c r="A77" s="1"/>
      <c r="B77" s="257"/>
      <c r="C77" s="19" t="s">
        <v>645</v>
      </c>
      <c r="D77" s="18" t="s">
        <v>59</v>
      </c>
      <c r="E77" s="1">
        <v>1</v>
      </c>
      <c r="F77" s="115">
        <f>F73*E77</f>
        <v>2</v>
      </c>
      <c r="G77" s="115">
        <v>115</v>
      </c>
      <c r="H77" s="115">
        <f>F77*G77</f>
        <v>230</v>
      </c>
      <c r="I77" s="115"/>
      <c r="J77" s="115"/>
      <c r="K77" s="115"/>
      <c r="L77" s="115"/>
      <c r="M77" s="115">
        <f>H77+J77+L77</f>
        <v>230</v>
      </c>
    </row>
    <row r="78" spans="1:13" s="146" customFormat="1" ht="13.5" customHeight="1">
      <c r="A78" s="1"/>
      <c r="B78" s="257"/>
      <c r="C78" s="19" t="s">
        <v>57</v>
      </c>
      <c r="D78" s="1" t="s">
        <v>43</v>
      </c>
      <c r="E78" s="14">
        <v>0.4</v>
      </c>
      <c r="F78" s="115">
        <f>F73*E78</f>
        <v>0.8</v>
      </c>
      <c r="G78" s="115">
        <v>3.2</v>
      </c>
      <c r="H78" s="115">
        <f>F78*G78</f>
        <v>2.5600000000000005</v>
      </c>
      <c r="I78" s="115"/>
      <c r="J78" s="115"/>
      <c r="K78" s="115"/>
      <c r="L78" s="115"/>
      <c r="M78" s="115">
        <f>H78+J78+L78</f>
        <v>2.5600000000000005</v>
      </c>
    </row>
    <row r="79" spans="1:13" s="71" customFormat="1" ht="15.75">
      <c r="A79" s="28">
        <v>13</v>
      </c>
      <c r="B79" s="258" t="s">
        <v>234</v>
      </c>
      <c r="C79" s="117" t="s">
        <v>656</v>
      </c>
      <c r="D79" s="152" t="s">
        <v>121</v>
      </c>
      <c r="E79" s="30"/>
      <c r="F79" s="166">
        <v>68</v>
      </c>
      <c r="G79" s="195"/>
      <c r="H79" s="133"/>
      <c r="I79" s="133"/>
      <c r="J79" s="133"/>
      <c r="K79" s="133"/>
      <c r="L79" s="133"/>
      <c r="M79" s="133"/>
    </row>
    <row r="80" spans="1:13" s="221" customFormat="1" ht="15.75" customHeight="1">
      <c r="A80" s="1"/>
      <c r="B80" s="12"/>
      <c r="C80" s="19" t="s">
        <v>141</v>
      </c>
      <c r="D80" s="1" t="s">
        <v>366</v>
      </c>
      <c r="E80" s="13">
        <v>1.34</v>
      </c>
      <c r="F80" s="115">
        <f>F79*E80</f>
        <v>91.12</v>
      </c>
      <c r="G80" s="177"/>
      <c r="H80" s="162"/>
      <c r="I80" s="115">
        <v>6</v>
      </c>
      <c r="J80" s="115">
        <f>F80*I80</f>
        <v>546.72</v>
      </c>
      <c r="K80" s="115"/>
      <c r="L80" s="115"/>
      <c r="M80" s="115">
        <f>H80+J80+L80</f>
        <v>546.72</v>
      </c>
    </row>
    <row r="81" spans="1:13" s="221" customFormat="1" ht="15.75" customHeight="1">
      <c r="A81" s="1"/>
      <c r="B81" s="257"/>
      <c r="C81" s="19" t="s">
        <v>99</v>
      </c>
      <c r="D81" s="18" t="s">
        <v>235</v>
      </c>
      <c r="E81" s="13">
        <v>0.05</v>
      </c>
      <c r="F81" s="115">
        <f>F79*E81</f>
        <v>3.4000000000000004</v>
      </c>
      <c r="G81" s="115"/>
      <c r="H81" s="115"/>
      <c r="I81" s="176"/>
      <c r="J81" s="115"/>
      <c r="K81" s="115">
        <v>3.2</v>
      </c>
      <c r="L81" s="115">
        <f>F81*K81</f>
        <v>10.880000000000003</v>
      </c>
      <c r="M81" s="115">
        <f>H81+J81+L81</f>
        <v>10.880000000000003</v>
      </c>
    </row>
    <row r="82" spans="1:13" s="221" customFormat="1" ht="13.5" customHeight="1">
      <c r="A82" s="1"/>
      <c r="B82" s="257"/>
      <c r="C82" s="19" t="s">
        <v>56</v>
      </c>
      <c r="D82" s="18"/>
      <c r="E82" s="13"/>
      <c r="F82" s="115"/>
      <c r="G82" s="177"/>
      <c r="H82" s="115"/>
      <c r="I82" s="115"/>
      <c r="J82" s="115"/>
      <c r="K82" s="115"/>
      <c r="L82" s="115"/>
      <c r="M82" s="115"/>
    </row>
    <row r="83" spans="1:13" s="221" customFormat="1" ht="15.75" customHeight="1">
      <c r="A83" s="1"/>
      <c r="B83" s="257"/>
      <c r="C83" s="19" t="s">
        <v>656</v>
      </c>
      <c r="D83" s="18" t="s">
        <v>121</v>
      </c>
      <c r="E83" s="13">
        <v>1</v>
      </c>
      <c r="F83" s="115">
        <f>F79*E83</f>
        <v>68</v>
      </c>
      <c r="G83" s="115">
        <v>35</v>
      </c>
      <c r="H83" s="115">
        <f>F83*G83</f>
        <v>2380</v>
      </c>
      <c r="I83" s="115"/>
      <c r="J83" s="115"/>
      <c r="K83" s="115"/>
      <c r="L83" s="115"/>
      <c r="M83" s="115">
        <f>H83+J83+L83</f>
        <v>2380</v>
      </c>
    </row>
    <row r="84" spans="1:13" s="221" customFormat="1" ht="15" customHeight="1">
      <c r="A84" s="37"/>
      <c r="B84" s="222"/>
      <c r="C84" s="123" t="s">
        <v>57</v>
      </c>
      <c r="D84" s="37" t="s">
        <v>43</v>
      </c>
      <c r="E84" s="124">
        <v>0.16</v>
      </c>
      <c r="F84" s="129">
        <f>F79*E84</f>
        <v>10.88</v>
      </c>
      <c r="G84" s="129">
        <v>3.2</v>
      </c>
      <c r="H84" s="129">
        <f>F84*G84</f>
        <v>34.816</v>
      </c>
      <c r="I84" s="129"/>
      <c r="J84" s="129"/>
      <c r="K84" s="129"/>
      <c r="L84" s="129"/>
      <c r="M84" s="129">
        <f>H84+J84+L84</f>
        <v>34.816</v>
      </c>
    </row>
    <row r="85" spans="1:13" s="361" customFormat="1" ht="16.5">
      <c r="A85" s="273"/>
      <c r="B85" s="154"/>
      <c r="C85" s="259" t="s">
        <v>854</v>
      </c>
      <c r="D85" s="91"/>
      <c r="E85" s="288"/>
      <c r="F85" s="170"/>
      <c r="G85" s="170"/>
      <c r="H85" s="170"/>
      <c r="I85" s="170"/>
      <c r="J85" s="170"/>
      <c r="K85" s="170"/>
      <c r="L85" s="170"/>
      <c r="M85" s="170"/>
    </row>
    <row r="86" spans="1:13" s="45" customFormat="1" ht="27">
      <c r="A86" s="1">
        <v>14</v>
      </c>
      <c r="B86" s="1" t="s">
        <v>351</v>
      </c>
      <c r="C86" s="19" t="s">
        <v>472</v>
      </c>
      <c r="D86" s="18" t="s">
        <v>130</v>
      </c>
      <c r="E86" s="13"/>
      <c r="F86" s="167">
        <v>2</v>
      </c>
      <c r="G86" s="176"/>
      <c r="H86" s="115"/>
      <c r="I86" s="115"/>
      <c r="J86" s="115"/>
      <c r="K86" s="115"/>
      <c r="L86" s="115"/>
      <c r="M86" s="115"/>
    </row>
    <row r="87" spans="1:13" s="22" customFormat="1" ht="14.25" customHeight="1">
      <c r="A87" s="1"/>
      <c r="B87" s="20"/>
      <c r="C87" s="19" t="s">
        <v>54</v>
      </c>
      <c r="D87" s="1" t="s">
        <v>366</v>
      </c>
      <c r="E87" s="2">
        <v>10.2</v>
      </c>
      <c r="F87" s="115">
        <f>F86*E87</f>
        <v>20.4</v>
      </c>
      <c r="G87" s="115"/>
      <c r="H87" s="115"/>
      <c r="I87" s="115">
        <v>6</v>
      </c>
      <c r="J87" s="115">
        <f>F87*I87</f>
        <v>122.39999999999999</v>
      </c>
      <c r="K87" s="115"/>
      <c r="L87" s="115"/>
      <c r="M87" s="115">
        <f>H87+J87+L87</f>
        <v>122.39999999999999</v>
      </c>
    </row>
    <row r="88" spans="1:13" s="361" customFormat="1" ht="13.5">
      <c r="A88" s="62"/>
      <c r="B88" s="20"/>
      <c r="C88" s="63" t="s">
        <v>99</v>
      </c>
      <c r="D88" s="65" t="s">
        <v>43</v>
      </c>
      <c r="E88" s="178">
        <v>0.25</v>
      </c>
      <c r="F88" s="131">
        <f>F86*E88</f>
        <v>0.5</v>
      </c>
      <c r="G88" s="131"/>
      <c r="H88" s="131"/>
      <c r="I88" s="131"/>
      <c r="J88" s="131"/>
      <c r="K88" s="131">
        <v>3.2</v>
      </c>
      <c r="L88" s="131">
        <f>F88*K88</f>
        <v>1.6</v>
      </c>
      <c r="M88" s="131">
        <f>H88+J88+L88</f>
        <v>1.6</v>
      </c>
    </row>
    <row r="89" spans="1:13" s="121" customFormat="1" ht="13.5">
      <c r="A89" s="1"/>
      <c r="B89" s="20"/>
      <c r="C89" s="19" t="s">
        <v>56</v>
      </c>
      <c r="D89" s="1"/>
      <c r="E89" s="2"/>
      <c r="F89" s="115"/>
      <c r="G89" s="115"/>
      <c r="H89" s="115"/>
      <c r="I89" s="115"/>
      <c r="J89" s="115"/>
      <c r="K89" s="115"/>
      <c r="L89" s="115"/>
      <c r="M89" s="115"/>
    </row>
    <row r="90" spans="1:13" s="121" customFormat="1" ht="27">
      <c r="A90" s="1"/>
      <c r="B90" s="20"/>
      <c r="C90" s="19" t="s">
        <v>472</v>
      </c>
      <c r="D90" s="18" t="s">
        <v>130</v>
      </c>
      <c r="E90" s="2">
        <v>1</v>
      </c>
      <c r="F90" s="115">
        <f>F86*E90</f>
        <v>2</v>
      </c>
      <c r="G90" s="115">
        <v>450</v>
      </c>
      <c r="H90" s="115">
        <f>F90*G90</f>
        <v>900</v>
      </c>
      <c r="I90" s="115"/>
      <c r="J90" s="115"/>
      <c r="K90" s="115"/>
      <c r="L90" s="115"/>
      <c r="M90" s="115">
        <f>H90+J90+L90</f>
        <v>900</v>
      </c>
    </row>
    <row r="91" spans="1:13" s="361" customFormat="1" ht="13.5">
      <c r="A91" s="67"/>
      <c r="B91" s="153"/>
      <c r="C91" s="68" t="s">
        <v>57</v>
      </c>
      <c r="D91" s="69" t="s">
        <v>43</v>
      </c>
      <c r="E91" s="179">
        <v>1.14</v>
      </c>
      <c r="F91" s="132">
        <f>F86*E91</f>
        <v>2.28</v>
      </c>
      <c r="G91" s="132">
        <v>3.2</v>
      </c>
      <c r="H91" s="132">
        <f>F91*G91</f>
        <v>7.295999999999999</v>
      </c>
      <c r="I91" s="132"/>
      <c r="J91" s="132"/>
      <c r="K91" s="132"/>
      <c r="L91" s="132"/>
      <c r="M91" s="132">
        <f>H91+J91+L91</f>
        <v>7.295999999999999</v>
      </c>
    </row>
    <row r="92" spans="1:13" s="146" customFormat="1" ht="27">
      <c r="A92" s="28">
        <v>15</v>
      </c>
      <c r="B92" s="27" t="s">
        <v>469</v>
      </c>
      <c r="C92" s="43" t="s">
        <v>471</v>
      </c>
      <c r="D92" s="152" t="s">
        <v>64</v>
      </c>
      <c r="E92" s="28"/>
      <c r="F92" s="166">
        <v>20</v>
      </c>
      <c r="G92" s="195"/>
      <c r="H92" s="220"/>
      <c r="I92" s="133"/>
      <c r="J92" s="133"/>
      <c r="K92" s="133"/>
      <c r="L92" s="133"/>
      <c r="M92" s="133"/>
    </row>
    <row r="93" spans="1:13" s="146" customFormat="1" ht="14.25" customHeight="1">
      <c r="A93" s="1"/>
      <c r="B93" s="12"/>
      <c r="C93" s="19" t="s">
        <v>141</v>
      </c>
      <c r="D93" s="18" t="s">
        <v>55</v>
      </c>
      <c r="E93" s="14">
        <v>1.54</v>
      </c>
      <c r="F93" s="115">
        <f>F92*E93</f>
        <v>30.8</v>
      </c>
      <c r="G93" s="176"/>
      <c r="H93" s="162"/>
      <c r="I93" s="115">
        <v>6</v>
      </c>
      <c r="J93" s="115">
        <f>F93*I93</f>
        <v>184.8</v>
      </c>
      <c r="K93" s="115"/>
      <c r="L93" s="115"/>
      <c r="M93" s="115">
        <f>H93+J93+L93</f>
        <v>184.8</v>
      </c>
    </row>
    <row r="94" spans="1:13" s="146" customFormat="1" ht="14.25" customHeight="1">
      <c r="A94" s="1"/>
      <c r="B94" s="257"/>
      <c r="C94" s="19" t="s">
        <v>99</v>
      </c>
      <c r="D94" s="18" t="s">
        <v>43</v>
      </c>
      <c r="E94" s="14">
        <v>0.0373</v>
      </c>
      <c r="F94" s="115">
        <f>F92*E94</f>
        <v>0.746</v>
      </c>
      <c r="G94" s="176"/>
      <c r="H94" s="115"/>
      <c r="I94" s="115"/>
      <c r="J94" s="115"/>
      <c r="K94" s="115">
        <v>3.2</v>
      </c>
      <c r="L94" s="115">
        <f>F94*K94</f>
        <v>2.3872</v>
      </c>
      <c r="M94" s="115">
        <f>H94+J94+L94</f>
        <v>2.3872</v>
      </c>
    </row>
    <row r="95" spans="1:13" s="146" customFormat="1" ht="14.25" customHeight="1">
      <c r="A95" s="1"/>
      <c r="B95" s="257"/>
      <c r="C95" s="19" t="s">
        <v>56</v>
      </c>
      <c r="D95" s="18"/>
      <c r="E95" s="14"/>
      <c r="F95" s="115"/>
      <c r="G95" s="176"/>
      <c r="H95" s="115"/>
      <c r="I95" s="115"/>
      <c r="J95" s="115"/>
      <c r="K95" s="115"/>
      <c r="L95" s="115"/>
      <c r="M95" s="115"/>
    </row>
    <row r="96" spans="1:13" s="146" customFormat="1" ht="14.25" customHeight="1">
      <c r="A96" s="1"/>
      <c r="B96" s="257"/>
      <c r="C96" s="19" t="s">
        <v>468</v>
      </c>
      <c r="D96" s="18" t="s">
        <v>64</v>
      </c>
      <c r="E96" s="14">
        <v>1</v>
      </c>
      <c r="F96" s="115">
        <f>F92*E96</f>
        <v>20</v>
      </c>
      <c r="G96" s="115">
        <v>34.5</v>
      </c>
      <c r="H96" s="115">
        <f>F96*G96</f>
        <v>690</v>
      </c>
      <c r="I96" s="115"/>
      <c r="J96" s="115"/>
      <c r="K96" s="115"/>
      <c r="L96" s="115"/>
      <c r="M96" s="115">
        <f>H96+J96+L96</f>
        <v>690</v>
      </c>
    </row>
    <row r="97" spans="1:13" s="146" customFormat="1" ht="14.25" customHeight="1">
      <c r="A97" s="1"/>
      <c r="B97" s="257"/>
      <c r="C97" s="19" t="s">
        <v>202</v>
      </c>
      <c r="D97" s="18" t="s">
        <v>65</v>
      </c>
      <c r="E97" s="14">
        <v>0.65</v>
      </c>
      <c r="F97" s="115">
        <f>F92*E97</f>
        <v>13</v>
      </c>
      <c r="G97" s="115">
        <v>3.5</v>
      </c>
      <c r="H97" s="115">
        <f>F97*G97</f>
        <v>45.5</v>
      </c>
      <c r="I97" s="115"/>
      <c r="J97" s="115"/>
      <c r="K97" s="115"/>
      <c r="L97" s="115"/>
      <c r="M97" s="115">
        <f>H97+J97+L97</f>
        <v>45.5</v>
      </c>
    </row>
    <row r="98" spans="1:13" s="146" customFormat="1" ht="13.5" customHeight="1">
      <c r="A98" s="37"/>
      <c r="B98" s="222"/>
      <c r="C98" s="123" t="s">
        <v>57</v>
      </c>
      <c r="D98" s="219" t="s">
        <v>43</v>
      </c>
      <c r="E98" s="44">
        <v>0.169</v>
      </c>
      <c r="F98" s="129">
        <f>F92*E98</f>
        <v>3.3800000000000003</v>
      </c>
      <c r="G98" s="129">
        <v>3.2</v>
      </c>
      <c r="H98" s="129">
        <f>F98*G98</f>
        <v>10.816000000000003</v>
      </c>
      <c r="I98" s="129"/>
      <c r="J98" s="129"/>
      <c r="K98" s="129"/>
      <c r="L98" s="129"/>
      <c r="M98" s="129">
        <f>H98+J98+L98</f>
        <v>10.816000000000003</v>
      </c>
    </row>
    <row r="99" spans="1:13" s="22" customFormat="1" ht="27">
      <c r="A99" s="28">
        <v>16</v>
      </c>
      <c r="B99" s="369" t="s">
        <v>132</v>
      </c>
      <c r="C99" s="43" t="s">
        <v>642</v>
      </c>
      <c r="D99" s="28" t="s">
        <v>66</v>
      </c>
      <c r="E99" s="118"/>
      <c r="F99" s="166">
        <f>2*0.05</f>
        <v>0.1</v>
      </c>
      <c r="G99" s="133"/>
      <c r="H99" s="133"/>
      <c r="I99" s="133"/>
      <c r="J99" s="133"/>
      <c r="K99" s="133"/>
      <c r="L99" s="133"/>
      <c r="M99" s="133"/>
    </row>
    <row r="100" spans="1:13" s="22" customFormat="1" ht="13.5">
      <c r="A100" s="1"/>
      <c r="B100" s="12"/>
      <c r="C100" s="19" t="s">
        <v>133</v>
      </c>
      <c r="D100" s="1" t="s">
        <v>55</v>
      </c>
      <c r="E100" s="14">
        <v>13.8</v>
      </c>
      <c r="F100" s="115">
        <f>F99*E100</f>
        <v>1.3800000000000001</v>
      </c>
      <c r="G100" s="115"/>
      <c r="H100" s="162"/>
      <c r="I100" s="115">
        <v>6</v>
      </c>
      <c r="J100" s="115">
        <f>F100*I100</f>
        <v>8.280000000000001</v>
      </c>
      <c r="K100" s="115"/>
      <c r="L100" s="115"/>
      <c r="M100" s="115">
        <f>H100+J100+L100</f>
        <v>8.280000000000001</v>
      </c>
    </row>
    <row r="101" spans="1:13" s="135" customFormat="1" ht="13.5">
      <c r="A101" s="1"/>
      <c r="B101" s="20"/>
      <c r="C101" s="19" t="s">
        <v>116</v>
      </c>
      <c r="D101" s="1" t="s">
        <v>43</v>
      </c>
      <c r="E101" s="14">
        <v>0.17</v>
      </c>
      <c r="F101" s="115">
        <f>F99*E101</f>
        <v>0.017</v>
      </c>
      <c r="G101" s="115"/>
      <c r="H101" s="115"/>
      <c r="I101" s="115"/>
      <c r="J101" s="115"/>
      <c r="K101" s="115">
        <v>3.2</v>
      </c>
      <c r="L101" s="115">
        <f>F101*K101</f>
        <v>0.054400000000000004</v>
      </c>
      <c r="M101" s="115">
        <f>H101+J101+L101</f>
        <v>0.054400000000000004</v>
      </c>
    </row>
    <row r="102" spans="1:13" s="22" customFormat="1" ht="13.5">
      <c r="A102" s="1"/>
      <c r="B102" s="20"/>
      <c r="C102" s="19" t="s">
        <v>56</v>
      </c>
      <c r="D102" s="1"/>
      <c r="E102" s="14"/>
      <c r="F102" s="115"/>
      <c r="G102" s="115"/>
      <c r="H102" s="115"/>
      <c r="I102" s="115"/>
      <c r="J102" s="115"/>
      <c r="K102" s="115"/>
      <c r="L102" s="115"/>
      <c r="M102" s="115"/>
    </row>
    <row r="103" spans="1:13" s="22" customFormat="1" ht="13.5" customHeight="1">
      <c r="A103" s="1"/>
      <c r="B103" s="20"/>
      <c r="C103" s="19" t="s">
        <v>643</v>
      </c>
      <c r="D103" s="1" t="s">
        <v>64</v>
      </c>
      <c r="E103" s="14">
        <v>1.03</v>
      </c>
      <c r="F103" s="115">
        <f>F99/0.05*E103</f>
        <v>2.06</v>
      </c>
      <c r="G103" s="115">
        <v>5.7</v>
      </c>
      <c r="H103" s="115">
        <f>F103*G103</f>
        <v>11.742</v>
      </c>
      <c r="I103" s="115"/>
      <c r="J103" s="115"/>
      <c r="K103" s="115"/>
      <c r="L103" s="115"/>
      <c r="M103" s="115">
        <f>H103+J103+L103</f>
        <v>11.742</v>
      </c>
    </row>
    <row r="104" spans="1:13" s="22" customFormat="1" ht="13.5">
      <c r="A104" s="1"/>
      <c r="B104" s="20"/>
      <c r="C104" s="19" t="s">
        <v>134</v>
      </c>
      <c r="D104" s="1" t="s">
        <v>65</v>
      </c>
      <c r="E104" s="14">
        <v>10.6</v>
      </c>
      <c r="F104" s="115">
        <f>F99*E104</f>
        <v>1.06</v>
      </c>
      <c r="G104" s="115">
        <v>1.9</v>
      </c>
      <c r="H104" s="115">
        <f>F104*G104</f>
        <v>2.014</v>
      </c>
      <c r="I104" s="115"/>
      <c r="J104" s="115"/>
      <c r="K104" s="115"/>
      <c r="L104" s="115"/>
      <c r="M104" s="115">
        <f>H104+J104+L104</f>
        <v>2.014</v>
      </c>
    </row>
    <row r="105" spans="1:13" s="22" customFormat="1" ht="13.5">
      <c r="A105" s="1"/>
      <c r="B105" s="12"/>
      <c r="C105" s="19" t="s">
        <v>135</v>
      </c>
      <c r="D105" s="1" t="s">
        <v>65</v>
      </c>
      <c r="E105" s="14">
        <v>1</v>
      </c>
      <c r="F105" s="115">
        <f>F99*E105</f>
        <v>0.1</v>
      </c>
      <c r="G105" s="115">
        <v>2.2</v>
      </c>
      <c r="H105" s="115">
        <f>F105*G105</f>
        <v>0.22000000000000003</v>
      </c>
      <c r="I105" s="115"/>
      <c r="J105" s="115"/>
      <c r="K105" s="115"/>
      <c r="L105" s="115"/>
      <c r="M105" s="115">
        <f>H105+J105+L105</f>
        <v>0.22000000000000003</v>
      </c>
    </row>
    <row r="106" spans="1:13" s="22" customFormat="1" ht="13.5">
      <c r="A106" s="37"/>
      <c r="B106" s="370"/>
      <c r="C106" s="123" t="s">
        <v>57</v>
      </c>
      <c r="D106" s="37" t="s">
        <v>43</v>
      </c>
      <c r="E106" s="44">
        <v>0.9</v>
      </c>
      <c r="F106" s="129">
        <f>F99*E106</f>
        <v>0.09000000000000001</v>
      </c>
      <c r="G106" s="129">
        <v>3.2</v>
      </c>
      <c r="H106" s="129">
        <f>F106*G106</f>
        <v>0.28800000000000003</v>
      </c>
      <c r="I106" s="129"/>
      <c r="J106" s="129"/>
      <c r="K106" s="129"/>
      <c r="L106" s="129"/>
      <c r="M106" s="129">
        <f>H106+J106+L106</f>
        <v>0.28800000000000003</v>
      </c>
    </row>
    <row r="107" spans="1:13" s="71" customFormat="1" ht="18" customHeight="1">
      <c r="A107" s="1">
        <v>17</v>
      </c>
      <c r="B107" s="42" t="s">
        <v>234</v>
      </c>
      <c r="C107" s="19" t="s">
        <v>473</v>
      </c>
      <c r="D107" s="18" t="s">
        <v>121</v>
      </c>
      <c r="E107" s="13"/>
      <c r="F107" s="167">
        <v>2</v>
      </c>
      <c r="G107" s="176"/>
      <c r="H107" s="115"/>
      <c r="I107" s="115"/>
      <c r="J107" s="115"/>
      <c r="K107" s="115"/>
      <c r="L107" s="115"/>
      <c r="M107" s="115"/>
    </row>
    <row r="108" spans="1:13" s="221" customFormat="1" ht="15.75" customHeight="1">
      <c r="A108" s="1"/>
      <c r="B108" s="12"/>
      <c r="C108" s="19" t="s">
        <v>141</v>
      </c>
      <c r="D108" s="1" t="s">
        <v>366</v>
      </c>
      <c r="E108" s="13">
        <v>1.34</v>
      </c>
      <c r="F108" s="115">
        <f>F107*E108</f>
        <v>2.68</v>
      </c>
      <c r="G108" s="177"/>
      <c r="H108" s="162"/>
      <c r="I108" s="115">
        <v>6</v>
      </c>
      <c r="J108" s="115">
        <f>F108*I108</f>
        <v>16.080000000000002</v>
      </c>
      <c r="K108" s="115"/>
      <c r="L108" s="115"/>
      <c r="M108" s="115">
        <f>H108+J108+L108</f>
        <v>16.080000000000002</v>
      </c>
    </row>
    <row r="109" spans="1:13" s="221" customFormat="1" ht="15.75" customHeight="1">
      <c r="A109" s="1"/>
      <c r="B109" s="257"/>
      <c r="C109" s="19" t="s">
        <v>99</v>
      </c>
      <c r="D109" s="18" t="s">
        <v>235</v>
      </c>
      <c r="E109" s="13">
        <v>0.05</v>
      </c>
      <c r="F109" s="115">
        <f>F107*E109</f>
        <v>0.1</v>
      </c>
      <c r="G109" s="115"/>
      <c r="H109" s="115"/>
      <c r="I109" s="176"/>
      <c r="J109" s="115"/>
      <c r="K109" s="115">
        <v>3.2</v>
      </c>
      <c r="L109" s="115">
        <f>F109*K109</f>
        <v>0.32000000000000006</v>
      </c>
      <c r="M109" s="115">
        <f>H109+J109+L109</f>
        <v>0.32000000000000006</v>
      </c>
    </row>
    <row r="110" spans="1:13" s="221" customFormat="1" ht="13.5" customHeight="1">
      <c r="A110" s="1"/>
      <c r="B110" s="257"/>
      <c r="C110" s="19" t="s">
        <v>56</v>
      </c>
      <c r="D110" s="18"/>
      <c r="E110" s="13"/>
      <c r="F110" s="115"/>
      <c r="G110" s="177"/>
      <c r="H110" s="115"/>
      <c r="I110" s="115"/>
      <c r="J110" s="115"/>
      <c r="K110" s="115"/>
      <c r="L110" s="115"/>
      <c r="M110" s="115"/>
    </row>
    <row r="111" spans="1:13" s="221" customFormat="1" ht="15.75" customHeight="1">
      <c r="A111" s="1"/>
      <c r="B111" s="257"/>
      <c r="C111" s="19" t="s">
        <v>474</v>
      </c>
      <c r="D111" s="18" t="s">
        <v>121</v>
      </c>
      <c r="E111" s="13">
        <v>1</v>
      </c>
      <c r="F111" s="115">
        <f>F107*E111</f>
        <v>2</v>
      </c>
      <c r="G111" s="115">
        <v>180</v>
      </c>
      <c r="H111" s="115">
        <f>F111*G111</f>
        <v>360</v>
      </c>
      <c r="I111" s="115"/>
      <c r="J111" s="115"/>
      <c r="K111" s="115"/>
      <c r="L111" s="115"/>
      <c r="M111" s="115">
        <f>H111+J111+L111</f>
        <v>360</v>
      </c>
    </row>
    <row r="112" spans="1:13" s="221" customFormat="1" ht="15" customHeight="1">
      <c r="A112" s="37"/>
      <c r="B112" s="222"/>
      <c r="C112" s="123" t="s">
        <v>57</v>
      </c>
      <c r="D112" s="37" t="s">
        <v>43</v>
      </c>
      <c r="E112" s="124">
        <v>0.16</v>
      </c>
      <c r="F112" s="129">
        <f>F107*E112</f>
        <v>0.32</v>
      </c>
      <c r="G112" s="129">
        <v>3.2</v>
      </c>
      <c r="H112" s="129">
        <f>F112*G112</f>
        <v>1.024</v>
      </c>
      <c r="I112" s="129"/>
      <c r="J112" s="129"/>
      <c r="K112" s="129"/>
      <c r="L112" s="129"/>
      <c r="M112" s="129">
        <f>H112+J112+L112</f>
        <v>1.024</v>
      </c>
    </row>
    <row r="113" spans="1:13" s="71" customFormat="1" ht="18" customHeight="1">
      <c r="A113" s="1">
        <v>18</v>
      </c>
      <c r="B113" s="42" t="s">
        <v>234</v>
      </c>
      <c r="C113" s="19" t="s">
        <v>475</v>
      </c>
      <c r="D113" s="18" t="s">
        <v>121</v>
      </c>
      <c r="E113" s="13"/>
      <c r="F113" s="167">
        <v>6</v>
      </c>
      <c r="G113" s="176"/>
      <c r="H113" s="115"/>
      <c r="I113" s="115"/>
      <c r="J113" s="115"/>
      <c r="K113" s="115"/>
      <c r="L113" s="115"/>
      <c r="M113" s="115"/>
    </row>
    <row r="114" spans="1:13" s="221" customFormat="1" ht="15.75" customHeight="1">
      <c r="A114" s="1"/>
      <c r="B114" s="12"/>
      <c r="C114" s="19" t="s">
        <v>141</v>
      </c>
      <c r="D114" s="1" t="s">
        <v>366</v>
      </c>
      <c r="E114" s="13">
        <v>1.34</v>
      </c>
      <c r="F114" s="115">
        <f>F113*E114</f>
        <v>8.040000000000001</v>
      </c>
      <c r="G114" s="177"/>
      <c r="H114" s="162"/>
      <c r="I114" s="115">
        <v>6</v>
      </c>
      <c r="J114" s="115">
        <f>F114*I114</f>
        <v>48.24000000000001</v>
      </c>
      <c r="K114" s="115"/>
      <c r="L114" s="115"/>
      <c r="M114" s="115">
        <f>H114+J114+L114</f>
        <v>48.24000000000001</v>
      </c>
    </row>
    <row r="115" spans="1:13" s="221" customFormat="1" ht="15.75" customHeight="1">
      <c r="A115" s="1"/>
      <c r="B115" s="257"/>
      <c r="C115" s="19" t="s">
        <v>99</v>
      </c>
      <c r="D115" s="18" t="s">
        <v>235</v>
      </c>
      <c r="E115" s="13">
        <v>0.05</v>
      </c>
      <c r="F115" s="115">
        <f>F113*E115</f>
        <v>0.30000000000000004</v>
      </c>
      <c r="G115" s="115"/>
      <c r="H115" s="115"/>
      <c r="I115" s="176"/>
      <c r="J115" s="115"/>
      <c r="K115" s="115">
        <v>3.2</v>
      </c>
      <c r="L115" s="115">
        <f>F115*K115</f>
        <v>0.9600000000000002</v>
      </c>
      <c r="M115" s="115">
        <f>H115+J115+L115</f>
        <v>0.9600000000000002</v>
      </c>
    </row>
    <row r="116" spans="1:13" s="221" customFormat="1" ht="13.5" customHeight="1">
      <c r="A116" s="1"/>
      <c r="B116" s="257"/>
      <c r="C116" s="19" t="s">
        <v>56</v>
      </c>
      <c r="D116" s="18"/>
      <c r="E116" s="13"/>
      <c r="F116" s="115"/>
      <c r="G116" s="177"/>
      <c r="H116" s="115"/>
      <c r="I116" s="115"/>
      <c r="J116" s="115"/>
      <c r="K116" s="115"/>
      <c r="L116" s="115"/>
      <c r="M116" s="115"/>
    </row>
    <row r="117" spans="1:13" s="221" customFormat="1" ht="15.75" customHeight="1">
      <c r="A117" s="1"/>
      <c r="B117" s="257"/>
      <c r="C117" s="19" t="s">
        <v>475</v>
      </c>
      <c r="D117" s="18" t="s">
        <v>121</v>
      </c>
      <c r="E117" s="13">
        <v>1</v>
      </c>
      <c r="F117" s="115">
        <f>F113*E117</f>
        <v>6</v>
      </c>
      <c r="G117" s="115">
        <v>40</v>
      </c>
      <c r="H117" s="115">
        <f>F117*G117</f>
        <v>240</v>
      </c>
      <c r="I117" s="115"/>
      <c r="J117" s="115"/>
      <c r="K117" s="115"/>
      <c r="L117" s="115"/>
      <c r="M117" s="115">
        <f>H117+J117+L117</f>
        <v>240</v>
      </c>
    </row>
    <row r="118" spans="1:13" s="221" customFormat="1" ht="15" customHeight="1">
      <c r="A118" s="37"/>
      <c r="B118" s="222"/>
      <c r="C118" s="123" t="s">
        <v>57</v>
      </c>
      <c r="D118" s="37" t="s">
        <v>43</v>
      </c>
      <c r="E118" s="124">
        <v>0.16</v>
      </c>
      <c r="F118" s="129">
        <f>F113*E118</f>
        <v>0.96</v>
      </c>
      <c r="G118" s="129">
        <v>3.2</v>
      </c>
      <c r="H118" s="129">
        <f>F118*G118</f>
        <v>3.072</v>
      </c>
      <c r="I118" s="129"/>
      <c r="J118" s="129"/>
      <c r="K118" s="129"/>
      <c r="L118" s="129"/>
      <c r="M118" s="129">
        <f>H118+J118+L118</f>
        <v>3.072</v>
      </c>
    </row>
    <row r="119" spans="1:13" s="55" customFormat="1" ht="13.5">
      <c r="A119" s="151"/>
      <c r="B119" s="151"/>
      <c r="C119" s="48" t="s">
        <v>49</v>
      </c>
      <c r="D119" s="52"/>
      <c r="E119" s="52"/>
      <c r="F119" s="169"/>
      <c r="G119" s="169"/>
      <c r="H119" s="169">
        <f>SUM(H11:H118)</f>
        <v>42740.3368</v>
      </c>
      <c r="I119" s="169"/>
      <c r="J119" s="169">
        <f>SUM(J11:J118)</f>
        <v>5506.953599999998</v>
      </c>
      <c r="K119" s="169"/>
      <c r="L119" s="169">
        <f>SUM(L11:L118)</f>
        <v>75.68767999999997</v>
      </c>
      <c r="M119" s="169">
        <f>SUM(M11:M118)</f>
        <v>48322.97808</v>
      </c>
    </row>
    <row r="120" spans="1:13" s="55" customFormat="1" ht="13.5">
      <c r="A120" s="72"/>
      <c r="B120" s="72"/>
      <c r="C120" s="46" t="s">
        <v>401</v>
      </c>
      <c r="D120" s="47"/>
      <c r="E120" s="47"/>
      <c r="F120" s="73"/>
      <c r="G120" s="41"/>
      <c r="H120" s="41">
        <f aca="true" t="shared" si="0" ref="H120:M120">H119-H121-H122</f>
        <v>18060.5928</v>
      </c>
      <c r="I120" s="41"/>
      <c r="J120" s="41">
        <f t="shared" si="0"/>
        <v>4815.033599999998</v>
      </c>
      <c r="K120" s="41"/>
      <c r="L120" s="41">
        <f t="shared" si="0"/>
        <v>58.05567999999997</v>
      </c>
      <c r="M120" s="41">
        <f t="shared" si="0"/>
        <v>22933.68208</v>
      </c>
    </row>
    <row r="121" spans="1:13" s="55" customFormat="1" ht="15.75" customHeight="1">
      <c r="A121" s="72"/>
      <c r="B121" s="72"/>
      <c r="C121" s="46" t="s">
        <v>107</v>
      </c>
      <c r="D121" s="47"/>
      <c r="E121" s="47"/>
      <c r="F121" s="73"/>
      <c r="G121" s="41"/>
      <c r="H121" s="41">
        <f>H11+H12+H15+H17+H18+H21+H23+H24+H27+H29+H30+H33+H87+H88+H91</f>
        <v>79.744</v>
      </c>
      <c r="I121" s="41"/>
      <c r="J121" s="41">
        <f>J11+J12+J15+J17+J18+J21+J23+J24+J27+J29+J30+J33+J87+J88+J91</f>
        <v>691.9200000000001</v>
      </c>
      <c r="K121" s="41"/>
      <c r="L121" s="41">
        <f>L11+L12+L15+L17+L18+L21+L23+L24+L27+L29+L30+L33+L87+L88+L91</f>
        <v>17.632</v>
      </c>
      <c r="M121" s="41">
        <f>M11+M12+M15+M17+M18+M21+M23+M24+M27+M29+M30+M33+M87+M88+M91</f>
        <v>789.2960000000002</v>
      </c>
    </row>
    <row r="122" spans="1:13" s="55" customFormat="1" ht="15.75" customHeight="1">
      <c r="A122" s="72"/>
      <c r="B122" s="72"/>
      <c r="C122" s="46" t="s">
        <v>304</v>
      </c>
      <c r="D122" s="47"/>
      <c r="E122" s="47"/>
      <c r="F122" s="73"/>
      <c r="G122" s="41"/>
      <c r="H122" s="41">
        <f>H14+H20+H26+H32+H90</f>
        <v>24600</v>
      </c>
      <c r="I122" s="41"/>
      <c r="J122" s="41"/>
      <c r="K122" s="41"/>
      <c r="L122" s="41"/>
      <c r="M122" s="41">
        <f>H122</f>
        <v>24600</v>
      </c>
    </row>
    <row r="123" spans="1:13" s="146" customFormat="1" ht="29.25" customHeight="1">
      <c r="A123" s="47"/>
      <c r="B123" s="47"/>
      <c r="C123" s="46" t="s">
        <v>400</v>
      </c>
      <c r="D123" s="81">
        <v>0.68</v>
      </c>
      <c r="E123" s="74"/>
      <c r="F123" s="73"/>
      <c r="G123" s="41"/>
      <c r="H123" s="41"/>
      <c r="I123" s="41"/>
      <c r="J123" s="41">
        <f>J121*D123</f>
        <v>470.5056000000001</v>
      </c>
      <c r="K123" s="41"/>
      <c r="L123" s="41"/>
      <c r="M123" s="41">
        <f>J123</f>
        <v>470.5056000000001</v>
      </c>
    </row>
    <row r="124" spans="1:13" s="146" customFormat="1" ht="27">
      <c r="A124" s="47"/>
      <c r="B124" s="47"/>
      <c r="C124" s="46" t="s">
        <v>412</v>
      </c>
      <c r="D124" s="81">
        <v>0.12</v>
      </c>
      <c r="E124" s="74"/>
      <c r="F124" s="73"/>
      <c r="G124" s="41"/>
      <c r="H124" s="41">
        <f>H120*D124</f>
        <v>2167.271136</v>
      </c>
      <c r="I124" s="41"/>
      <c r="J124" s="41">
        <f>J120*D124</f>
        <v>577.8040319999998</v>
      </c>
      <c r="K124" s="41"/>
      <c r="L124" s="41">
        <f>L120*D124</f>
        <v>6.966681599999996</v>
      </c>
      <c r="M124" s="41">
        <f>M120*D124</f>
        <v>2752.0418495999998</v>
      </c>
    </row>
    <row r="125" spans="1:13" s="146" customFormat="1" ht="15.75" customHeight="1">
      <c r="A125" s="47"/>
      <c r="B125" s="47"/>
      <c r="C125" s="80" t="s">
        <v>49</v>
      </c>
      <c r="D125" s="47"/>
      <c r="E125" s="74"/>
      <c r="F125" s="73"/>
      <c r="G125" s="41"/>
      <c r="H125" s="41">
        <f>H119+H123+H124</f>
        <v>44907.607936</v>
      </c>
      <c r="I125" s="41"/>
      <c r="J125" s="41">
        <f>J119+J123+J124</f>
        <v>6555.263231999998</v>
      </c>
      <c r="K125" s="41"/>
      <c r="L125" s="41">
        <f>L119+L123+L124</f>
        <v>82.65436159999997</v>
      </c>
      <c r="M125" s="41">
        <f>M119+M123+M124</f>
        <v>51545.525529599996</v>
      </c>
    </row>
    <row r="126" spans="1:13" s="146" customFormat="1" ht="13.5">
      <c r="A126" s="47"/>
      <c r="B126" s="47"/>
      <c r="C126" s="46" t="s">
        <v>187</v>
      </c>
      <c r="D126" s="81">
        <v>0.08</v>
      </c>
      <c r="E126" s="74"/>
      <c r="F126" s="73"/>
      <c r="G126" s="41"/>
      <c r="H126" s="41">
        <f>(H125-H122)*D126</f>
        <v>1624.60863488</v>
      </c>
      <c r="I126" s="41"/>
      <c r="J126" s="41">
        <f>(J125-J122)*D126</f>
        <v>524.4210585599999</v>
      </c>
      <c r="K126" s="41"/>
      <c r="L126" s="41">
        <f>(L125-L122)*D126</f>
        <v>6.612348927999998</v>
      </c>
      <c r="M126" s="41">
        <f>(M125-M122)*D126</f>
        <v>2155.6420423679997</v>
      </c>
    </row>
    <row r="127" spans="1:13" s="146" customFormat="1" ht="17.25" customHeight="1">
      <c r="A127" s="47"/>
      <c r="B127" s="47"/>
      <c r="C127" s="48" t="s">
        <v>49</v>
      </c>
      <c r="D127" s="47"/>
      <c r="E127" s="74"/>
      <c r="F127" s="73"/>
      <c r="G127" s="41"/>
      <c r="H127" s="371">
        <f>H125+H126</f>
        <v>46532.21657088</v>
      </c>
      <c r="I127" s="371"/>
      <c r="J127" s="371">
        <f>J125+J126</f>
        <v>7079.684290559999</v>
      </c>
      <c r="K127" s="371"/>
      <c r="L127" s="371">
        <f>L125+L126</f>
        <v>89.26671052799998</v>
      </c>
      <c r="M127" s="371">
        <f>M125+M126</f>
        <v>53701.167571968</v>
      </c>
    </row>
    <row r="128" spans="1:13" s="55" customFormat="1" ht="13.5">
      <c r="A128" s="72"/>
      <c r="B128" s="72"/>
      <c r="C128" s="46" t="s">
        <v>356</v>
      </c>
      <c r="D128" s="47"/>
      <c r="E128" s="47"/>
      <c r="F128" s="73"/>
      <c r="G128" s="41"/>
      <c r="H128" s="41"/>
      <c r="I128" s="41"/>
      <c r="J128" s="41"/>
      <c r="K128" s="41"/>
      <c r="L128" s="41"/>
      <c r="M128" s="41">
        <f>M127-M129-M130</f>
        <v>27536.493984768</v>
      </c>
    </row>
    <row r="129" spans="1:13" s="55" customFormat="1" ht="15.75" customHeight="1">
      <c r="A129" s="72"/>
      <c r="B129" s="72"/>
      <c r="C129" s="46" t="s">
        <v>107</v>
      </c>
      <c r="D129" s="47"/>
      <c r="E129" s="47"/>
      <c r="F129" s="73"/>
      <c r="G129" s="41"/>
      <c r="H129" s="41"/>
      <c r="I129" s="41"/>
      <c r="J129" s="41"/>
      <c r="K129" s="41"/>
      <c r="L129" s="41"/>
      <c r="M129" s="41">
        <f>(M121+M123)*1.08*1.15</f>
        <v>1564.6735872000002</v>
      </c>
    </row>
    <row r="130" spans="1:13" s="55" customFormat="1" ht="15.75" customHeight="1">
      <c r="A130" s="72"/>
      <c r="B130" s="72"/>
      <c r="C130" s="46" t="s">
        <v>304</v>
      </c>
      <c r="D130" s="47"/>
      <c r="E130" s="47"/>
      <c r="F130" s="73"/>
      <c r="G130" s="41"/>
      <c r="H130" s="41"/>
      <c r="I130" s="41"/>
      <c r="J130" s="41"/>
      <c r="K130" s="41"/>
      <c r="L130" s="41"/>
      <c r="M130" s="41">
        <f>M122</f>
        <v>24600</v>
      </c>
    </row>
    <row r="132" spans="1:10" s="22" customFormat="1" ht="13.5">
      <c r="A132" s="146"/>
      <c r="B132" s="492" t="s">
        <v>58</v>
      </c>
      <c r="C132" s="492"/>
      <c r="E132" s="492" t="s">
        <v>482</v>
      </c>
      <c r="F132" s="492"/>
      <c r="G132" s="492"/>
      <c r="H132" s="492"/>
      <c r="I132" s="492"/>
      <c r="J132" s="492"/>
    </row>
    <row r="134" spans="1:13" s="22" customFormat="1" ht="13.5">
      <c r="A134" s="146"/>
      <c r="B134" s="268"/>
      <c r="C134" s="458" t="s">
        <v>891</v>
      </c>
      <c r="D134" s="268"/>
      <c r="E134" s="492" t="s">
        <v>890</v>
      </c>
      <c r="F134" s="492"/>
      <c r="G134" s="492"/>
      <c r="H134" s="492"/>
      <c r="I134" s="492"/>
      <c r="J134" s="492"/>
      <c r="K134" s="268"/>
      <c r="L134" s="268"/>
      <c r="M134" s="268"/>
    </row>
  </sheetData>
  <sheetProtection/>
  <mergeCells count="21">
    <mergeCell ref="M6:M7"/>
    <mergeCell ref="K6:L6"/>
    <mergeCell ref="G6:H6"/>
    <mergeCell ref="C6:C7"/>
    <mergeCell ref="G5:I5"/>
    <mergeCell ref="A2:M2"/>
    <mergeCell ref="D6:D7"/>
    <mergeCell ref="J5:K5"/>
    <mergeCell ref="A6:A7"/>
    <mergeCell ref="E6:F6"/>
    <mergeCell ref="I6:J6"/>
    <mergeCell ref="B6:B7"/>
    <mergeCell ref="J4:K4"/>
    <mergeCell ref="E134:J134"/>
    <mergeCell ref="B5:C5"/>
    <mergeCell ref="A1:M1"/>
    <mergeCell ref="A3:M3"/>
    <mergeCell ref="B4:C4"/>
    <mergeCell ref="F4:I4"/>
    <mergeCell ref="B132:C132"/>
    <mergeCell ref="E132:J132"/>
  </mergeCells>
  <printOptions horizontalCentered="1"/>
  <pageMargins left="0.7086614173228347" right="0" top="0.5118110236220472" bottom="0.5118110236220472" header="0.31496062992125984" footer="0.31496062992125984"/>
  <pageSetup horizontalDpi="600" verticalDpi="600" orientation="landscape" paperSize="9" scale="91" r:id="rId1"/>
  <headerFooter>
    <oddHeader>&amp;Cსაგანმანათლებლო და სამეცნიერო ინფრასტრუქტურის განვითარების სააგენტო</oddHeader>
    <oddFooter>&amp;Lხარჯთაღრიცხვა&amp;R&amp;P/&amp;N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P87"/>
  <sheetViews>
    <sheetView showZeros="0" zoomScalePageLayoutView="0" workbookViewId="0" topLeftCell="A1">
      <pane ySplit="7" topLeftCell="A71" activePane="bottomLeft" state="frozen"/>
      <selection pane="topLeft" activeCell="A1" sqref="A1"/>
      <selection pane="bottomLeft" activeCell="I6" sqref="I6:J6"/>
    </sheetView>
  </sheetViews>
  <sheetFormatPr defaultColWidth="9.00390625" defaultRowHeight="12.75"/>
  <cols>
    <col min="1" max="1" width="3.375" style="22" customWidth="1"/>
    <col min="2" max="2" width="8.625" style="22" bestFit="1" customWidth="1"/>
    <col min="3" max="3" width="41.625" style="22" customWidth="1"/>
    <col min="4" max="4" width="8.25390625" style="22" customWidth="1"/>
    <col min="5" max="5" width="7.75390625" style="22" customWidth="1"/>
    <col min="6" max="6" width="10.25390625" style="22" bestFit="1" customWidth="1"/>
    <col min="7" max="7" width="9.00390625" style="22" bestFit="1" customWidth="1"/>
    <col min="8" max="8" width="13.625" style="22" customWidth="1"/>
    <col min="9" max="9" width="8.00390625" style="22" bestFit="1" customWidth="1"/>
    <col min="10" max="10" width="11.875" style="22" customWidth="1"/>
    <col min="11" max="11" width="7.875" style="22" customWidth="1"/>
    <col min="12" max="12" width="9.75390625" style="22" customWidth="1"/>
    <col min="13" max="13" width="14.375" style="22" customWidth="1"/>
    <col min="14" max="15" width="9.125" style="22" customWidth="1"/>
    <col min="16" max="16" width="23.375" style="22" customWidth="1"/>
    <col min="17" max="16384" width="9.125" style="22" customWidth="1"/>
  </cols>
  <sheetData>
    <row r="1" spans="1:13" s="314" customFormat="1" ht="17.25" customHeight="1">
      <c r="A1" s="511" t="s">
        <v>894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</row>
    <row r="2" spans="1:13" s="314" customFormat="1" ht="17.25" customHeight="1">
      <c r="A2" s="518" t="s">
        <v>734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</row>
    <row r="3" spans="1:13" s="314" customFormat="1" ht="16.5" customHeight="1">
      <c r="A3" s="545" t="s">
        <v>476</v>
      </c>
      <c r="B3" s="545"/>
      <c r="C3" s="545"/>
      <c r="D3" s="545"/>
      <c r="E3" s="545"/>
      <c r="F3" s="545"/>
      <c r="G3" s="545"/>
      <c r="H3" s="545"/>
      <c r="I3" s="545"/>
      <c r="J3" s="545"/>
      <c r="K3" s="545"/>
      <c r="L3" s="545"/>
      <c r="M3" s="545"/>
    </row>
    <row r="4" spans="2:12" s="317" customFormat="1" ht="13.5">
      <c r="B4" s="513" t="s">
        <v>428</v>
      </c>
      <c r="C4" s="514"/>
      <c r="D4" s="24"/>
      <c r="E4" s="24"/>
      <c r="F4" s="520" t="s">
        <v>184</v>
      </c>
      <c r="G4" s="520"/>
      <c r="H4" s="520"/>
      <c r="I4" s="520"/>
      <c r="J4" s="542">
        <f>M83</f>
        <v>46760.915839999994</v>
      </c>
      <c r="K4" s="543"/>
      <c r="L4" s="25" t="s">
        <v>43</v>
      </c>
    </row>
    <row r="5" spans="1:12" s="317" customFormat="1" ht="13.5">
      <c r="A5" s="319"/>
      <c r="B5" s="513" t="s">
        <v>876</v>
      </c>
      <c r="C5" s="514"/>
      <c r="D5" s="26"/>
      <c r="E5" s="26"/>
      <c r="F5" s="25"/>
      <c r="G5" s="531" t="s">
        <v>185</v>
      </c>
      <c r="H5" s="531"/>
      <c r="I5" s="531"/>
      <c r="J5" s="542">
        <f>J83</f>
        <v>7962.1164</v>
      </c>
      <c r="K5" s="543"/>
      <c r="L5" s="25" t="s">
        <v>43</v>
      </c>
    </row>
    <row r="6" spans="1:13" ht="43.5" customHeight="1">
      <c r="A6" s="509" t="s">
        <v>61</v>
      </c>
      <c r="B6" s="497" t="s">
        <v>74</v>
      </c>
      <c r="C6" s="497" t="s">
        <v>63</v>
      </c>
      <c r="D6" s="497" t="s">
        <v>44</v>
      </c>
      <c r="E6" s="475" t="s">
        <v>45</v>
      </c>
      <c r="F6" s="477"/>
      <c r="G6" s="495" t="s">
        <v>46</v>
      </c>
      <c r="H6" s="496"/>
      <c r="I6" s="505" t="s">
        <v>47</v>
      </c>
      <c r="J6" s="506"/>
      <c r="K6" s="505" t="s">
        <v>48</v>
      </c>
      <c r="L6" s="506"/>
      <c r="M6" s="507" t="s">
        <v>49</v>
      </c>
    </row>
    <row r="7" spans="1:13" ht="54">
      <c r="A7" s="510"/>
      <c r="B7" s="498"/>
      <c r="C7" s="498"/>
      <c r="D7" s="498"/>
      <c r="E7" s="74" t="s">
        <v>50</v>
      </c>
      <c r="F7" s="74" t="s">
        <v>51</v>
      </c>
      <c r="G7" s="320" t="s">
        <v>52</v>
      </c>
      <c r="H7" s="108" t="s">
        <v>49</v>
      </c>
      <c r="I7" s="285" t="s">
        <v>52</v>
      </c>
      <c r="J7" s="108" t="s">
        <v>49</v>
      </c>
      <c r="K7" s="285" t="s">
        <v>52</v>
      </c>
      <c r="L7" s="108" t="s">
        <v>49</v>
      </c>
      <c r="M7" s="508"/>
    </row>
    <row r="8" spans="1:13" s="372" customFormat="1" ht="12.75">
      <c r="A8" s="126" t="s">
        <v>53</v>
      </c>
      <c r="B8" s="126">
        <v>2</v>
      </c>
      <c r="C8" s="126">
        <v>3</v>
      </c>
      <c r="D8" s="126">
        <v>4</v>
      </c>
      <c r="E8" s="126">
        <v>5</v>
      </c>
      <c r="F8" s="274">
        <v>6</v>
      </c>
      <c r="G8" s="275" t="s">
        <v>60</v>
      </c>
      <c r="H8" s="276">
        <v>8</v>
      </c>
      <c r="I8" s="274">
        <v>9</v>
      </c>
      <c r="J8" s="276">
        <v>10</v>
      </c>
      <c r="K8" s="274">
        <v>11</v>
      </c>
      <c r="L8" s="276">
        <v>12</v>
      </c>
      <c r="M8" s="276">
        <v>13</v>
      </c>
    </row>
    <row r="9" spans="1:13" s="372" customFormat="1" ht="31.5">
      <c r="A9" s="126"/>
      <c r="B9" s="126"/>
      <c r="C9" s="116" t="s">
        <v>516</v>
      </c>
      <c r="D9" s="126"/>
      <c r="E9" s="126"/>
      <c r="F9" s="274"/>
      <c r="G9" s="275"/>
      <c r="H9" s="276"/>
      <c r="I9" s="274"/>
      <c r="J9" s="276"/>
      <c r="K9" s="274"/>
      <c r="L9" s="276"/>
      <c r="M9" s="276"/>
    </row>
    <row r="10" spans="1:13" s="375" customFormat="1" ht="70.5" customHeight="1">
      <c r="A10" s="77">
        <v>1</v>
      </c>
      <c r="B10" s="28" t="s">
        <v>484</v>
      </c>
      <c r="C10" s="75" t="s">
        <v>517</v>
      </c>
      <c r="D10" s="77" t="s">
        <v>121</v>
      </c>
      <c r="E10" s="373"/>
      <c r="F10" s="312">
        <v>2</v>
      </c>
      <c r="G10" s="217"/>
      <c r="H10" s="217"/>
      <c r="I10" s="217"/>
      <c r="J10" s="217"/>
      <c r="K10" s="217"/>
      <c r="L10" s="217"/>
      <c r="M10" s="217"/>
    </row>
    <row r="11" spans="1:13" s="374" customFormat="1" ht="13.5" customHeight="1">
      <c r="A11" s="65"/>
      <c r="B11" s="78"/>
      <c r="C11" s="78" t="s">
        <v>141</v>
      </c>
      <c r="D11" s="1" t="s">
        <v>366</v>
      </c>
      <c r="E11" s="1">
        <v>2.75</v>
      </c>
      <c r="F11" s="218">
        <f>F10*E11</f>
        <v>5.5</v>
      </c>
      <c r="G11" s="218"/>
      <c r="H11" s="218"/>
      <c r="I11" s="218">
        <v>6</v>
      </c>
      <c r="J11" s="218">
        <f>F11*I11</f>
        <v>33</v>
      </c>
      <c r="K11" s="218"/>
      <c r="L11" s="218"/>
      <c r="M11" s="218">
        <f>H11+J11+L11</f>
        <v>33</v>
      </c>
    </row>
    <row r="12" spans="1:13" s="375" customFormat="1" ht="13.5" customHeight="1">
      <c r="A12" s="65"/>
      <c r="B12" s="78"/>
      <c r="C12" s="78" t="s">
        <v>62</v>
      </c>
      <c r="D12" s="65" t="s">
        <v>43</v>
      </c>
      <c r="E12" s="1">
        <v>0.06</v>
      </c>
      <c r="F12" s="218">
        <f>F10*E12</f>
        <v>0.12</v>
      </c>
      <c r="G12" s="218"/>
      <c r="H12" s="218"/>
      <c r="I12" s="218"/>
      <c r="J12" s="218"/>
      <c r="K12" s="218">
        <v>3.2</v>
      </c>
      <c r="L12" s="218">
        <f>F12*K12</f>
        <v>0.384</v>
      </c>
      <c r="M12" s="218">
        <f>H12+J12+L12</f>
        <v>0.384</v>
      </c>
    </row>
    <row r="13" spans="1:13" s="331" customFormat="1" ht="13.5" customHeight="1">
      <c r="A13" s="65"/>
      <c r="B13" s="78"/>
      <c r="C13" s="79" t="s">
        <v>56</v>
      </c>
      <c r="D13" s="65"/>
      <c r="E13" s="1"/>
      <c r="F13" s="218"/>
      <c r="G13" s="218"/>
      <c r="H13" s="218"/>
      <c r="I13" s="218"/>
      <c r="J13" s="218"/>
      <c r="K13" s="218"/>
      <c r="L13" s="218"/>
      <c r="M13" s="218">
        <f>H13+J13+L13</f>
        <v>0</v>
      </c>
    </row>
    <row r="14" spans="1:16" s="331" customFormat="1" ht="13.5" customHeight="1">
      <c r="A14" s="65"/>
      <c r="B14" s="78"/>
      <c r="C14" s="111" t="s">
        <v>486</v>
      </c>
      <c r="D14" s="62" t="s">
        <v>241</v>
      </c>
      <c r="E14" s="1">
        <v>1</v>
      </c>
      <c r="F14" s="218">
        <f>F10*E14</f>
        <v>2</v>
      </c>
      <c r="G14" s="218">
        <v>106.63</v>
      </c>
      <c r="H14" s="218">
        <f>F14*G14</f>
        <v>213.26</v>
      </c>
      <c r="I14" s="218"/>
      <c r="J14" s="218"/>
      <c r="K14" s="218"/>
      <c r="L14" s="218"/>
      <c r="M14" s="218">
        <f>H14+J14+L14</f>
        <v>213.26</v>
      </c>
      <c r="P14" s="331">
        <f>60+22.63+8*3</f>
        <v>106.63</v>
      </c>
    </row>
    <row r="15" spans="1:13" s="331" customFormat="1" ht="13.5" customHeight="1">
      <c r="A15" s="65"/>
      <c r="B15" s="78"/>
      <c r="C15" s="78" t="s">
        <v>57</v>
      </c>
      <c r="D15" s="65" t="s">
        <v>43</v>
      </c>
      <c r="E15" s="199">
        <v>1.75</v>
      </c>
      <c r="F15" s="218">
        <f>F10*E15</f>
        <v>3.5</v>
      </c>
      <c r="G15" s="218">
        <v>3.2</v>
      </c>
      <c r="H15" s="218">
        <f>F15*G15</f>
        <v>11.200000000000001</v>
      </c>
      <c r="I15" s="218"/>
      <c r="J15" s="218"/>
      <c r="K15" s="218"/>
      <c r="L15" s="218"/>
      <c r="M15" s="218">
        <f>H15+J15+L15</f>
        <v>11.200000000000001</v>
      </c>
    </row>
    <row r="16" spans="1:13" s="375" customFormat="1" ht="81">
      <c r="A16" s="77">
        <v>2</v>
      </c>
      <c r="B16" s="28" t="s">
        <v>484</v>
      </c>
      <c r="C16" s="75" t="s">
        <v>536</v>
      </c>
      <c r="D16" s="77" t="s">
        <v>121</v>
      </c>
      <c r="E16" s="373"/>
      <c r="F16" s="312">
        <v>2</v>
      </c>
      <c r="G16" s="217"/>
      <c r="H16" s="217"/>
      <c r="I16" s="217"/>
      <c r="J16" s="217"/>
      <c r="K16" s="217"/>
      <c r="L16" s="217"/>
      <c r="M16" s="217"/>
    </row>
    <row r="17" spans="1:13" s="374" customFormat="1" ht="13.5" customHeight="1">
      <c r="A17" s="65"/>
      <c r="B17" s="78"/>
      <c r="C17" s="78" t="s">
        <v>141</v>
      </c>
      <c r="D17" s="65" t="s">
        <v>55</v>
      </c>
      <c r="E17" s="1">
        <v>2.75</v>
      </c>
      <c r="F17" s="218">
        <f>F16*E17</f>
        <v>5.5</v>
      </c>
      <c r="G17" s="218"/>
      <c r="H17" s="218"/>
      <c r="I17" s="218">
        <v>6</v>
      </c>
      <c r="J17" s="218">
        <f>F17*I17</f>
        <v>33</v>
      </c>
      <c r="K17" s="218"/>
      <c r="L17" s="218"/>
      <c r="M17" s="218">
        <f>H17+J17+L17</f>
        <v>33</v>
      </c>
    </row>
    <row r="18" spans="1:13" s="375" customFormat="1" ht="13.5" customHeight="1">
      <c r="A18" s="65"/>
      <c r="B18" s="78"/>
      <c r="C18" s="78" t="s">
        <v>62</v>
      </c>
      <c r="D18" s="65" t="s">
        <v>43</v>
      </c>
      <c r="E18" s="1">
        <v>0.06</v>
      </c>
      <c r="F18" s="218">
        <f>F16*E18</f>
        <v>0.12</v>
      </c>
      <c r="G18" s="218"/>
      <c r="H18" s="218"/>
      <c r="I18" s="218"/>
      <c r="J18" s="218"/>
      <c r="K18" s="218">
        <v>3.2</v>
      </c>
      <c r="L18" s="218">
        <f>F18*K18</f>
        <v>0.384</v>
      </c>
      <c r="M18" s="218">
        <f>H18+J18+L18</f>
        <v>0.384</v>
      </c>
    </row>
    <row r="19" spans="1:13" s="331" customFormat="1" ht="13.5" customHeight="1">
      <c r="A19" s="65"/>
      <c r="B19" s="78"/>
      <c r="C19" s="79" t="s">
        <v>56</v>
      </c>
      <c r="D19" s="65"/>
      <c r="E19" s="1"/>
      <c r="F19" s="218"/>
      <c r="G19" s="218"/>
      <c r="H19" s="218"/>
      <c r="I19" s="218"/>
      <c r="J19" s="218"/>
      <c r="K19" s="218"/>
      <c r="L19" s="218"/>
      <c r="M19" s="218">
        <f>H19+J19+L19</f>
        <v>0</v>
      </c>
    </row>
    <row r="20" spans="1:16" s="331" customFormat="1" ht="13.5" customHeight="1">
      <c r="A20" s="65"/>
      <c r="B20" s="78"/>
      <c r="C20" s="111" t="s">
        <v>486</v>
      </c>
      <c r="D20" s="62" t="s">
        <v>241</v>
      </c>
      <c r="E20" s="1">
        <v>1</v>
      </c>
      <c r="F20" s="218">
        <f>F16*E20</f>
        <v>2</v>
      </c>
      <c r="G20" s="218">
        <v>315</v>
      </c>
      <c r="H20" s="218">
        <f>F20*G20</f>
        <v>630</v>
      </c>
      <c r="I20" s="218"/>
      <c r="J20" s="218"/>
      <c r="K20" s="218"/>
      <c r="L20" s="218"/>
      <c r="M20" s="218">
        <f>H20+J20+L20</f>
        <v>630</v>
      </c>
      <c r="P20" s="331">
        <f>60+199+8*7</f>
        <v>315</v>
      </c>
    </row>
    <row r="21" spans="1:13" s="331" customFormat="1" ht="13.5" customHeight="1">
      <c r="A21" s="65"/>
      <c r="B21" s="78"/>
      <c r="C21" s="78" t="s">
        <v>57</v>
      </c>
      <c r="D21" s="65" t="s">
        <v>43</v>
      </c>
      <c r="E21" s="199">
        <v>1.75</v>
      </c>
      <c r="F21" s="218">
        <f>F16*E21</f>
        <v>3.5</v>
      </c>
      <c r="G21" s="218">
        <v>3.2</v>
      </c>
      <c r="H21" s="218">
        <f>F21*G21</f>
        <v>11.200000000000001</v>
      </c>
      <c r="I21" s="218"/>
      <c r="J21" s="218"/>
      <c r="K21" s="218"/>
      <c r="L21" s="218"/>
      <c r="M21" s="218">
        <f>H21+J21+L21</f>
        <v>11.200000000000001</v>
      </c>
    </row>
    <row r="22" spans="1:13" s="375" customFormat="1" ht="71.25" customHeight="1">
      <c r="A22" s="77">
        <v>3</v>
      </c>
      <c r="B22" s="28" t="s">
        <v>484</v>
      </c>
      <c r="C22" s="75" t="s">
        <v>537</v>
      </c>
      <c r="D22" s="77" t="s">
        <v>121</v>
      </c>
      <c r="E22" s="373"/>
      <c r="F22" s="312">
        <v>1</v>
      </c>
      <c r="G22" s="217"/>
      <c r="H22" s="217"/>
      <c r="I22" s="217"/>
      <c r="J22" s="217"/>
      <c r="K22" s="217"/>
      <c r="L22" s="217"/>
      <c r="M22" s="217"/>
    </row>
    <row r="23" spans="1:13" s="374" customFormat="1" ht="13.5" customHeight="1">
      <c r="A23" s="65"/>
      <c r="B23" s="78"/>
      <c r="C23" s="78" t="s">
        <v>141</v>
      </c>
      <c r="D23" s="1" t="s">
        <v>366</v>
      </c>
      <c r="E23" s="1">
        <v>2.75</v>
      </c>
      <c r="F23" s="218">
        <f>F22*E23</f>
        <v>2.75</v>
      </c>
      <c r="G23" s="218"/>
      <c r="H23" s="218"/>
      <c r="I23" s="218">
        <v>6</v>
      </c>
      <c r="J23" s="218">
        <f>F23*I23</f>
        <v>16.5</v>
      </c>
      <c r="K23" s="218"/>
      <c r="L23" s="218"/>
      <c r="M23" s="218">
        <f>H23+J23+L23</f>
        <v>16.5</v>
      </c>
    </row>
    <row r="24" spans="1:13" s="375" customFormat="1" ht="13.5" customHeight="1">
      <c r="A24" s="65"/>
      <c r="B24" s="78"/>
      <c r="C24" s="78" t="s">
        <v>62</v>
      </c>
      <c r="D24" s="65" t="s">
        <v>43</v>
      </c>
      <c r="E24" s="1">
        <v>0.06</v>
      </c>
      <c r="F24" s="218">
        <f>F22*E24</f>
        <v>0.06</v>
      </c>
      <c r="G24" s="218"/>
      <c r="H24" s="218"/>
      <c r="I24" s="218"/>
      <c r="J24" s="218"/>
      <c r="K24" s="218">
        <v>3.2</v>
      </c>
      <c r="L24" s="218">
        <f>F24*K24</f>
        <v>0.192</v>
      </c>
      <c r="M24" s="218">
        <f>H24+J24+L24</f>
        <v>0.192</v>
      </c>
    </row>
    <row r="25" spans="1:13" s="331" customFormat="1" ht="13.5" customHeight="1">
      <c r="A25" s="65"/>
      <c r="B25" s="78"/>
      <c r="C25" s="79" t="s">
        <v>56</v>
      </c>
      <c r="D25" s="65"/>
      <c r="E25" s="1"/>
      <c r="F25" s="218"/>
      <c r="G25" s="218"/>
      <c r="H25" s="218"/>
      <c r="I25" s="218"/>
      <c r="J25" s="218"/>
      <c r="K25" s="218"/>
      <c r="L25" s="218"/>
      <c r="M25" s="218">
        <f>H25+J25+L25</f>
        <v>0</v>
      </c>
    </row>
    <row r="26" spans="1:16" s="331" customFormat="1" ht="13.5" customHeight="1">
      <c r="A26" s="65"/>
      <c r="B26" s="78"/>
      <c r="C26" s="111" t="s">
        <v>486</v>
      </c>
      <c r="D26" s="62" t="s">
        <v>241</v>
      </c>
      <c r="E26" s="1">
        <v>1</v>
      </c>
      <c r="F26" s="218">
        <f>F22*E26</f>
        <v>1</v>
      </c>
      <c r="G26" s="218">
        <v>307</v>
      </c>
      <c r="H26" s="218">
        <f>F26*G26</f>
        <v>307</v>
      </c>
      <c r="I26" s="218"/>
      <c r="J26" s="218"/>
      <c r="K26" s="218"/>
      <c r="L26" s="218"/>
      <c r="M26" s="218">
        <f>H26+J26+L26</f>
        <v>307</v>
      </c>
      <c r="P26" s="331">
        <f>60+199+8*6</f>
        <v>307</v>
      </c>
    </row>
    <row r="27" spans="1:13" s="331" customFormat="1" ht="13.5" customHeight="1">
      <c r="A27" s="65"/>
      <c r="B27" s="78"/>
      <c r="C27" s="78" t="s">
        <v>57</v>
      </c>
      <c r="D27" s="65" t="s">
        <v>43</v>
      </c>
      <c r="E27" s="199">
        <v>1.75</v>
      </c>
      <c r="F27" s="218">
        <f>F22*E27</f>
        <v>1.75</v>
      </c>
      <c r="G27" s="218">
        <v>3.2</v>
      </c>
      <c r="H27" s="218">
        <f>F27*G27</f>
        <v>5.6000000000000005</v>
      </c>
      <c r="I27" s="218"/>
      <c r="J27" s="218"/>
      <c r="K27" s="218"/>
      <c r="L27" s="218"/>
      <c r="M27" s="218">
        <f>H27+J27+L27</f>
        <v>5.6000000000000005</v>
      </c>
    </row>
    <row r="28" spans="1:13" s="375" customFormat="1" ht="69.75" customHeight="1">
      <c r="A28" s="77">
        <v>4</v>
      </c>
      <c r="B28" s="28" t="s">
        <v>484</v>
      </c>
      <c r="C28" s="75" t="s">
        <v>538</v>
      </c>
      <c r="D28" s="77" t="s">
        <v>121</v>
      </c>
      <c r="E28" s="373"/>
      <c r="F28" s="312">
        <v>1</v>
      </c>
      <c r="G28" s="217"/>
      <c r="H28" s="217"/>
      <c r="I28" s="217"/>
      <c r="J28" s="217"/>
      <c r="K28" s="217"/>
      <c r="L28" s="217"/>
      <c r="M28" s="217"/>
    </row>
    <row r="29" spans="1:13" s="374" customFormat="1" ht="13.5" customHeight="1">
      <c r="A29" s="65"/>
      <c r="B29" s="78"/>
      <c r="C29" s="78" t="s">
        <v>141</v>
      </c>
      <c r="D29" s="1" t="s">
        <v>366</v>
      </c>
      <c r="E29" s="1">
        <v>2.75</v>
      </c>
      <c r="F29" s="218">
        <f>F28*E29</f>
        <v>2.75</v>
      </c>
      <c r="G29" s="218"/>
      <c r="H29" s="218"/>
      <c r="I29" s="218">
        <v>6</v>
      </c>
      <c r="J29" s="218">
        <f>F29*I29</f>
        <v>16.5</v>
      </c>
      <c r="K29" s="218"/>
      <c r="L29" s="218"/>
      <c r="M29" s="218">
        <f aca="true" t="shared" si="0" ref="M29:M34">H29+J29+L29</f>
        <v>16.5</v>
      </c>
    </row>
    <row r="30" spans="1:13" s="375" customFormat="1" ht="13.5" customHeight="1">
      <c r="A30" s="65"/>
      <c r="B30" s="78"/>
      <c r="C30" s="78" t="s">
        <v>62</v>
      </c>
      <c r="D30" s="65" t="s">
        <v>43</v>
      </c>
      <c r="E30" s="1">
        <v>0.06</v>
      </c>
      <c r="F30" s="218">
        <f>F28*E30</f>
        <v>0.06</v>
      </c>
      <c r="G30" s="218"/>
      <c r="H30" s="218"/>
      <c r="I30" s="218"/>
      <c r="J30" s="218"/>
      <c r="K30" s="218">
        <v>3.2</v>
      </c>
      <c r="L30" s="218">
        <f>F30*K30</f>
        <v>0.192</v>
      </c>
      <c r="M30" s="218">
        <f t="shared" si="0"/>
        <v>0.192</v>
      </c>
    </row>
    <row r="31" spans="1:13" s="331" customFormat="1" ht="13.5" customHeight="1">
      <c r="A31" s="65"/>
      <c r="B31" s="78"/>
      <c r="C31" s="79" t="s">
        <v>56</v>
      </c>
      <c r="D31" s="65"/>
      <c r="E31" s="1"/>
      <c r="F31" s="218"/>
      <c r="G31" s="218"/>
      <c r="H31" s="218"/>
      <c r="I31" s="218"/>
      <c r="J31" s="218"/>
      <c r="K31" s="218"/>
      <c r="L31" s="218"/>
      <c r="M31" s="218">
        <f t="shared" si="0"/>
        <v>0</v>
      </c>
    </row>
    <row r="32" spans="1:16" s="331" customFormat="1" ht="13.5" customHeight="1">
      <c r="A32" s="65"/>
      <c r="B32" s="78"/>
      <c r="C32" s="111" t="s">
        <v>486</v>
      </c>
      <c r="D32" s="62" t="s">
        <v>241</v>
      </c>
      <c r="E32" s="1">
        <v>1</v>
      </c>
      <c r="F32" s="218">
        <f>F28*E32</f>
        <v>1</v>
      </c>
      <c r="G32" s="218">
        <v>156.65</v>
      </c>
      <c r="H32" s="218">
        <f>F32*G32</f>
        <v>156.65</v>
      </c>
      <c r="I32" s="218"/>
      <c r="J32" s="218"/>
      <c r="K32" s="218"/>
      <c r="L32" s="218"/>
      <c r="M32" s="218">
        <f t="shared" si="0"/>
        <v>156.65</v>
      </c>
      <c r="P32" s="331">
        <f>60+48.65+8*6</f>
        <v>156.65</v>
      </c>
    </row>
    <row r="33" spans="1:13" s="331" customFormat="1" ht="13.5" customHeight="1">
      <c r="A33" s="65"/>
      <c r="B33" s="78"/>
      <c r="C33" s="78" t="s">
        <v>57</v>
      </c>
      <c r="D33" s="65" t="s">
        <v>43</v>
      </c>
      <c r="E33" s="199">
        <v>1.75</v>
      </c>
      <c r="F33" s="218">
        <f>F28*E33</f>
        <v>1.75</v>
      </c>
      <c r="G33" s="218">
        <v>3.2</v>
      </c>
      <c r="H33" s="218">
        <f>F33*G33</f>
        <v>5.6000000000000005</v>
      </c>
      <c r="I33" s="218"/>
      <c r="J33" s="218"/>
      <c r="K33" s="218"/>
      <c r="L33" s="218"/>
      <c r="M33" s="218">
        <f t="shared" si="0"/>
        <v>5.6000000000000005</v>
      </c>
    </row>
    <row r="34" spans="1:13" s="331" customFormat="1" ht="13.5">
      <c r="A34" s="91">
        <v>5</v>
      </c>
      <c r="B34" s="240"/>
      <c r="C34" s="112" t="s">
        <v>512</v>
      </c>
      <c r="D34" s="91" t="s">
        <v>121</v>
      </c>
      <c r="E34" s="91"/>
      <c r="F34" s="173">
        <v>90</v>
      </c>
      <c r="G34" s="170">
        <v>0.9</v>
      </c>
      <c r="H34" s="170">
        <f>G34*F34</f>
        <v>81</v>
      </c>
      <c r="I34" s="170"/>
      <c r="J34" s="170"/>
      <c r="K34" s="170"/>
      <c r="L34" s="170"/>
      <c r="M34" s="170">
        <f t="shared" si="0"/>
        <v>81</v>
      </c>
    </row>
    <row r="35" spans="1:13" ht="27">
      <c r="A35" s="1">
        <v>6</v>
      </c>
      <c r="B35" s="337" t="s">
        <v>306</v>
      </c>
      <c r="C35" s="4" t="s">
        <v>529</v>
      </c>
      <c r="D35" s="1" t="s">
        <v>115</v>
      </c>
      <c r="E35" s="1"/>
      <c r="F35" s="312">
        <f>F39+F40+F41+F42+F43+F44</f>
        <v>1270</v>
      </c>
      <c r="G35" s="13"/>
      <c r="H35" s="13"/>
      <c r="I35" s="13"/>
      <c r="J35" s="13"/>
      <c r="K35" s="13"/>
      <c r="L35" s="13"/>
      <c r="M35" s="13"/>
    </row>
    <row r="36" spans="1:13" ht="13.5">
      <c r="A36" s="1"/>
      <c r="B36" s="20"/>
      <c r="C36" s="19" t="s">
        <v>54</v>
      </c>
      <c r="D36" s="1" t="s">
        <v>366</v>
      </c>
      <c r="E36" s="1">
        <v>0.11</v>
      </c>
      <c r="F36" s="13">
        <f>F35*E36</f>
        <v>139.7</v>
      </c>
      <c r="G36" s="13"/>
      <c r="H36" s="13"/>
      <c r="I36" s="13">
        <v>4.6</v>
      </c>
      <c r="J36" s="13">
        <f>F36*I36</f>
        <v>642.6199999999999</v>
      </c>
      <c r="K36" s="13"/>
      <c r="L36" s="13"/>
      <c r="M36" s="13">
        <f>H36+J36+L36</f>
        <v>642.6199999999999</v>
      </c>
    </row>
    <row r="37" spans="1:13" ht="13.5">
      <c r="A37" s="1"/>
      <c r="B37" s="1"/>
      <c r="C37" s="19" t="s">
        <v>99</v>
      </c>
      <c r="D37" s="1" t="s">
        <v>43</v>
      </c>
      <c r="E37" s="1">
        <v>0.0027</v>
      </c>
      <c r="F37" s="13">
        <f>F35*E37</f>
        <v>3.4290000000000003</v>
      </c>
      <c r="G37" s="13"/>
      <c r="H37" s="13"/>
      <c r="I37" s="13"/>
      <c r="J37" s="13"/>
      <c r="K37" s="13">
        <v>3.2</v>
      </c>
      <c r="L37" s="13">
        <f>F37*K37</f>
        <v>10.972800000000001</v>
      </c>
      <c r="M37" s="13">
        <f>J37+H37+L37</f>
        <v>10.972800000000001</v>
      </c>
    </row>
    <row r="38" spans="1:13" ht="13.5">
      <c r="A38" s="1"/>
      <c r="B38" s="20"/>
      <c r="C38" s="19" t="s">
        <v>56</v>
      </c>
      <c r="D38" s="1"/>
      <c r="E38" s="1"/>
      <c r="F38" s="13"/>
      <c r="G38" s="13"/>
      <c r="H38" s="13"/>
      <c r="I38" s="13"/>
      <c r="J38" s="13"/>
      <c r="K38" s="13"/>
      <c r="L38" s="13"/>
      <c r="M38" s="13"/>
    </row>
    <row r="39" spans="1:13" ht="27">
      <c r="A39" s="1"/>
      <c r="B39" s="20"/>
      <c r="C39" s="4" t="s">
        <v>523</v>
      </c>
      <c r="D39" s="1" t="s">
        <v>115</v>
      </c>
      <c r="E39" s="1"/>
      <c r="F39" s="292">
        <v>60</v>
      </c>
      <c r="G39" s="2">
        <v>6.66</v>
      </c>
      <c r="H39" s="2">
        <f aca="true" t="shared" si="1" ref="H39:H45">F39*G39</f>
        <v>399.6</v>
      </c>
      <c r="I39" s="2"/>
      <c r="J39" s="2"/>
      <c r="K39" s="2"/>
      <c r="L39" s="2"/>
      <c r="M39" s="2">
        <f aca="true" t="shared" si="2" ref="M39:M44">H39+J39+L39</f>
        <v>399.6</v>
      </c>
    </row>
    <row r="40" spans="1:13" ht="27">
      <c r="A40" s="1"/>
      <c r="B40" s="20"/>
      <c r="C40" s="4" t="s">
        <v>524</v>
      </c>
      <c r="D40" s="1" t="s">
        <v>115</v>
      </c>
      <c r="E40" s="1"/>
      <c r="F40" s="292">
        <v>250</v>
      </c>
      <c r="G40" s="2">
        <v>4.44</v>
      </c>
      <c r="H40" s="2">
        <f t="shared" si="1"/>
        <v>1110</v>
      </c>
      <c r="I40" s="2"/>
      <c r="J40" s="2"/>
      <c r="K40" s="2"/>
      <c r="L40" s="2"/>
      <c r="M40" s="2">
        <f t="shared" si="2"/>
        <v>1110</v>
      </c>
    </row>
    <row r="41" spans="1:13" ht="27">
      <c r="A41" s="1"/>
      <c r="B41" s="20"/>
      <c r="C41" s="4" t="s">
        <v>525</v>
      </c>
      <c r="D41" s="1" t="s">
        <v>115</v>
      </c>
      <c r="E41" s="1"/>
      <c r="F41" s="292">
        <v>620</v>
      </c>
      <c r="G41" s="2">
        <v>2.78</v>
      </c>
      <c r="H41" s="2">
        <f t="shared" si="1"/>
        <v>1723.6</v>
      </c>
      <c r="I41" s="2"/>
      <c r="J41" s="2"/>
      <c r="K41" s="2"/>
      <c r="L41" s="2"/>
      <c r="M41" s="2">
        <f t="shared" si="2"/>
        <v>1723.6</v>
      </c>
    </row>
    <row r="42" spans="1:13" ht="27">
      <c r="A42" s="1"/>
      <c r="B42" s="20"/>
      <c r="C42" s="4" t="s">
        <v>526</v>
      </c>
      <c r="D42" s="1" t="s">
        <v>115</v>
      </c>
      <c r="E42" s="1"/>
      <c r="F42" s="292">
        <v>170</v>
      </c>
      <c r="G42" s="2">
        <v>29.61</v>
      </c>
      <c r="H42" s="2">
        <f t="shared" si="1"/>
        <v>5033.7</v>
      </c>
      <c r="I42" s="2"/>
      <c r="J42" s="2"/>
      <c r="K42" s="2"/>
      <c r="L42" s="2"/>
      <c r="M42" s="2">
        <f t="shared" si="2"/>
        <v>5033.7</v>
      </c>
    </row>
    <row r="43" spans="1:13" ht="27">
      <c r="A43" s="1"/>
      <c r="B43" s="20"/>
      <c r="C43" s="4" t="s">
        <v>527</v>
      </c>
      <c r="D43" s="1" t="s">
        <v>115</v>
      </c>
      <c r="E43" s="1"/>
      <c r="F43" s="292">
        <v>100</v>
      </c>
      <c r="G43" s="2">
        <v>46.27</v>
      </c>
      <c r="H43" s="2">
        <f t="shared" si="1"/>
        <v>4627</v>
      </c>
      <c r="I43" s="2"/>
      <c r="J43" s="2"/>
      <c r="K43" s="2"/>
      <c r="L43" s="2"/>
      <c r="M43" s="2">
        <f t="shared" si="2"/>
        <v>4627</v>
      </c>
    </row>
    <row r="44" spans="1:13" ht="27">
      <c r="A44" s="1"/>
      <c r="B44" s="20"/>
      <c r="C44" s="4" t="s">
        <v>528</v>
      </c>
      <c r="D44" s="1" t="s">
        <v>115</v>
      </c>
      <c r="E44" s="1"/>
      <c r="F44" s="292">
        <v>70</v>
      </c>
      <c r="G44" s="2">
        <v>7.4</v>
      </c>
      <c r="H44" s="2">
        <f t="shared" si="1"/>
        <v>518</v>
      </c>
      <c r="I44" s="2"/>
      <c r="J44" s="2"/>
      <c r="K44" s="2"/>
      <c r="L44" s="2"/>
      <c r="M44" s="2">
        <f t="shared" si="2"/>
        <v>518</v>
      </c>
    </row>
    <row r="45" spans="1:13" ht="13.5">
      <c r="A45" s="37"/>
      <c r="B45" s="153"/>
      <c r="C45" s="123" t="s">
        <v>57</v>
      </c>
      <c r="D45" s="37" t="s">
        <v>43</v>
      </c>
      <c r="E45" s="37">
        <v>0.0349</v>
      </c>
      <c r="F45" s="124">
        <f>F35*E45</f>
        <v>44.323</v>
      </c>
      <c r="G45" s="13">
        <v>3.2</v>
      </c>
      <c r="H45" s="13">
        <f t="shared" si="1"/>
        <v>141.83360000000002</v>
      </c>
      <c r="I45" s="13"/>
      <c r="J45" s="13"/>
      <c r="K45" s="13"/>
      <c r="L45" s="13"/>
      <c r="M45" s="13">
        <f>J45+H45+L45</f>
        <v>141.83360000000002</v>
      </c>
    </row>
    <row r="46" spans="1:13" s="268" customFormat="1" ht="16.5" customHeight="1">
      <c r="A46" s="28">
        <v>7</v>
      </c>
      <c r="B46" s="376" t="s">
        <v>505</v>
      </c>
      <c r="C46" s="43" t="s">
        <v>293</v>
      </c>
      <c r="D46" s="28" t="s">
        <v>85</v>
      </c>
      <c r="E46" s="28"/>
      <c r="F46" s="164">
        <f>F39+F40+F41+F44</f>
        <v>1000</v>
      </c>
      <c r="G46" s="30"/>
      <c r="H46" s="30"/>
      <c r="I46" s="30"/>
      <c r="J46" s="30"/>
      <c r="K46" s="30"/>
      <c r="L46" s="30"/>
      <c r="M46" s="30"/>
    </row>
    <row r="47" spans="1:13" s="268" customFormat="1" ht="14.25" customHeight="1">
      <c r="A47" s="1"/>
      <c r="B47" s="377"/>
      <c r="C47" s="19" t="s">
        <v>54</v>
      </c>
      <c r="D47" s="1" t="s">
        <v>366</v>
      </c>
      <c r="E47" s="1">
        <v>0.14</v>
      </c>
      <c r="F47" s="13">
        <f>F46*E47</f>
        <v>140</v>
      </c>
      <c r="G47" s="13"/>
      <c r="H47" s="13"/>
      <c r="I47" s="13">
        <v>4.6</v>
      </c>
      <c r="J47" s="13">
        <f>F47*I47</f>
        <v>644</v>
      </c>
      <c r="K47" s="13"/>
      <c r="L47" s="13"/>
      <c r="M47" s="13">
        <f>H47+J47+L47</f>
        <v>644</v>
      </c>
    </row>
    <row r="48" spans="1:13" s="268" customFormat="1" ht="13.5">
      <c r="A48" s="1"/>
      <c r="B48" s="378"/>
      <c r="C48" s="19" t="s">
        <v>99</v>
      </c>
      <c r="D48" s="1" t="s">
        <v>43</v>
      </c>
      <c r="E48" s="1">
        <v>0.0022</v>
      </c>
      <c r="F48" s="13">
        <f>F46*E48</f>
        <v>2.2</v>
      </c>
      <c r="G48" s="13"/>
      <c r="H48" s="13"/>
      <c r="I48" s="13"/>
      <c r="J48" s="13"/>
      <c r="K48" s="13">
        <v>3.2</v>
      </c>
      <c r="L48" s="13">
        <f>F48*K48</f>
        <v>7.040000000000001</v>
      </c>
      <c r="M48" s="13">
        <f>H48+J48+L48</f>
        <v>7.040000000000001</v>
      </c>
    </row>
    <row r="49" spans="1:13" s="121" customFormat="1" ht="13.5">
      <c r="A49" s="1"/>
      <c r="B49" s="377"/>
      <c r="C49" s="19" t="s">
        <v>56</v>
      </c>
      <c r="D49" s="1"/>
      <c r="E49" s="1"/>
      <c r="F49" s="13"/>
      <c r="G49" s="13"/>
      <c r="H49" s="13"/>
      <c r="I49" s="13"/>
      <c r="J49" s="13"/>
      <c r="K49" s="13"/>
      <c r="L49" s="13"/>
      <c r="M49" s="13"/>
    </row>
    <row r="50" spans="1:13" s="121" customFormat="1" ht="15" customHeight="1">
      <c r="A50" s="1"/>
      <c r="B50" s="377"/>
      <c r="C50" s="4" t="s">
        <v>294</v>
      </c>
      <c r="D50" s="1" t="s">
        <v>85</v>
      </c>
      <c r="E50" s="1">
        <v>1</v>
      </c>
      <c r="F50" s="13">
        <f>F46*E50</f>
        <v>1000</v>
      </c>
      <c r="G50" s="13">
        <v>0.42</v>
      </c>
      <c r="H50" s="13">
        <f>F50*G50</f>
        <v>420</v>
      </c>
      <c r="I50" s="13"/>
      <c r="J50" s="13"/>
      <c r="K50" s="13"/>
      <c r="L50" s="13"/>
      <c r="M50" s="13">
        <f>H50+J50+L50</f>
        <v>420</v>
      </c>
    </row>
    <row r="51" spans="1:13" s="121" customFormat="1" ht="13.5">
      <c r="A51" s="37"/>
      <c r="B51" s="379"/>
      <c r="C51" s="123" t="s">
        <v>57</v>
      </c>
      <c r="D51" s="37" t="s">
        <v>43</v>
      </c>
      <c r="E51" s="37">
        <v>0.0803</v>
      </c>
      <c r="F51" s="124">
        <f>F46*E51</f>
        <v>80.3</v>
      </c>
      <c r="G51" s="124">
        <v>3.2</v>
      </c>
      <c r="H51" s="124">
        <f>F51*G51</f>
        <v>256.96</v>
      </c>
      <c r="I51" s="124"/>
      <c r="J51" s="124"/>
      <c r="K51" s="124"/>
      <c r="L51" s="124"/>
      <c r="M51" s="124">
        <f>H51+J51+L51</f>
        <v>256.96</v>
      </c>
    </row>
    <row r="52" spans="1:13" s="268" customFormat="1" ht="16.5" customHeight="1">
      <c r="A52" s="1">
        <v>8</v>
      </c>
      <c r="B52" s="378" t="s">
        <v>508</v>
      </c>
      <c r="C52" s="4" t="s">
        <v>530</v>
      </c>
      <c r="D52" s="1" t="s">
        <v>85</v>
      </c>
      <c r="E52" s="1"/>
      <c r="F52" s="164">
        <f>F42+F43</f>
        <v>270</v>
      </c>
      <c r="G52" s="30"/>
      <c r="H52" s="30"/>
      <c r="I52" s="30"/>
      <c r="J52" s="30"/>
      <c r="K52" s="30"/>
      <c r="L52" s="30"/>
      <c r="M52" s="30"/>
    </row>
    <row r="53" spans="1:13" s="268" customFormat="1" ht="14.25" customHeight="1">
      <c r="A53" s="1"/>
      <c r="B53" s="377"/>
      <c r="C53" s="19" t="s">
        <v>54</v>
      </c>
      <c r="D53" s="1" t="s">
        <v>366</v>
      </c>
      <c r="E53" s="1">
        <v>0.17</v>
      </c>
      <c r="F53" s="13">
        <f>F52*E53</f>
        <v>45.900000000000006</v>
      </c>
      <c r="G53" s="13"/>
      <c r="H53" s="13"/>
      <c r="I53" s="13">
        <v>4.6</v>
      </c>
      <c r="J53" s="13">
        <f>F53*I53</f>
        <v>211.14000000000001</v>
      </c>
      <c r="K53" s="13"/>
      <c r="L53" s="13"/>
      <c r="M53" s="13">
        <f>H53+J53+L53</f>
        <v>211.14000000000001</v>
      </c>
    </row>
    <row r="54" spans="1:13" s="268" customFormat="1" ht="13.5">
      <c r="A54" s="1"/>
      <c r="B54" s="378"/>
      <c r="C54" s="19" t="s">
        <v>99</v>
      </c>
      <c r="D54" s="1" t="s">
        <v>43</v>
      </c>
      <c r="E54" s="1">
        <v>0.0075</v>
      </c>
      <c r="F54" s="13">
        <f>F52*E54</f>
        <v>2.025</v>
      </c>
      <c r="G54" s="13"/>
      <c r="H54" s="13"/>
      <c r="I54" s="13"/>
      <c r="J54" s="13"/>
      <c r="K54" s="13">
        <v>3.2</v>
      </c>
      <c r="L54" s="13">
        <f>F54*K54</f>
        <v>6.48</v>
      </c>
      <c r="M54" s="13">
        <f>H54+J54+L54</f>
        <v>6.48</v>
      </c>
    </row>
    <row r="55" spans="1:13" s="121" customFormat="1" ht="13.5">
      <c r="A55" s="1"/>
      <c r="B55" s="377"/>
      <c r="C55" s="19" t="s">
        <v>56</v>
      </c>
      <c r="D55" s="1"/>
      <c r="E55" s="1"/>
      <c r="F55" s="13"/>
      <c r="G55" s="13"/>
      <c r="H55" s="13"/>
      <c r="I55" s="13"/>
      <c r="J55" s="13"/>
      <c r="K55" s="13"/>
      <c r="L55" s="13"/>
      <c r="M55" s="13"/>
    </row>
    <row r="56" spans="1:13" s="121" customFormat="1" ht="15" customHeight="1">
      <c r="A56" s="1"/>
      <c r="B56" s="377"/>
      <c r="C56" s="4" t="s">
        <v>531</v>
      </c>
      <c r="D56" s="1" t="s">
        <v>85</v>
      </c>
      <c r="E56" s="1">
        <v>1</v>
      </c>
      <c r="F56" s="13">
        <f>F52*E56</f>
        <v>270</v>
      </c>
      <c r="G56" s="13">
        <v>1.02</v>
      </c>
      <c r="H56" s="13">
        <f>F56*G56</f>
        <v>275.4</v>
      </c>
      <c r="I56" s="13"/>
      <c r="J56" s="13"/>
      <c r="K56" s="13"/>
      <c r="L56" s="13"/>
      <c r="M56" s="13">
        <f>H56+J56+L56</f>
        <v>275.4</v>
      </c>
    </row>
    <row r="57" spans="1:13" s="121" customFormat="1" ht="13.5">
      <c r="A57" s="37"/>
      <c r="B57" s="379"/>
      <c r="C57" s="123" t="s">
        <v>57</v>
      </c>
      <c r="D57" s="37" t="s">
        <v>43</v>
      </c>
      <c r="E57" s="37">
        <v>0.0539</v>
      </c>
      <c r="F57" s="124">
        <f>F52*E57</f>
        <v>14.553</v>
      </c>
      <c r="G57" s="124">
        <v>3.2</v>
      </c>
      <c r="H57" s="124">
        <f>F57*G57</f>
        <v>46.56960000000001</v>
      </c>
      <c r="I57" s="124"/>
      <c r="J57" s="124"/>
      <c r="K57" s="124"/>
      <c r="L57" s="124"/>
      <c r="M57" s="124">
        <f>H57+J57+L57</f>
        <v>46.56960000000001</v>
      </c>
    </row>
    <row r="58" spans="1:13" s="372" customFormat="1" ht="15.75">
      <c r="A58" s="149"/>
      <c r="B58" s="149"/>
      <c r="C58" s="116" t="s">
        <v>481</v>
      </c>
      <c r="D58" s="330"/>
      <c r="E58" s="149"/>
      <c r="F58" s="380"/>
      <c r="G58" s="381"/>
      <c r="H58" s="382"/>
      <c r="I58" s="380"/>
      <c r="J58" s="382"/>
      <c r="K58" s="380"/>
      <c r="L58" s="382"/>
      <c r="M58" s="382"/>
    </row>
    <row r="59" spans="1:13" s="45" customFormat="1" ht="13.5">
      <c r="A59" s="28">
        <v>9</v>
      </c>
      <c r="B59" s="28" t="s">
        <v>86</v>
      </c>
      <c r="C59" s="117" t="s">
        <v>774</v>
      </c>
      <c r="D59" s="152" t="s">
        <v>130</v>
      </c>
      <c r="E59" s="118"/>
      <c r="F59" s="166">
        <v>2</v>
      </c>
      <c r="G59" s="195"/>
      <c r="H59" s="133"/>
      <c r="I59" s="133"/>
      <c r="J59" s="133"/>
      <c r="K59" s="133"/>
      <c r="L59" s="133"/>
      <c r="M59" s="133"/>
    </row>
    <row r="60" spans="1:13" ht="13.5">
      <c r="A60" s="1"/>
      <c r="B60" s="20"/>
      <c r="C60" s="19" t="s">
        <v>54</v>
      </c>
      <c r="D60" s="18" t="s">
        <v>130</v>
      </c>
      <c r="E60" s="1">
        <v>1</v>
      </c>
      <c r="F60" s="115">
        <f>F59*E60</f>
        <v>2</v>
      </c>
      <c r="G60" s="115"/>
      <c r="H60" s="115"/>
      <c r="I60" s="115">
        <v>150</v>
      </c>
      <c r="J60" s="115">
        <f>F60*I60</f>
        <v>300</v>
      </c>
      <c r="K60" s="115"/>
      <c r="L60" s="115"/>
      <c r="M60" s="115">
        <f>H60+J60+L60</f>
        <v>300</v>
      </c>
    </row>
    <row r="61" spans="1:13" s="121" customFormat="1" ht="13.5">
      <c r="A61" s="1"/>
      <c r="B61" s="20"/>
      <c r="C61" s="19" t="s">
        <v>56</v>
      </c>
      <c r="D61" s="1"/>
      <c r="E61" s="1"/>
      <c r="F61" s="115"/>
      <c r="G61" s="115"/>
      <c r="H61" s="115"/>
      <c r="I61" s="115"/>
      <c r="J61" s="115"/>
      <c r="K61" s="115"/>
      <c r="L61" s="115"/>
      <c r="M61" s="115"/>
    </row>
    <row r="62" spans="1:13" s="121" customFormat="1" ht="13.5">
      <c r="A62" s="1"/>
      <c r="B62" s="20"/>
      <c r="C62" s="19" t="s">
        <v>477</v>
      </c>
      <c r="D62" s="18" t="s">
        <v>130</v>
      </c>
      <c r="E62" s="1">
        <v>1</v>
      </c>
      <c r="F62" s="115">
        <f>F59*E62</f>
        <v>2</v>
      </c>
      <c r="G62" s="115">
        <v>1675.4</v>
      </c>
      <c r="H62" s="115">
        <f>F62*G62</f>
        <v>3350.8</v>
      </c>
      <c r="I62" s="115"/>
      <c r="J62" s="115"/>
      <c r="K62" s="115"/>
      <c r="L62" s="115"/>
      <c r="M62" s="115">
        <f>H62+J62+L62</f>
        <v>3350.8</v>
      </c>
    </row>
    <row r="63" spans="1:13" s="383" customFormat="1" ht="27">
      <c r="A63" s="77">
        <v>10</v>
      </c>
      <c r="B63" s="539" t="s">
        <v>879</v>
      </c>
      <c r="C63" s="223" t="s">
        <v>478</v>
      </c>
      <c r="D63" s="77" t="s">
        <v>121</v>
      </c>
      <c r="E63" s="224"/>
      <c r="F63" s="227">
        <v>31</v>
      </c>
      <c r="G63" s="225"/>
      <c r="H63" s="225"/>
      <c r="I63" s="225"/>
      <c r="J63" s="225"/>
      <c r="K63" s="225"/>
      <c r="L63" s="225"/>
      <c r="M63" s="225"/>
    </row>
    <row r="64" spans="1:13" s="268" customFormat="1" ht="14.25" customHeight="1">
      <c r="A64" s="1"/>
      <c r="B64" s="540"/>
      <c r="C64" s="19" t="s">
        <v>54</v>
      </c>
      <c r="D64" s="1" t="s">
        <v>366</v>
      </c>
      <c r="E64" s="1">
        <v>2</v>
      </c>
      <c r="F64" s="13">
        <f>F63*E64</f>
        <v>62</v>
      </c>
      <c r="G64" s="13"/>
      <c r="H64" s="13"/>
      <c r="I64" s="13">
        <v>6</v>
      </c>
      <c r="J64" s="13">
        <f>F64*I64</f>
        <v>372</v>
      </c>
      <c r="K64" s="13"/>
      <c r="L64" s="13"/>
      <c r="M64" s="13">
        <f>H64+J64+L64</f>
        <v>372</v>
      </c>
    </row>
    <row r="65" spans="1:13" s="383" customFormat="1" ht="13.5">
      <c r="A65" s="65"/>
      <c r="B65" s="540"/>
      <c r="C65" s="79" t="s">
        <v>56</v>
      </c>
      <c r="D65" s="65"/>
      <c r="E65" s="226"/>
      <c r="F65" s="226"/>
      <c r="G65" s="226"/>
      <c r="H65" s="226"/>
      <c r="I65" s="226"/>
      <c r="J65" s="226"/>
      <c r="K65" s="226"/>
      <c r="L65" s="226"/>
      <c r="M65" s="226"/>
    </row>
    <row r="66" spans="1:13" s="383" customFormat="1" ht="27">
      <c r="A66" s="65"/>
      <c r="B66" s="540"/>
      <c r="C66" s="111" t="s">
        <v>478</v>
      </c>
      <c r="D66" s="65" t="s">
        <v>121</v>
      </c>
      <c r="E66" s="463">
        <v>1</v>
      </c>
      <c r="F66" s="463">
        <f>F63*E66</f>
        <v>31</v>
      </c>
      <c r="G66" s="463">
        <v>140</v>
      </c>
      <c r="H66" s="463">
        <f>F66*G66</f>
        <v>4340</v>
      </c>
      <c r="I66" s="463"/>
      <c r="J66" s="463"/>
      <c r="K66" s="463"/>
      <c r="L66" s="463"/>
      <c r="M66" s="463">
        <f>J66+H66+L66</f>
        <v>4340</v>
      </c>
    </row>
    <row r="67" spans="1:13" s="121" customFormat="1" ht="13.5">
      <c r="A67" s="37"/>
      <c r="B67" s="379"/>
      <c r="C67" s="123" t="s">
        <v>57</v>
      </c>
      <c r="D67" s="37" t="s">
        <v>43</v>
      </c>
      <c r="E67" s="37">
        <v>0.39</v>
      </c>
      <c r="F67" s="129">
        <f>F63*E67</f>
        <v>12.09</v>
      </c>
      <c r="G67" s="124">
        <v>3.2</v>
      </c>
      <c r="H67" s="124">
        <f>F67*G67</f>
        <v>38.688</v>
      </c>
      <c r="I67" s="124"/>
      <c r="J67" s="124"/>
      <c r="K67" s="124"/>
      <c r="L67" s="124"/>
      <c r="M67" s="124">
        <f>H67+J67+L67</f>
        <v>38.688</v>
      </c>
    </row>
    <row r="68" spans="1:13" s="383" customFormat="1" ht="15" customHeight="1">
      <c r="A68" s="77">
        <v>11</v>
      </c>
      <c r="B68" s="539" t="s">
        <v>880</v>
      </c>
      <c r="C68" s="223" t="s">
        <v>479</v>
      </c>
      <c r="D68" s="77" t="s">
        <v>121</v>
      </c>
      <c r="E68" s="224"/>
      <c r="F68" s="227">
        <v>102</v>
      </c>
      <c r="G68" s="225"/>
      <c r="H68" s="225"/>
      <c r="I68" s="225"/>
      <c r="J68" s="225"/>
      <c r="K68" s="225"/>
      <c r="L68" s="225"/>
      <c r="M68" s="225"/>
    </row>
    <row r="69" spans="1:13" s="268" customFormat="1" ht="14.25" customHeight="1">
      <c r="A69" s="1"/>
      <c r="B69" s="540"/>
      <c r="C69" s="19" t="s">
        <v>54</v>
      </c>
      <c r="D69" s="1" t="s">
        <v>366</v>
      </c>
      <c r="E69" s="1">
        <v>3</v>
      </c>
      <c r="F69" s="13">
        <f>F68*E69</f>
        <v>306</v>
      </c>
      <c r="G69" s="13"/>
      <c r="H69" s="13"/>
      <c r="I69" s="13">
        <v>6</v>
      </c>
      <c r="J69" s="13">
        <f>F69*I69</f>
        <v>1836</v>
      </c>
      <c r="K69" s="13"/>
      <c r="L69" s="13"/>
      <c r="M69" s="13">
        <f>H69+J69+L69</f>
        <v>1836</v>
      </c>
    </row>
    <row r="70" spans="1:13" s="383" customFormat="1" ht="13.5">
      <c r="A70" s="65"/>
      <c r="B70" s="540"/>
      <c r="C70" s="79" t="s">
        <v>56</v>
      </c>
      <c r="D70" s="65"/>
      <c r="E70" s="226"/>
      <c r="F70" s="226"/>
      <c r="G70" s="226"/>
      <c r="H70" s="226"/>
      <c r="I70" s="226"/>
      <c r="J70" s="226"/>
      <c r="K70" s="226"/>
      <c r="L70" s="226"/>
      <c r="M70" s="226"/>
    </row>
    <row r="71" spans="1:13" s="383" customFormat="1" ht="13.5">
      <c r="A71" s="65"/>
      <c r="B71" s="540"/>
      <c r="C71" s="111" t="s">
        <v>479</v>
      </c>
      <c r="D71" s="65" t="s">
        <v>121</v>
      </c>
      <c r="E71" s="226">
        <v>1</v>
      </c>
      <c r="F71" s="226">
        <f>F68*E71</f>
        <v>102</v>
      </c>
      <c r="G71" s="226">
        <v>127.12</v>
      </c>
      <c r="H71" s="226">
        <f>F71*G71</f>
        <v>12966.24</v>
      </c>
      <c r="I71" s="226"/>
      <c r="J71" s="226"/>
      <c r="K71" s="226"/>
      <c r="L71" s="226"/>
      <c r="M71" s="226">
        <f>J71+H71+L71</f>
        <v>12966.24</v>
      </c>
    </row>
    <row r="72" spans="1:13" s="121" customFormat="1" ht="13.5">
      <c r="A72" s="37"/>
      <c r="B72" s="379"/>
      <c r="C72" s="123" t="s">
        <v>57</v>
      </c>
      <c r="D72" s="37" t="s">
        <v>43</v>
      </c>
      <c r="E72" s="37">
        <v>0.87</v>
      </c>
      <c r="F72" s="129">
        <f>F68*E72</f>
        <v>88.74</v>
      </c>
      <c r="G72" s="124">
        <v>3.2</v>
      </c>
      <c r="H72" s="124">
        <f>F72*G72</f>
        <v>283.968</v>
      </c>
      <c r="I72" s="124"/>
      <c r="J72" s="124"/>
      <c r="K72" s="124"/>
      <c r="L72" s="124"/>
      <c r="M72" s="124">
        <f>H72+J72+L72</f>
        <v>283.968</v>
      </c>
    </row>
    <row r="73" spans="1:13" s="383" customFormat="1" ht="13.5">
      <c r="A73" s="77">
        <v>12</v>
      </c>
      <c r="B73" s="539" t="s">
        <v>880</v>
      </c>
      <c r="C73" s="223" t="s">
        <v>480</v>
      </c>
      <c r="D73" s="77" t="s">
        <v>121</v>
      </c>
      <c r="E73" s="224"/>
      <c r="F73" s="227">
        <v>6</v>
      </c>
      <c r="G73" s="225"/>
      <c r="H73" s="225"/>
      <c r="I73" s="225"/>
      <c r="J73" s="225"/>
      <c r="K73" s="225"/>
      <c r="L73" s="225"/>
      <c r="M73" s="225"/>
    </row>
    <row r="74" spans="1:13" s="268" customFormat="1" ht="14.25" customHeight="1">
      <c r="A74" s="1"/>
      <c r="B74" s="540"/>
      <c r="C74" s="19" t="s">
        <v>54</v>
      </c>
      <c r="D74" s="1" t="s">
        <v>366</v>
      </c>
      <c r="E74" s="1">
        <v>3</v>
      </c>
      <c r="F74" s="13">
        <f>F73*E74</f>
        <v>18</v>
      </c>
      <c r="G74" s="13"/>
      <c r="H74" s="13"/>
      <c r="I74" s="13">
        <v>6</v>
      </c>
      <c r="J74" s="13">
        <f>F74*I74</f>
        <v>108</v>
      </c>
      <c r="K74" s="13"/>
      <c r="L74" s="13"/>
      <c r="M74" s="13">
        <f>H74+J74+L74</f>
        <v>108</v>
      </c>
    </row>
    <row r="75" spans="1:13" s="383" customFormat="1" ht="13.5">
      <c r="A75" s="65"/>
      <c r="B75" s="540"/>
      <c r="C75" s="79" t="s">
        <v>56</v>
      </c>
      <c r="D75" s="65"/>
      <c r="E75" s="226"/>
      <c r="F75" s="226"/>
      <c r="G75" s="226"/>
      <c r="H75" s="226"/>
      <c r="I75" s="226"/>
      <c r="J75" s="226"/>
      <c r="K75" s="226"/>
      <c r="L75" s="226"/>
      <c r="M75" s="226"/>
    </row>
    <row r="76" spans="1:13" s="383" customFormat="1" ht="13.5">
      <c r="A76" s="65"/>
      <c r="B76" s="540"/>
      <c r="C76" s="111" t="s">
        <v>480</v>
      </c>
      <c r="D76" s="65" t="s">
        <v>121</v>
      </c>
      <c r="E76" s="226">
        <v>1</v>
      </c>
      <c r="F76" s="226">
        <f>F73*E76</f>
        <v>6</v>
      </c>
      <c r="G76" s="226">
        <v>100</v>
      </c>
      <c r="H76" s="226">
        <f>F76*G76</f>
        <v>600</v>
      </c>
      <c r="I76" s="226"/>
      <c r="J76" s="226"/>
      <c r="K76" s="226"/>
      <c r="L76" s="226"/>
      <c r="M76" s="226">
        <f>J76+H76+L76</f>
        <v>600</v>
      </c>
    </row>
    <row r="77" spans="1:13" s="121" customFormat="1" ht="13.5">
      <c r="A77" s="37"/>
      <c r="B77" s="379"/>
      <c r="C77" s="123" t="s">
        <v>57</v>
      </c>
      <c r="D77" s="37" t="s">
        <v>43</v>
      </c>
      <c r="E77" s="37">
        <v>0.87</v>
      </c>
      <c r="F77" s="129">
        <f>F73*E77</f>
        <v>5.22</v>
      </c>
      <c r="G77" s="124">
        <v>3.2</v>
      </c>
      <c r="H77" s="124">
        <f>F77*G77</f>
        <v>16.704</v>
      </c>
      <c r="I77" s="124"/>
      <c r="J77" s="124"/>
      <c r="K77" s="124"/>
      <c r="L77" s="124"/>
      <c r="M77" s="124">
        <f>H77+J77+L77</f>
        <v>16.704</v>
      </c>
    </row>
    <row r="78" spans="1:13" ht="13.5">
      <c r="A78" s="278"/>
      <c r="B78" s="151"/>
      <c r="C78" s="48" t="s">
        <v>49</v>
      </c>
      <c r="D78" s="52"/>
      <c r="E78" s="52"/>
      <c r="F78" s="180"/>
      <c r="G78" s="161"/>
      <c r="H78" s="161">
        <f>SUM(H11:H77)</f>
        <v>37570.5732</v>
      </c>
      <c r="I78" s="161"/>
      <c r="J78" s="161">
        <f>SUM(J11:J77)</f>
        <v>4212.76</v>
      </c>
      <c r="K78" s="161"/>
      <c r="L78" s="161">
        <f>SUM(L11:L77)</f>
        <v>25.6448</v>
      </c>
      <c r="M78" s="161">
        <f>SUM(M11:M77)</f>
        <v>41808.977999999996</v>
      </c>
    </row>
    <row r="79" spans="1:13" s="317" customFormat="1" ht="13.5">
      <c r="A79" s="228"/>
      <c r="B79" s="228"/>
      <c r="C79" s="232" t="s">
        <v>140</v>
      </c>
      <c r="D79" s="229"/>
      <c r="E79" s="99"/>
      <c r="F79" s="230"/>
      <c r="G79" s="230"/>
      <c r="H79" s="233">
        <f>H76+H71+H66+H62+H26+H32+H20+H14</f>
        <v>22563.949999999997</v>
      </c>
      <c r="I79" s="231"/>
      <c r="J79" s="231"/>
      <c r="K79" s="231"/>
      <c r="L79" s="231"/>
      <c r="M79" s="233">
        <f>H79</f>
        <v>22563.949999999997</v>
      </c>
    </row>
    <row r="80" spans="1:13" s="146" customFormat="1" ht="13.5">
      <c r="A80" s="52"/>
      <c r="B80" s="52"/>
      <c r="C80" s="46" t="s">
        <v>278</v>
      </c>
      <c r="D80" s="81">
        <v>0.75</v>
      </c>
      <c r="E80" s="74"/>
      <c r="F80" s="109"/>
      <c r="G80" s="109"/>
      <c r="H80" s="109"/>
      <c r="I80" s="109"/>
      <c r="J80" s="109">
        <f>J78*D80</f>
        <v>3159.57</v>
      </c>
      <c r="K80" s="109"/>
      <c r="L80" s="109"/>
      <c r="M80" s="109">
        <f>J80</f>
        <v>3159.57</v>
      </c>
    </row>
    <row r="81" spans="1:13" s="146" customFormat="1" ht="15.75" customHeight="1">
      <c r="A81" s="52"/>
      <c r="B81" s="52"/>
      <c r="C81" s="80" t="s">
        <v>49</v>
      </c>
      <c r="D81" s="47"/>
      <c r="E81" s="74"/>
      <c r="F81" s="109"/>
      <c r="G81" s="109"/>
      <c r="H81" s="109">
        <f>H78+H80</f>
        <v>37570.5732</v>
      </c>
      <c r="I81" s="109"/>
      <c r="J81" s="109">
        <f>J78+J80</f>
        <v>7372.33</v>
      </c>
      <c r="K81" s="109"/>
      <c r="L81" s="109">
        <f>L78+L80</f>
        <v>25.6448</v>
      </c>
      <c r="M81" s="109">
        <f>M78+M80</f>
        <v>44968.547999999995</v>
      </c>
    </row>
    <row r="82" spans="1:13" s="146" customFormat="1" ht="13.5">
      <c r="A82" s="52"/>
      <c r="B82" s="52"/>
      <c r="C82" s="38" t="s">
        <v>227</v>
      </c>
      <c r="D82" s="81">
        <v>0.08</v>
      </c>
      <c r="E82" s="74"/>
      <c r="F82" s="109"/>
      <c r="G82" s="109"/>
      <c r="H82" s="109">
        <f>(H81-H79)*D82</f>
        <v>1200.529856</v>
      </c>
      <c r="I82" s="109"/>
      <c r="J82" s="109">
        <f>(J81-J79)*D82</f>
        <v>589.7864</v>
      </c>
      <c r="K82" s="109"/>
      <c r="L82" s="109">
        <f>(L81-L79)*D82</f>
        <v>2.051584</v>
      </c>
      <c r="M82" s="109">
        <f>(M81-M79)*D82</f>
        <v>1792.36784</v>
      </c>
    </row>
    <row r="83" spans="1:13" s="146" customFormat="1" ht="17.25" customHeight="1">
      <c r="A83" s="52"/>
      <c r="B83" s="52"/>
      <c r="C83" s="48" t="s">
        <v>49</v>
      </c>
      <c r="D83" s="52"/>
      <c r="E83" s="49"/>
      <c r="F83" s="169"/>
      <c r="G83" s="169"/>
      <c r="H83" s="188">
        <f>H81+H82</f>
        <v>38771.103056</v>
      </c>
      <c r="I83" s="188"/>
      <c r="J83" s="188">
        <f>J81+J82</f>
        <v>7962.1164</v>
      </c>
      <c r="K83" s="188"/>
      <c r="L83" s="188">
        <f>L81+L82</f>
        <v>27.696384000000002</v>
      </c>
      <c r="M83" s="188">
        <f>M81+M82</f>
        <v>46760.915839999994</v>
      </c>
    </row>
    <row r="84" spans="1:13" ht="13.5">
      <c r="A84" s="45"/>
      <c r="B84" s="55"/>
      <c r="C84" s="9"/>
      <c r="D84" s="55"/>
      <c r="E84" s="55"/>
      <c r="F84" s="55"/>
      <c r="G84" s="55"/>
      <c r="H84" s="355"/>
      <c r="I84" s="355"/>
      <c r="J84" s="355"/>
      <c r="K84" s="355"/>
      <c r="L84" s="355"/>
      <c r="M84" s="355"/>
    </row>
    <row r="85" spans="1:13" ht="13.5">
      <c r="A85" s="268"/>
      <c r="B85" s="492" t="s">
        <v>58</v>
      </c>
      <c r="C85" s="541"/>
      <c r="D85" s="268"/>
      <c r="E85" s="492" t="s">
        <v>482</v>
      </c>
      <c r="F85" s="492"/>
      <c r="G85" s="492"/>
      <c r="H85" s="492"/>
      <c r="I85" s="492"/>
      <c r="J85" s="492"/>
      <c r="K85" s="268"/>
      <c r="L85" s="268"/>
      <c r="M85" s="268"/>
    </row>
    <row r="87" spans="1:13" ht="13.5">
      <c r="A87" s="146"/>
      <c r="B87" s="268"/>
      <c r="C87" s="458" t="s">
        <v>891</v>
      </c>
      <c r="D87" s="268"/>
      <c r="E87" s="492" t="s">
        <v>890</v>
      </c>
      <c r="F87" s="492"/>
      <c r="G87" s="492"/>
      <c r="H87" s="492"/>
      <c r="I87" s="492"/>
      <c r="J87" s="492"/>
      <c r="K87" s="268"/>
      <c r="L87" s="268"/>
      <c r="M87" s="268"/>
    </row>
  </sheetData>
  <sheetProtection/>
  <mergeCells count="24">
    <mergeCell ref="A1:M1"/>
    <mergeCell ref="A2:M2"/>
    <mergeCell ref="A3:M3"/>
    <mergeCell ref="B4:C4"/>
    <mergeCell ref="F4:I4"/>
    <mergeCell ref="J4:K4"/>
    <mergeCell ref="B5:C5"/>
    <mergeCell ref="G5:I5"/>
    <mergeCell ref="J5:K5"/>
    <mergeCell ref="B68:B71"/>
    <mergeCell ref="A6:A7"/>
    <mergeCell ref="B6:B7"/>
    <mergeCell ref="C6:C7"/>
    <mergeCell ref="D6:D7"/>
    <mergeCell ref="E6:F6"/>
    <mergeCell ref="G6:H6"/>
    <mergeCell ref="E87:J87"/>
    <mergeCell ref="B63:B66"/>
    <mergeCell ref="B73:B76"/>
    <mergeCell ref="I6:J6"/>
    <mergeCell ref="K6:L6"/>
    <mergeCell ref="M6:M7"/>
    <mergeCell ref="B85:C85"/>
    <mergeCell ref="E85:J85"/>
  </mergeCells>
  <printOptions horizontalCentered="1"/>
  <pageMargins left="0.4724409448818898" right="0" top="0.5511811023622047" bottom="0.5118110236220472" header="0.31496062992125984" footer="0.31496062992125984"/>
  <pageSetup horizontalDpi="600" verticalDpi="600" orientation="landscape" paperSize="9" scale="98" r:id="rId1"/>
  <headerFooter>
    <oddHeader>&amp;Cსაგანმანათლებლო და სამეცნიერო ინფრასტრუქტურის განვითარების სააგენტო</oddHeader>
    <oddFooter>&amp;Lხარჯთაღრიცხვა&amp;R&amp;P/&amp;N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O153"/>
  <sheetViews>
    <sheetView showZeros="0" zoomScalePageLayoutView="0" workbookViewId="0" topLeftCell="A1">
      <pane ySplit="7" topLeftCell="A137" activePane="bottomLeft" state="frozen"/>
      <selection pane="topLeft" activeCell="A1" sqref="A1"/>
      <selection pane="bottomLeft" activeCell="I6" sqref="I6:J6"/>
    </sheetView>
  </sheetViews>
  <sheetFormatPr defaultColWidth="9.00390625" defaultRowHeight="12.75"/>
  <cols>
    <col min="1" max="1" width="3.375" style="22" customWidth="1"/>
    <col min="2" max="2" width="7.00390625" style="22" customWidth="1"/>
    <col min="3" max="3" width="40.625" style="22" customWidth="1"/>
    <col min="4" max="4" width="8.25390625" style="22" customWidth="1"/>
    <col min="5" max="5" width="7.75390625" style="22" customWidth="1"/>
    <col min="6" max="6" width="13.375" style="22" customWidth="1"/>
    <col min="7" max="7" width="9.625" style="22" customWidth="1"/>
    <col min="8" max="8" width="13.125" style="22" customWidth="1"/>
    <col min="9" max="9" width="8.375" style="22" customWidth="1"/>
    <col min="10" max="10" width="13.375" style="22" customWidth="1"/>
    <col min="11" max="11" width="7.875" style="22" customWidth="1"/>
    <col min="12" max="12" width="12.625" style="22" customWidth="1"/>
    <col min="13" max="13" width="15.25390625" style="22" customWidth="1"/>
    <col min="14" max="14" width="9.125" style="22" customWidth="1"/>
    <col min="15" max="15" width="25.75390625" style="22" customWidth="1"/>
    <col min="16" max="16384" width="9.125" style="22" customWidth="1"/>
  </cols>
  <sheetData>
    <row r="1" spans="1:13" s="314" customFormat="1" ht="17.25" customHeight="1">
      <c r="A1" s="511" t="s">
        <v>894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</row>
    <row r="2" spans="1:13" s="314" customFormat="1" ht="17.25" customHeight="1">
      <c r="A2" s="518" t="s">
        <v>735</v>
      </c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</row>
    <row r="3" spans="1:13" s="314" customFormat="1" ht="16.5" customHeight="1">
      <c r="A3" s="518" t="s">
        <v>359</v>
      </c>
      <c r="B3" s="517"/>
      <c r="C3" s="517"/>
      <c r="D3" s="517"/>
      <c r="E3" s="517"/>
      <c r="F3" s="517"/>
      <c r="G3" s="517"/>
      <c r="H3" s="517"/>
      <c r="I3" s="517"/>
      <c r="J3" s="517"/>
      <c r="K3" s="517"/>
      <c r="L3" s="517"/>
      <c r="M3" s="536"/>
    </row>
    <row r="4" spans="2:12" s="317" customFormat="1" ht="13.5">
      <c r="B4" s="513" t="s">
        <v>428</v>
      </c>
      <c r="C4" s="514"/>
      <c r="D4" s="24"/>
      <c r="E4" s="24"/>
      <c r="F4" s="520" t="s">
        <v>184</v>
      </c>
      <c r="G4" s="520"/>
      <c r="H4" s="520"/>
      <c r="I4" s="520"/>
      <c r="J4" s="542">
        <f>M149</f>
        <v>45667.581592</v>
      </c>
      <c r="K4" s="543"/>
      <c r="L4" s="25" t="s">
        <v>43</v>
      </c>
    </row>
    <row r="5" spans="1:12" s="317" customFormat="1" ht="13.5">
      <c r="A5" s="319"/>
      <c r="B5" s="513" t="s">
        <v>876</v>
      </c>
      <c r="C5" s="514"/>
      <c r="D5" s="26"/>
      <c r="E5" s="26"/>
      <c r="F5" s="25"/>
      <c r="G5" s="531" t="s">
        <v>185</v>
      </c>
      <c r="H5" s="531"/>
      <c r="I5" s="531"/>
      <c r="J5" s="542">
        <f>J149</f>
        <v>12406.55724</v>
      </c>
      <c r="K5" s="543"/>
      <c r="L5" s="25" t="s">
        <v>43</v>
      </c>
    </row>
    <row r="6" spans="1:13" s="314" customFormat="1" ht="42" customHeight="1">
      <c r="A6" s="521" t="s">
        <v>61</v>
      </c>
      <c r="B6" s="474" t="s">
        <v>74</v>
      </c>
      <c r="C6" s="474" t="s">
        <v>63</v>
      </c>
      <c r="D6" s="474" t="s">
        <v>44</v>
      </c>
      <c r="E6" s="529" t="s">
        <v>45</v>
      </c>
      <c r="F6" s="530"/>
      <c r="G6" s="525" t="s">
        <v>46</v>
      </c>
      <c r="H6" s="525"/>
      <c r="I6" s="526" t="s">
        <v>47</v>
      </c>
      <c r="J6" s="526"/>
      <c r="K6" s="526" t="s">
        <v>48</v>
      </c>
      <c r="L6" s="526"/>
      <c r="M6" s="525" t="s">
        <v>49</v>
      </c>
    </row>
    <row r="7" spans="1:13" ht="57" customHeight="1">
      <c r="A7" s="521"/>
      <c r="B7" s="521"/>
      <c r="C7" s="474"/>
      <c r="D7" s="474"/>
      <c r="E7" s="74" t="s">
        <v>50</v>
      </c>
      <c r="F7" s="74" t="s">
        <v>51</v>
      </c>
      <c r="G7" s="320" t="s">
        <v>52</v>
      </c>
      <c r="H7" s="108" t="s">
        <v>49</v>
      </c>
      <c r="I7" s="285" t="s">
        <v>52</v>
      </c>
      <c r="J7" s="108" t="s">
        <v>49</v>
      </c>
      <c r="K7" s="285" t="s">
        <v>52</v>
      </c>
      <c r="L7" s="108" t="s">
        <v>49</v>
      </c>
      <c r="M7" s="525"/>
    </row>
    <row r="8" spans="1:13" ht="15" customHeight="1">
      <c r="A8" s="357" t="s">
        <v>53</v>
      </c>
      <c r="B8" s="357" t="s">
        <v>68</v>
      </c>
      <c r="C8" s="357" t="s">
        <v>69</v>
      </c>
      <c r="D8" s="358" t="s">
        <v>70</v>
      </c>
      <c r="E8" s="359" t="s">
        <v>71</v>
      </c>
      <c r="F8" s="360" t="s">
        <v>72</v>
      </c>
      <c r="G8" s="358" t="s">
        <v>60</v>
      </c>
      <c r="H8" s="360" t="s">
        <v>73</v>
      </c>
      <c r="I8" s="358" t="s">
        <v>109</v>
      </c>
      <c r="J8" s="360" t="s">
        <v>110</v>
      </c>
      <c r="K8" s="360">
        <v>11</v>
      </c>
      <c r="L8" s="357" t="s">
        <v>111</v>
      </c>
      <c r="M8" s="357" t="s">
        <v>112</v>
      </c>
    </row>
    <row r="9" spans="1:13" ht="84" customHeight="1">
      <c r="A9" s="1">
        <v>1</v>
      </c>
      <c r="B9" s="1" t="s">
        <v>181</v>
      </c>
      <c r="C9" s="4" t="s">
        <v>873</v>
      </c>
      <c r="D9" s="1" t="s">
        <v>290</v>
      </c>
      <c r="E9" s="428"/>
      <c r="F9" s="292">
        <v>1</v>
      </c>
      <c r="G9" s="13"/>
      <c r="H9" s="13"/>
      <c r="I9" s="13"/>
      <c r="J9" s="13"/>
      <c r="K9" s="13"/>
      <c r="L9" s="13"/>
      <c r="M9" s="13"/>
    </row>
    <row r="10" spans="1:13" s="268" customFormat="1" ht="14.25" customHeight="1">
      <c r="A10" s="1"/>
      <c r="B10" s="20"/>
      <c r="C10" s="19" t="s">
        <v>141</v>
      </c>
      <c r="D10" s="1" t="s">
        <v>366</v>
      </c>
      <c r="E10" s="1">
        <v>22</v>
      </c>
      <c r="F10" s="13">
        <f>F9*E10</f>
        <v>22</v>
      </c>
      <c r="G10" s="13"/>
      <c r="H10" s="13"/>
      <c r="I10" s="13">
        <v>6</v>
      </c>
      <c r="J10" s="13">
        <f>F10*I10</f>
        <v>132</v>
      </c>
      <c r="K10" s="13"/>
      <c r="L10" s="13"/>
      <c r="M10" s="13">
        <f>H10+J10+L10</f>
        <v>132</v>
      </c>
    </row>
    <row r="11" spans="1:13" s="268" customFormat="1" ht="13.5">
      <c r="A11" s="1"/>
      <c r="B11" s="1"/>
      <c r="C11" s="19" t="s">
        <v>62</v>
      </c>
      <c r="D11" s="1" t="s">
        <v>43</v>
      </c>
      <c r="E11" s="1">
        <v>4.02</v>
      </c>
      <c r="F11" s="13">
        <f>F9*E11</f>
        <v>4.02</v>
      </c>
      <c r="G11" s="13"/>
      <c r="H11" s="13"/>
      <c r="I11" s="13"/>
      <c r="J11" s="13"/>
      <c r="K11" s="13">
        <v>3.2</v>
      </c>
      <c r="L11" s="13">
        <f>F11*K11</f>
        <v>12.863999999999999</v>
      </c>
      <c r="M11" s="13">
        <f>H11+J11+L11</f>
        <v>12.863999999999999</v>
      </c>
    </row>
    <row r="12" spans="1:13" s="121" customFormat="1" ht="13.5">
      <c r="A12" s="1"/>
      <c r="B12" s="20"/>
      <c r="C12" s="19" t="s">
        <v>56</v>
      </c>
      <c r="D12" s="1"/>
      <c r="E12" s="1"/>
      <c r="F12" s="13"/>
      <c r="G12" s="13"/>
      <c r="H12" s="13"/>
      <c r="I12" s="13"/>
      <c r="J12" s="13"/>
      <c r="K12" s="13"/>
      <c r="L12" s="13"/>
      <c r="M12" s="13">
        <f>H12+J12+L12</f>
        <v>0</v>
      </c>
    </row>
    <row r="13" spans="1:13" s="121" customFormat="1" ht="13.5">
      <c r="A13" s="1"/>
      <c r="B13" s="20"/>
      <c r="C13" s="4" t="s">
        <v>483</v>
      </c>
      <c r="D13" s="1" t="s">
        <v>290</v>
      </c>
      <c r="E13" s="1">
        <v>1</v>
      </c>
      <c r="F13" s="13">
        <f>F9*E13</f>
        <v>1</v>
      </c>
      <c r="G13" s="13">
        <v>2072</v>
      </c>
      <c r="H13" s="13">
        <f>F13*G13</f>
        <v>2072</v>
      </c>
      <c r="I13" s="13"/>
      <c r="J13" s="13"/>
      <c r="K13" s="13"/>
      <c r="L13" s="13"/>
      <c r="M13" s="13">
        <f>H13+J13+L13</f>
        <v>2072</v>
      </c>
    </row>
    <row r="14" spans="1:13" s="121" customFormat="1" ht="13.5">
      <c r="A14" s="1"/>
      <c r="B14" s="20"/>
      <c r="C14" s="19" t="s">
        <v>57</v>
      </c>
      <c r="D14" s="1" t="s">
        <v>43</v>
      </c>
      <c r="E14" s="2">
        <v>0.88</v>
      </c>
      <c r="F14" s="13">
        <f>F9*E14</f>
        <v>0.88</v>
      </c>
      <c r="G14" s="13">
        <v>3.2</v>
      </c>
      <c r="H14" s="13">
        <f>F14*G14</f>
        <v>2.8160000000000003</v>
      </c>
      <c r="I14" s="13"/>
      <c r="J14" s="13"/>
      <c r="K14" s="13"/>
      <c r="L14" s="13"/>
      <c r="M14" s="13">
        <f>H14+J14+L14</f>
        <v>2.8160000000000003</v>
      </c>
    </row>
    <row r="15" spans="1:13" s="375" customFormat="1" ht="81">
      <c r="A15" s="77">
        <v>2</v>
      </c>
      <c r="B15" s="28" t="s">
        <v>484</v>
      </c>
      <c r="C15" s="75" t="s">
        <v>532</v>
      </c>
      <c r="D15" s="77" t="s">
        <v>121</v>
      </c>
      <c r="E15" s="373"/>
      <c r="F15" s="312">
        <v>2</v>
      </c>
      <c r="G15" s="217"/>
      <c r="H15" s="217"/>
      <c r="I15" s="217"/>
      <c r="J15" s="217"/>
      <c r="K15" s="217"/>
      <c r="L15" s="217"/>
      <c r="M15" s="217"/>
    </row>
    <row r="16" spans="1:13" s="374" customFormat="1" ht="13.5" customHeight="1">
      <c r="A16" s="65"/>
      <c r="B16" s="78"/>
      <c r="C16" s="78" t="s">
        <v>141</v>
      </c>
      <c r="D16" s="65" t="s">
        <v>55</v>
      </c>
      <c r="E16" s="1">
        <v>2.75</v>
      </c>
      <c r="F16" s="218">
        <f>F15*E16</f>
        <v>5.5</v>
      </c>
      <c r="G16" s="218"/>
      <c r="H16" s="218"/>
      <c r="I16" s="218">
        <v>6</v>
      </c>
      <c r="J16" s="218">
        <f>F16*I16</f>
        <v>33</v>
      </c>
      <c r="K16" s="218"/>
      <c r="L16" s="218"/>
      <c r="M16" s="218">
        <f>H16+J16+L16</f>
        <v>33</v>
      </c>
    </row>
    <row r="17" spans="1:13" s="375" customFormat="1" ht="13.5" customHeight="1">
      <c r="A17" s="65"/>
      <c r="B17" s="78"/>
      <c r="C17" s="78" t="s">
        <v>62</v>
      </c>
      <c r="D17" s="65" t="s">
        <v>43</v>
      </c>
      <c r="E17" s="1">
        <v>0.06</v>
      </c>
      <c r="F17" s="218">
        <f>F15*E17</f>
        <v>0.12</v>
      </c>
      <c r="G17" s="218"/>
      <c r="H17" s="218"/>
      <c r="I17" s="218"/>
      <c r="J17" s="218"/>
      <c r="K17" s="218">
        <v>3.2</v>
      </c>
      <c r="L17" s="218">
        <f>F17*K17</f>
        <v>0.384</v>
      </c>
      <c r="M17" s="218">
        <f>H17+J17+L17</f>
        <v>0.384</v>
      </c>
    </row>
    <row r="18" spans="1:13" s="331" customFormat="1" ht="13.5" customHeight="1">
      <c r="A18" s="65"/>
      <c r="B18" s="78"/>
      <c r="C18" s="79" t="s">
        <v>56</v>
      </c>
      <c r="D18" s="65"/>
      <c r="E18" s="1"/>
      <c r="F18" s="218"/>
      <c r="G18" s="218"/>
      <c r="H18" s="218"/>
      <c r="I18" s="218"/>
      <c r="J18" s="218"/>
      <c r="K18" s="218"/>
      <c r="L18" s="218"/>
      <c r="M18" s="218">
        <f>H18+J18+L18</f>
        <v>0</v>
      </c>
    </row>
    <row r="19" spans="1:15" s="331" customFormat="1" ht="13.5" customHeight="1">
      <c r="A19" s="65"/>
      <c r="B19" s="78"/>
      <c r="C19" s="111" t="s">
        <v>486</v>
      </c>
      <c r="D19" s="62" t="s">
        <v>241</v>
      </c>
      <c r="E19" s="1">
        <v>1</v>
      </c>
      <c r="F19" s="218">
        <f>F15*E19</f>
        <v>2</v>
      </c>
      <c r="G19" s="218">
        <v>145</v>
      </c>
      <c r="H19" s="218">
        <f>F19*G19</f>
        <v>290</v>
      </c>
      <c r="I19" s="218"/>
      <c r="J19" s="218"/>
      <c r="K19" s="218"/>
      <c r="L19" s="218"/>
      <c r="M19" s="218">
        <f>H19+J19+L19</f>
        <v>290</v>
      </c>
      <c r="O19" s="331">
        <f>60+22.63*2+8*5</f>
        <v>145.26</v>
      </c>
    </row>
    <row r="20" spans="1:13" s="331" customFormat="1" ht="13.5" customHeight="1">
      <c r="A20" s="65"/>
      <c r="B20" s="78"/>
      <c r="C20" s="78" t="s">
        <v>57</v>
      </c>
      <c r="D20" s="65" t="s">
        <v>43</v>
      </c>
      <c r="E20" s="199">
        <v>1.75</v>
      </c>
      <c r="F20" s="218">
        <f>F15*E20</f>
        <v>3.5</v>
      </c>
      <c r="G20" s="218">
        <v>3.2</v>
      </c>
      <c r="H20" s="218">
        <f>F20*G20</f>
        <v>11.200000000000001</v>
      </c>
      <c r="I20" s="218"/>
      <c r="J20" s="218"/>
      <c r="K20" s="218"/>
      <c r="L20" s="218"/>
      <c r="M20" s="218">
        <f>H20+J20+L20</f>
        <v>11.200000000000001</v>
      </c>
    </row>
    <row r="21" spans="1:13" s="375" customFormat="1" ht="71.25" customHeight="1">
      <c r="A21" s="77">
        <v>3</v>
      </c>
      <c r="B21" s="28" t="s">
        <v>485</v>
      </c>
      <c r="C21" s="75" t="s">
        <v>487</v>
      </c>
      <c r="D21" s="77" t="s">
        <v>121</v>
      </c>
      <c r="E21" s="373"/>
      <c r="F21" s="312">
        <v>4</v>
      </c>
      <c r="G21" s="217"/>
      <c r="H21" s="217"/>
      <c r="I21" s="217"/>
      <c r="J21" s="217"/>
      <c r="K21" s="217"/>
      <c r="L21" s="217"/>
      <c r="M21" s="217"/>
    </row>
    <row r="22" spans="1:13" s="374" customFormat="1" ht="13.5" customHeight="1">
      <c r="A22" s="65"/>
      <c r="B22" s="78"/>
      <c r="C22" s="78" t="s">
        <v>141</v>
      </c>
      <c r="D22" s="1" t="s">
        <v>366</v>
      </c>
      <c r="E22" s="1">
        <v>6.25</v>
      </c>
      <c r="F22" s="218">
        <f>F21*E22</f>
        <v>25</v>
      </c>
      <c r="G22" s="218"/>
      <c r="H22" s="218"/>
      <c r="I22" s="218">
        <v>6</v>
      </c>
      <c r="J22" s="218">
        <f>F22*I22</f>
        <v>150</v>
      </c>
      <c r="K22" s="218"/>
      <c r="L22" s="218"/>
      <c r="M22" s="218">
        <f>H22+J22+L22</f>
        <v>150</v>
      </c>
    </row>
    <row r="23" spans="1:13" s="375" customFormat="1" ht="13.5" customHeight="1">
      <c r="A23" s="65"/>
      <c r="B23" s="78"/>
      <c r="C23" s="78" t="s">
        <v>62</v>
      </c>
      <c r="D23" s="65" t="s">
        <v>43</v>
      </c>
      <c r="E23" s="1">
        <v>0.16</v>
      </c>
      <c r="F23" s="218">
        <f>F21*E23</f>
        <v>0.64</v>
      </c>
      <c r="G23" s="218"/>
      <c r="H23" s="218"/>
      <c r="I23" s="218"/>
      <c r="J23" s="218"/>
      <c r="K23" s="218">
        <v>3.2</v>
      </c>
      <c r="L23" s="218">
        <f>F23*K23</f>
        <v>2.048</v>
      </c>
      <c r="M23" s="218">
        <f>H23+J23+L23</f>
        <v>2.048</v>
      </c>
    </row>
    <row r="24" spans="1:13" s="331" customFormat="1" ht="13.5" customHeight="1">
      <c r="A24" s="65"/>
      <c r="B24" s="78"/>
      <c r="C24" s="79" t="s">
        <v>56</v>
      </c>
      <c r="D24" s="65"/>
      <c r="E24" s="1"/>
      <c r="F24" s="218"/>
      <c r="G24" s="218"/>
      <c r="H24" s="218"/>
      <c r="I24" s="218"/>
      <c r="J24" s="218"/>
      <c r="K24" s="218"/>
      <c r="L24" s="218"/>
      <c r="M24" s="218">
        <f>H24+J24+L24</f>
        <v>0</v>
      </c>
    </row>
    <row r="25" spans="1:15" s="331" customFormat="1" ht="13.5" customHeight="1">
      <c r="A25" s="65"/>
      <c r="B25" s="78"/>
      <c r="C25" s="111" t="s">
        <v>486</v>
      </c>
      <c r="D25" s="62" t="s">
        <v>241</v>
      </c>
      <c r="E25" s="1">
        <v>1</v>
      </c>
      <c r="F25" s="218">
        <f>F21*E25</f>
        <v>4</v>
      </c>
      <c r="G25" s="218">
        <v>495</v>
      </c>
      <c r="H25" s="218">
        <f>F25*G25</f>
        <v>1980</v>
      </c>
      <c r="I25" s="218"/>
      <c r="J25" s="218"/>
      <c r="K25" s="218"/>
      <c r="L25" s="218"/>
      <c r="M25" s="218">
        <f>H25+J25+L25</f>
        <v>1980</v>
      </c>
      <c r="O25" s="331">
        <f>120+55.6+8*36</f>
        <v>463.6</v>
      </c>
    </row>
    <row r="26" spans="1:13" s="331" customFormat="1" ht="13.5" customHeight="1">
      <c r="A26" s="65"/>
      <c r="B26" s="78"/>
      <c r="C26" s="78" t="s">
        <v>57</v>
      </c>
      <c r="D26" s="65" t="s">
        <v>43</v>
      </c>
      <c r="E26" s="199">
        <v>1.6</v>
      </c>
      <c r="F26" s="218">
        <f>F21*E26</f>
        <v>6.4</v>
      </c>
      <c r="G26" s="218">
        <v>3.2</v>
      </c>
      <c r="H26" s="218">
        <f>F26*G26</f>
        <v>20.480000000000004</v>
      </c>
      <c r="I26" s="218"/>
      <c r="J26" s="218"/>
      <c r="K26" s="218"/>
      <c r="L26" s="218"/>
      <c r="M26" s="218">
        <f>H26+J26+L26</f>
        <v>20.480000000000004</v>
      </c>
    </row>
    <row r="27" spans="1:13" ht="27">
      <c r="A27" s="28">
        <v>4</v>
      </c>
      <c r="B27" s="28" t="s">
        <v>126</v>
      </c>
      <c r="C27" s="117" t="s">
        <v>488</v>
      </c>
      <c r="D27" s="28" t="s">
        <v>59</v>
      </c>
      <c r="E27" s="425"/>
      <c r="F27" s="312">
        <v>116</v>
      </c>
      <c r="G27" s="30"/>
      <c r="H27" s="30"/>
      <c r="I27" s="30"/>
      <c r="J27" s="30"/>
      <c r="K27" s="30"/>
      <c r="L27" s="30"/>
      <c r="M27" s="30"/>
    </row>
    <row r="28" spans="1:13" ht="13.5">
      <c r="A28" s="1"/>
      <c r="B28" s="1"/>
      <c r="C28" s="19" t="s">
        <v>54</v>
      </c>
      <c r="D28" s="1" t="s">
        <v>366</v>
      </c>
      <c r="E28" s="1">
        <v>0.97</v>
      </c>
      <c r="F28" s="13">
        <f>F27*E28</f>
        <v>112.52</v>
      </c>
      <c r="G28" s="13"/>
      <c r="H28" s="13"/>
      <c r="I28" s="13">
        <v>6</v>
      </c>
      <c r="J28" s="13">
        <f>F28*I28</f>
        <v>675.12</v>
      </c>
      <c r="K28" s="13"/>
      <c r="L28" s="13"/>
      <c r="M28" s="13">
        <f>H28+J28+L28</f>
        <v>675.12</v>
      </c>
    </row>
    <row r="29" spans="1:13" ht="13.5">
      <c r="A29" s="1"/>
      <c r="B29" s="1"/>
      <c r="C29" s="19" t="s">
        <v>99</v>
      </c>
      <c r="D29" s="1" t="s">
        <v>43</v>
      </c>
      <c r="E29" s="1">
        <v>0.349</v>
      </c>
      <c r="F29" s="13">
        <f>F27*E29</f>
        <v>40.483999999999995</v>
      </c>
      <c r="G29" s="13"/>
      <c r="H29" s="13"/>
      <c r="I29" s="13"/>
      <c r="J29" s="13"/>
      <c r="K29" s="13">
        <v>3.2</v>
      </c>
      <c r="L29" s="13">
        <f>F29*K29</f>
        <v>129.5488</v>
      </c>
      <c r="M29" s="13">
        <f>H29+J29+L29</f>
        <v>129.5488</v>
      </c>
    </row>
    <row r="30" spans="1:13" s="135" customFormat="1" ht="13.5">
      <c r="A30" s="1"/>
      <c r="B30" s="1"/>
      <c r="C30" s="19" t="s">
        <v>56</v>
      </c>
      <c r="D30" s="1"/>
      <c r="E30" s="1"/>
      <c r="F30" s="13"/>
      <c r="G30" s="13"/>
      <c r="H30" s="13"/>
      <c r="I30" s="13"/>
      <c r="J30" s="13"/>
      <c r="K30" s="13"/>
      <c r="L30" s="13"/>
      <c r="M30" s="13"/>
    </row>
    <row r="31" spans="1:13" ht="13.5">
      <c r="A31" s="1"/>
      <c r="B31" s="1"/>
      <c r="C31" s="4" t="s">
        <v>305</v>
      </c>
      <c r="D31" s="1" t="s">
        <v>59</v>
      </c>
      <c r="E31" s="1">
        <v>1</v>
      </c>
      <c r="F31" s="13">
        <f>F27*E31</f>
        <v>116</v>
      </c>
      <c r="G31" s="13">
        <v>12</v>
      </c>
      <c r="H31" s="13">
        <f>F31*G31</f>
        <v>1392</v>
      </c>
      <c r="I31" s="13"/>
      <c r="J31" s="13"/>
      <c r="K31" s="13"/>
      <c r="L31" s="13"/>
      <c r="M31" s="13">
        <f>H31+J31+L31</f>
        <v>1392</v>
      </c>
    </row>
    <row r="32" spans="1:13" ht="13.5">
      <c r="A32" s="1"/>
      <c r="B32" s="1"/>
      <c r="C32" s="19" t="s">
        <v>57</v>
      </c>
      <c r="D32" s="1" t="s">
        <v>43</v>
      </c>
      <c r="E32" s="1">
        <v>0.382</v>
      </c>
      <c r="F32" s="13">
        <f>F27*E32</f>
        <v>44.312</v>
      </c>
      <c r="G32" s="13">
        <v>3.2</v>
      </c>
      <c r="H32" s="13">
        <f>F32*G32</f>
        <v>141.7984</v>
      </c>
      <c r="I32" s="13"/>
      <c r="J32" s="13"/>
      <c r="K32" s="13"/>
      <c r="L32" s="13"/>
      <c r="M32" s="13">
        <f>H32+J32+L32</f>
        <v>141.7984</v>
      </c>
    </row>
    <row r="33" spans="1:13" s="335" customFormat="1" ht="27">
      <c r="A33" s="77">
        <v>5</v>
      </c>
      <c r="B33" s="539" t="s">
        <v>291</v>
      </c>
      <c r="C33" s="75" t="s">
        <v>489</v>
      </c>
      <c r="D33" s="77" t="s">
        <v>121</v>
      </c>
      <c r="E33" s="308"/>
      <c r="F33" s="460">
        <v>31</v>
      </c>
      <c r="G33" s="130"/>
      <c r="H33" s="130"/>
      <c r="I33" s="130"/>
      <c r="J33" s="130"/>
      <c r="K33" s="130"/>
      <c r="L33" s="130"/>
      <c r="M33" s="130"/>
    </row>
    <row r="34" spans="1:13" s="335" customFormat="1" ht="13.5">
      <c r="A34" s="65"/>
      <c r="B34" s="540"/>
      <c r="C34" s="78" t="s">
        <v>54</v>
      </c>
      <c r="D34" s="1" t="s">
        <v>366</v>
      </c>
      <c r="E34" s="384">
        <v>1.03</v>
      </c>
      <c r="F34" s="131">
        <f>F33*E34</f>
        <v>31.93</v>
      </c>
      <c r="G34" s="131"/>
      <c r="H34" s="131"/>
      <c r="I34" s="131">
        <v>6</v>
      </c>
      <c r="J34" s="131">
        <f>F34*I34</f>
        <v>191.57999999999998</v>
      </c>
      <c r="K34" s="131"/>
      <c r="L34" s="131"/>
      <c r="M34" s="131">
        <f>H34+J34+L34</f>
        <v>191.57999999999998</v>
      </c>
    </row>
    <row r="35" spans="1:13" s="335" customFormat="1" ht="13.5">
      <c r="A35" s="65"/>
      <c r="B35" s="540"/>
      <c r="C35" s="78" t="s">
        <v>99</v>
      </c>
      <c r="D35" s="65" t="s">
        <v>43</v>
      </c>
      <c r="E35" s="238">
        <v>0.584</v>
      </c>
      <c r="F35" s="131">
        <f>F33*E35</f>
        <v>18.104</v>
      </c>
      <c r="G35" s="131"/>
      <c r="H35" s="131"/>
      <c r="I35" s="131"/>
      <c r="J35" s="131"/>
      <c r="K35" s="131">
        <v>3.2</v>
      </c>
      <c r="L35" s="131">
        <f>F35*K35</f>
        <v>57.9328</v>
      </c>
      <c r="M35" s="131">
        <f>H35+J35+L35</f>
        <v>57.9328</v>
      </c>
    </row>
    <row r="36" spans="1:13" s="335" customFormat="1" ht="13.5">
      <c r="A36" s="65"/>
      <c r="B36" s="540"/>
      <c r="C36" s="79" t="s">
        <v>56</v>
      </c>
      <c r="D36" s="65"/>
      <c r="E36" s="384"/>
      <c r="F36" s="131"/>
      <c r="G36" s="131"/>
      <c r="H36" s="131"/>
      <c r="I36" s="131"/>
      <c r="J36" s="131"/>
      <c r="K36" s="131"/>
      <c r="L36" s="131"/>
      <c r="M36" s="131"/>
    </row>
    <row r="37" spans="1:13" s="335" customFormat="1" ht="13.5">
      <c r="A37" s="65"/>
      <c r="B37" s="540"/>
      <c r="C37" s="78" t="s">
        <v>292</v>
      </c>
      <c r="D37" s="65" t="s">
        <v>121</v>
      </c>
      <c r="E37" s="384">
        <v>1</v>
      </c>
      <c r="F37" s="131">
        <f>F33*E37</f>
        <v>31</v>
      </c>
      <c r="G37" s="131">
        <v>12</v>
      </c>
      <c r="H37" s="131">
        <f>F37*G37</f>
        <v>372</v>
      </c>
      <c r="I37" s="131"/>
      <c r="J37" s="131"/>
      <c r="K37" s="131"/>
      <c r="L37" s="131"/>
      <c r="M37" s="131">
        <f>H37+J37+L37</f>
        <v>372</v>
      </c>
    </row>
    <row r="38" spans="1:13" s="335" customFormat="1" ht="13.5">
      <c r="A38" s="69"/>
      <c r="B38" s="546"/>
      <c r="C38" s="156" t="s">
        <v>57</v>
      </c>
      <c r="D38" s="69" t="s">
        <v>43</v>
      </c>
      <c r="E38" s="385">
        <v>1.62</v>
      </c>
      <c r="F38" s="132">
        <f>F33*E38</f>
        <v>50.220000000000006</v>
      </c>
      <c r="G38" s="132">
        <v>3.2</v>
      </c>
      <c r="H38" s="132">
        <f>F38*G38</f>
        <v>160.70400000000004</v>
      </c>
      <c r="I38" s="132"/>
      <c r="J38" s="132"/>
      <c r="K38" s="132"/>
      <c r="L38" s="132"/>
      <c r="M38" s="132">
        <f>H38+J38+L38</f>
        <v>160.70400000000004</v>
      </c>
    </row>
    <row r="39" spans="1:13" ht="27">
      <c r="A39" s="28">
        <v>6</v>
      </c>
      <c r="B39" s="28" t="s">
        <v>126</v>
      </c>
      <c r="C39" s="117" t="s">
        <v>490</v>
      </c>
      <c r="D39" s="28" t="s">
        <v>59</v>
      </c>
      <c r="E39" s="425"/>
      <c r="F39" s="312">
        <v>46</v>
      </c>
      <c r="G39" s="30"/>
      <c r="H39" s="30"/>
      <c r="I39" s="30"/>
      <c r="J39" s="30"/>
      <c r="K39" s="30"/>
      <c r="L39" s="30"/>
      <c r="M39" s="30"/>
    </row>
    <row r="40" spans="1:13" ht="13.5">
      <c r="A40" s="1"/>
      <c r="B40" s="1"/>
      <c r="C40" s="19" t="s">
        <v>54</v>
      </c>
      <c r="D40" s="1" t="s">
        <v>366</v>
      </c>
      <c r="E40" s="1">
        <v>0.97</v>
      </c>
      <c r="F40" s="13">
        <f>F39*E40</f>
        <v>44.62</v>
      </c>
      <c r="G40" s="13"/>
      <c r="H40" s="13"/>
      <c r="I40" s="13">
        <v>6</v>
      </c>
      <c r="J40" s="13">
        <f>F40*I40</f>
        <v>267.71999999999997</v>
      </c>
      <c r="K40" s="13"/>
      <c r="L40" s="13"/>
      <c r="M40" s="13">
        <f>H40+J40+L40</f>
        <v>267.71999999999997</v>
      </c>
    </row>
    <row r="41" spans="1:13" ht="13.5">
      <c r="A41" s="1"/>
      <c r="B41" s="1"/>
      <c r="C41" s="19" t="s">
        <v>99</v>
      </c>
      <c r="D41" s="1" t="s">
        <v>43</v>
      </c>
      <c r="E41" s="1">
        <v>0.349</v>
      </c>
      <c r="F41" s="13">
        <f>F39*E41</f>
        <v>16.054</v>
      </c>
      <c r="G41" s="13"/>
      <c r="H41" s="13"/>
      <c r="I41" s="13"/>
      <c r="J41" s="13"/>
      <c r="K41" s="13">
        <v>3.2</v>
      </c>
      <c r="L41" s="13">
        <f>F41*K41</f>
        <v>51.3728</v>
      </c>
      <c r="M41" s="13">
        <f>H41+J41+L41</f>
        <v>51.3728</v>
      </c>
    </row>
    <row r="42" spans="1:13" s="135" customFormat="1" ht="13.5">
      <c r="A42" s="1"/>
      <c r="B42" s="1"/>
      <c r="C42" s="19" t="s">
        <v>56</v>
      </c>
      <c r="D42" s="1"/>
      <c r="E42" s="1"/>
      <c r="F42" s="13"/>
      <c r="G42" s="13"/>
      <c r="H42" s="13"/>
      <c r="I42" s="13"/>
      <c r="J42" s="13"/>
      <c r="K42" s="13"/>
      <c r="L42" s="13"/>
      <c r="M42" s="13"/>
    </row>
    <row r="43" spans="1:13" ht="13.5">
      <c r="A43" s="1"/>
      <c r="B43" s="1"/>
      <c r="C43" s="4" t="s">
        <v>402</v>
      </c>
      <c r="D43" s="1" t="s">
        <v>59</v>
      </c>
      <c r="E43" s="1">
        <v>1</v>
      </c>
      <c r="F43" s="13">
        <f>F39*E43</f>
        <v>46</v>
      </c>
      <c r="G43" s="13">
        <v>30</v>
      </c>
      <c r="H43" s="13">
        <f>F43*G43</f>
        <v>1380</v>
      </c>
      <c r="I43" s="13"/>
      <c r="J43" s="13"/>
      <c r="K43" s="13"/>
      <c r="L43" s="13"/>
      <c r="M43" s="13">
        <f>H43+J43+L43</f>
        <v>1380</v>
      </c>
    </row>
    <row r="44" spans="1:13" ht="13.5">
      <c r="A44" s="1"/>
      <c r="B44" s="1"/>
      <c r="C44" s="19" t="s">
        <v>57</v>
      </c>
      <c r="D44" s="1" t="s">
        <v>43</v>
      </c>
      <c r="E44" s="1">
        <v>0.382</v>
      </c>
      <c r="F44" s="13">
        <f>F39*E44</f>
        <v>17.572</v>
      </c>
      <c r="G44" s="13">
        <v>3.2</v>
      </c>
      <c r="H44" s="13">
        <f>F44*G44</f>
        <v>56.2304</v>
      </c>
      <c r="I44" s="13"/>
      <c r="J44" s="13"/>
      <c r="K44" s="13"/>
      <c r="L44" s="13"/>
      <c r="M44" s="13">
        <f>H44+J44+L44</f>
        <v>56.2304</v>
      </c>
    </row>
    <row r="45" spans="1:13" ht="27">
      <c r="A45" s="28">
        <v>7</v>
      </c>
      <c r="B45" s="28" t="s">
        <v>126</v>
      </c>
      <c r="C45" s="117" t="s">
        <v>491</v>
      </c>
      <c r="D45" s="28" t="s">
        <v>59</v>
      </c>
      <c r="E45" s="425"/>
      <c r="F45" s="312">
        <v>28</v>
      </c>
      <c r="G45" s="30"/>
      <c r="H45" s="30"/>
      <c r="I45" s="30"/>
      <c r="J45" s="30"/>
      <c r="K45" s="30"/>
      <c r="L45" s="30"/>
      <c r="M45" s="30"/>
    </row>
    <row r="46" spans="1:13" ht="13.5">
      <c r="A46" s="1"/>
      <c r="B46" s="1"/>
      <c r="C46" s="19" t="s">
        <v>54</v>
      </c>
      <c r="D46" s="1" t="s">
        <v>366</v>
      </c>
      <c r="E46" s="1">
        <v>0.97</v>
      </c>
      <c r="F46" s="13">
        <f>F45*E46</f>
        <v>27.16</v>
      </c>
      <c r="G46" s="13"/>
      <c r="H46" s="13"/>
      <c r="I46" s="13">
        <v>6</v>
      </c>
      <c r="J46" s="13">
        <f>F46*I46</f>
        <v>162.96</v>
      </c>
      <c r="K46" s="13"/>
      <c r="L46" s="13"/>
      <c r="M46" s="13">
        <f>H46+J46+L46</f>
        <v>162.96</v>
      </c>
    </row>
    <row r="47" spans="1:13" ht="13.5">
      <c r="A47" s="1"/>
      <c r="B47" s="1"/>
      <c r="C47" s="19" t="s">
        <v>99</v>
      </c>
      <c r="D47" s="1" t="s">
        <v>43</v>
      </c>
      <c r="E47" s="1">
        <v>0.349</v>
      </c>
      <c r="F47" s="13">
        <f>F45*E47</f>
        <v>9.771999999999998</v>
      </c>
      <c r="G47" s="13"/>
      <c r="H47" s="13"/>
      <c r="I47" s="13"/>
      <c r="J47" s="13"/>
      <c r="K47" s="13">
        <v>3.2</v>
      </c>
      <c r="L47" s="13">
        <f>F47*K47</f>
        <v>31.270399999999995</v>
      </c>
      <c r="M47" s="13">
        <f>H47+J47+L47</f>
        <v>31.270399999999995</v>
      </c>
    </row>
    <row r="48" spans="1:13" s="135" customFormat="1" ht="13.5">
      <c r="A48" s="1"/>
      <c r="B48" s="1"/>
      <c r="C48" s="19" t="s">
        <v>56</v>
      </c>
      <c r="D48" s="1"/>
      <c r="E48" s="1"/>
      <c r="F48" s="13"/>
      <c r="G48" s="13"/>
      <c r="H48" s="13"/>
      <c r="I48" s="13"/>
      <c r="J48" s="13"/>
      <c r="K48" s="13"/>
      <c r="L48" s="13"/>
      <c r="M48" s="13"/>
    </row>
    <row r="49" spans="1:13" ht="13.5">
      <c r="A49" s="1"/>
      <c r="B49" s="1"/>
      <c r="C49" s="4" t="s">
        <v>402</v>
      </c>
      <c r="D49" s="1" t="s">
        <v>59</v>
      </c>
      <c r="E49" s="1">
        <v>1</v>
      </c>
      <c r="F49" s="13">
        <f>F45*E49</f>
        <v>28</v>
      </c>
      <c r="G49" s="13">
        <v>25</v>
      </c>
      <c r="H49" s="13">
        <f>F49*G49</f>
        <v>700</v>
      </c>
      <c r="I49" s="13"/>
      <c r="J49" s="13"/>
      <c r="K49" s="13"/>
      <c r="L49" s="13"/>
      <c r="M49" s="13">
        <f>H49+J49+L49</f>
        <v>700</v>
      </c>
    </row>
    <row r="50" spans="1:13" ht="13.5">
      <c r="A50" s="1"/>
      <c r="B50" s="1"/>
      <c r="C50" s="19" t="s">
        <v>57</v>
      </c>
      <c r="D50" s="1" t="s">
        <v>43</v>
      </c>
      <c r="E50" s="1">
        <v>0.382</v>
      </c>
      <c r="F50" s="13">
        <f>F45*E50</f>
        <v>10.696</v>
      </c>
      <c r="G50" s="13">
        <v>3.2</v>
      </c>
      <c r="H50" s="13">
        <f>F50*G50</f>
        <v>34.2272</v>
      </c>
      <c r="I50" s="13"/>
      <c r="J50" s="13"/>
      <c r="K50" s="13"/>
      <c r="L50" s="13"/>
      <c r="M50" s="13">
        <f>H50+J50+L50</f>
        <v>34.2272</v>
      </c>
    </row>
    <row r="51" spans="1:13" s="335" customFormat="1" ht="27">
      <c r="A51" s="77">
        <v>8</v>
      </c>
      <c r="B51" s="539" t="s">
        <v>291</v>
      </c>
      <c r="C51" s="75" t="s">
        <v>498</v>
      </c>
      <c r="D51" s="77" t="s">
        <v>121</v>
      </c>
      <c r="E51" s="373"/>
      <c r="F51" s="460">
        <v>98</v>
      </c>
      <c r="G51" s="130"/>
      <c r="H51" s="130"/>
      <c r="I51" s="130"/>
      <c r="J51" s="130"/>
      <c r="K51" s="130"/>
      <c r="L51" s="130"/>
      <c r="M51" s="130"/>
    </row>
    <row r="52" spans="1:13" s="335" customFormat="1" ht="13.5">
      <c r="A52" s="65"/>
      <c r="B52" s="540"/>
      <c r="C52" s="78" t="s">
        <v>54</v>
      </c>
      <c r="D52" s="1" t="s">
        <v>366</v>
      </c>
      <c r="E52" s="211">
        <v>1.03</v>
      </c>
      <c r="F52" s="131">
        <f>F51*E52</f>
        <v>100.94</v>
      </c>
      <c r="G52" s="131"/>
      <c r="H52" s="131"/>
      <c r="I52" s="131">
        <v>6</v>
      </c>
      <c r="J52" s="131">
        <f>F52*I52</f>
        <v>605.64</v>
      </c>
      <c r="K52" s="131"/>
      <c r="L52" s="131"/>
      <c r="M52" s="131">
        <f>H52+J52+L52</f>
        <v>605.64</v>
      </c>
    </row>
    <row r="53" spans="1:13" s="335" customFormat="1" ht="13.5">
      <c r="A53" s="65"/>
      <c r="B53" s="540"/>
      <c r="C53" s="78" t="s">
        <v>99</v>
      </c>
      <c r="D53" s="65" t="s">
        <v>43</v>
      </c>
      <c r="E53" s="65">
        <v>0.584</v>
      </c>
      <c r="F53" s="131">
        <f>F51*E53</f>
        <v>57.232</v>
      </c>
      <c r="G53" s="131"/>
      <c r="H53" s="131"/>
      <c r="I53" s="131"/>
      <c r="J53" s="131"/>
      <c r="K53" s="131">
        <v>3.2</v>
      </c>
      <c r="L53" s="131">
        <f>F53*K53</f>
        <v>183.1424</v>
      </c>
      <c r="M53" s="131">
        <f>H53+J53+L53</f>
        <v>183.1424</v>
      </c>
    </row>
    <row r="54" spans="1:13" s="335" customFormat="1" ht="13.5">
      <c r="A54" s="65"/>
      <c r="B54" s="540"/>
      <c r="C54" s="79" t="s">
        <v>56</v>
      </c>
      <c r="D54" s="65"/>
      <c r="E54" s="65"/>
      <c r="F54" s="131"/>
      <c r="G54" s="131"/>
      <c r="H54" s="131"/>
      <c r="I54" s="131"/>
      <c r="J54" s="131"/>
      <c r="K54" s="131"/>
      <c r="L54" s="131"/>
      <c r="M54" s="131"/>
    </row>
    <row r="55" spans="1:13" s="335" customFormat="1" ht="13.5">
      <c r="A55" s="65"/>
      <c r="B55" s="540"/>
      <c r="C55" s="78" t="s">
        <v>292</v>
      </c>
      <c r="D55" s="65" t="s">
        <v>121</v>
      </c>
      <c r="E55" s="65">
        <v>1</v>
      </c>
      <c r="F55" s="131">
        <f>F51*E55</f>
        <v>98</v>
      </c>
      <c r="G55" s="131">
        <v>12</v>
      </c>
      <c r="H55" s="131">
        <f>F55*G55</f>
        <v>1176</v>
      </c>
      <c r="I55" s="131"/>
      <c r="J55" s="131"/>
      <c r="K55" s="131"/>
      <c r="L55" s="131"/>
      <c r="M55" s="131">
        <f>H55+J55+L55</f>
        <v>1176</v>
      </c>
    </row>
    <row r="56" spans="1:13" s="335" customFormat="1" ht="13.5">
      <c r="A56" s="65"/>
      <c r="B56" s="540"/>
      <c r="C56" s="78" t="s">
        <v>57</v>
      </c>
      <c r="D56" s="65" t="s">
        <v>43</v>
      </c>
      <c r="E56" s="65">
        <v>1.62</v>
      </c>
      <c r="F56" s="131">
        <f>F51*E56</f>
        <v>158.76000000000002</v>
      </c>
      <c r="G56" s="131">
        <v>3.2</v>
      </c>
      <c r="H56" s="131">
        <f>F56*G56</f>
        <v>508.0320000000001</v>
      </c>
      <c r="I56" s="131"/>
      <c r="J56" s="131"/>
      <c r="K56" s="131"/>
      <c r="L56" s="131"/>
      <c r="M56" s="131">
        <f>H56+J56+L56</f>
        <v>508.0320000000001</v>
      </c>
    </row>
    <row r="57" spans="1:13" s="335" customFormat="1" ht="27">
      <c r="A57" s="77">
        <v>9</v>
      </c>
      <c r="B57" s="539" t="s">
        <v>492</v>
      </c>
      <c r="C57" s="75" t="s">
        <v>497</v>
      </c>
      <c r="D57" s="77" t="s">
        <v>121</v>
      </c>
      <c r="E57" s="373"/>
      <c r="F57" s="239">
        <v>83</v>
      </c>
      <c r="G57" s="236"/>
      <c r="H57" s="236"/>
      <c r="I57" s="236"/>
      <c r="J57" s="236"/>
      <c r="K57" s="236"/>
      <c r="L57" s="236"/>
      <c r="M57" s="236"/>
    </row>
    <row r="58" spans="1:13" s="335" customFormat="1" ht="13.5">
      <c r="A58" s="65"/>
      <c r="B58" s="540"/>
      <c r="C58" s="78" t="s">
        <v>54</v>
      </c>
      <c r="D58" s="1" t="s">
        <v>366</v>
      </c>
      <c r="E58" s="211">
        <v>0.61</v>
      </c>
      <c r="F58" s="89">
        <f>F57*E58</f>
        <v>50.629999999999995</v>
      </c>
      <c r="G58" s="210"/>
      <c r="H58" s="210"/>
      <c r="I58" s="210">
        <v>6</v>
      </c>
      <c r="J58" s="210">
        <f>F58*I58</f>
        <v>303.78</v>
      </c>
      <c r="K58" s="210"/>
      <c r="L58" s="210"/>
      <c r="M58" s="210">
        <f>H58+J58+L58</f>
        <v>303.78</v>
      </c>
    </row>
    <row r="59" spans="1:13" s="335" customFormat="1" ht="13.5">
      <c r="A59" s="65"/>
      <c r="B59" s="540"/>
      <c r="C59" s="78" t="s">
        <v>99</v>
      </c>
      <c r="D59" s="65" t="s">
        <v>43</v>
      </c>
      <c r="E59" s="65">
        <v>0.245</v>
      </c>
      <c r="F59" s="89">
        <f>F57*E59</f>
        <v>20.335</v>
      </c>
      <c r="G59" s="210"/>
      <c r="H59" s="210"/>
      <c r="I59" s="210"/>
      <c r="J59" s="210"/>
      <c r="K59" s="210">
        <v>3.2</v>
      </c>
      <c r="L59" s="210">
        <f>F59*K59</f>
        <v>65.072</v>
      </c>
      <c r="M59" s="210">
        <f>H59+J59+L59</f>
        <v>65.072</v>
      </c>
    </row>
    <row r="60" spans="1:13" s="335" customFormat="1" ht="13.5">
      <c r="A60" s="65"/>
      <c r="B60" s="540"/>
      <c r="C60" s="79" t="s">
        <v>56</v>
      </c>
      <c r="D60" s="65"/>
      <c r="E60" s="65"/>
      <c r="F60" s="89"/>
      <c r="G60" s="210"/>
      <c r="H60" s="210"/>
      <c r="I60" s="210"/>
      <c r="J60" s="210"/>
      <c r="K60" s="210"/>
      <c r="L60" s="210"/>
      <c r="M60" s="210"/>
    </row>
    <row r="61" spans="1:13" s="335" customFormat="1" ht="13.5">
      <c r="A61" s="65"/>
      <c r="B61" s="540"/>
      <c r="C61" s="78" t="s">
        <v>496</v>
      </c>
      <c r="D61" s="65" t="s">
        <v>121</v>
      </c>
      <c r="E61" s="65">
        <v>1</v>
      </c>
      <c r="F61" s="89">
        <f>F57*E61</f>
        <v>83</v>
      </c>
      <c r="G61" s="210">
        <v>20</v>
      </c>
      <c r="H61" s="210">
        <f aca="true" t="shared" si="0" ref="H61:H66">F61*G61</f>
        <v>1660</v>
      </c>
      <c r="I61" s="210"/>
      <c r="J61" s="210"/>
      <c r="K61" s="210"/>
      <c r="L61" s="210"/>
      <c r="M61" s="210">
        <f aca="true" t="shared" si="1" ref="M61:M66">H61+J61+L61</f>
        <v>1660</v>
      </c>
    </row>
    <row r="62" spans="1:13" s="335" customFormat="1" ht="13.5">
      <c r="A62" s="69"/>
      <c r="B62" s="546"/>
      <c r="C62" s="156" t="s">
        <v>57</v>
      </c>
      <c r="D62" s="69" t="s">
        <v>43</v>
      </c>
      <c r="E62" s="69">
        <v>0.337</v>
      </c>
      <c r="F62" s="209">
        <f>F57*E62</f>
        <v>27.971</v>
      </c>
      <c r="G62" s="237">
        <v>3.2</v>
      </c>
      <c r="H62" s="237">
        <f t="shared" si="0"/>
        <v>89.50720000000001</v>
      </c>
      <c r="I62" s="237"/>
      <c r="J62" s="237"/>
      <c r="K62" s="237"/>
      <c r="L62" s="237"/>
      <c r="M62" s="237">
        <f t="shared" si="1"/>
        <v>89.50720000000001</v>
      </c>
    </row>
    <row r="63" spans="1:13" ht="13.5">
      <c r="A63" s="47">
        <v>10</v>
      </c>
      <c r="B63" s="126"/>
      <c r="C63" s="466" t="s">
        <v>493</v>
      </c>
      <c r="D63" s="47" t="s">
        <v>59</v>
      </c>
      <c r="E63" s="47"/>
      <c r="F63" s="465">
        <f>F27</f>
        <v>116</v>
      </c>
      <c r="G63" s="108">
        <v>6</v>
      </c>
      <c r="H63" s="108">
        <f t="shared" si="0"/>
        <v>696</v>
      </c>
      <c r="I63" s="108"/>
      <c r="J63" s="108"/>
      <c r="K63" s="108"/>
      <c r="L63" s="108"/>
      <c r="M63" s="108">
        <f t="shared" si="1"/>
        <v>696</v>
      </c>
    </row>
    <row r="64" spans="1:13" ht="13.5">
      <c r="A64" s="47">
        <v>11</v>
      </c>
      <c r="B64" s="126"/>
      <c r="C64" s="466" t="s">
        <v>494</v>
      </c>
      <c r="D64" s="47" t="s">
        <v>59</v>
      </c>
      <c r="E64" s="47"/>
      <c r="F64" s="465">
        <f>F33</f>
        <v>31</v>
      </c>
      <c r="G64" s="108">
        <v>6</v>
      </c>
      <c r="H64" s="108">
        <f t="shared" si="0"/>
        <v>186</v>
      </c>
      <c r="I64" s="108"/>
      <c r="J64" s="108"/>
      <c r="K64" s="108"/>
      <c r="L64" s="108"/>
      <c r="M64" s="108">
        <f t="shared" si="1"/>
        <v>186</v>
      </c>
    </row>
    <row r="65" spans="1:13" ht="27">
      <c r="A65" s="47">
        <v>12</v>
      </c>
      <c r="B65" s="126"/>
      <c r="C65" s="38" t="s">
        <v>499</v>
      </c>
      <c r="D65" s="47" t="s">
        <v>59</v>
      </c>
      <c r="E65" s="47"/>
      <c r="F65" s="464">
        <f>F39*2+F45*2</f>
        <v>148</v>
      </c>
      <c r="G65" s="40">
        <v>2.5</v>
      </c>
      <c r="H65" s="40">
        <f t="shared" si="0"/>
        <v>370</v>
      </c>
      <c r="I65" s="40"/>
      <c r="J65" s="40"/>
      <c r="K65" s="40"/>
      <c r="L65" s="40"/>
      <c r="M65" s="40">
        <f t="shared" si="1"/>
        <v>370</v>
      </c>
    </row>
    <row r="66" spans="1:13" ht="13.5">
      <c r="A66" s="47">
        <v>13</v>
      </c>
      <c r="B66" s="154"/>
      <c r="C66" s="38" t="s">
        <v>495</v>
      </c>
      <c r="D66" s="47" t="s">
        <v>59</v>
      </c>
      <c r="E66" s="47"/>
      <c r="F66" s="161">
        <f>F51+F57</f>
        <v>181</v>
      </c>
      <c r="G66" s="108">
        <v>6</v>
      </c>
      <c r="H66" s="108">
        <f t="shared" si="0"/>
        <v>1086</v>
      </c>
      <c r="I66" s="108"/>
      <c r="J66" s="108"/>
      <c r="K66" s="108"/>
      <c r="L66" s="108"/>
      <c r="M66" s="108">
        <f t="shared" si="1"/>
        <v>1086</v>
      </c>
    </row>
    <row r="67" spans="1:13" ht="27">
      <c r="A67" s="1">
        <v>14</v>
      </c>
      <c r="B67" s="1" t="s">
        <v>127</v>
      </c>
      <c r="C67" s="4" t="s">
        <v>500</v>
      </c>
      <c r="D67" s="1" t="s">
        <v>59</v>
      </c>
      <c r="E67" s="1"/>
      <c r="F67" s="292">
        <v>160</v>
      </c>
      <c r="G67" s="13"/>
      <c r="H67" s="13"/>
      <c r="I67" s="13"/>
      <c r="J67" s="13"/>
      <c r="K67" s="13"/>
      <c r="L67" s="13"/>
      <c r="M67" s="13"/>
    </row>
    <row r="68" spans="1:13" ht="13.5">
      <c r="A68" s="1"/>
      <c r="B68" s="20"/>
      <c r="C68" s="19" t="s">
        <v>54</v>
      </c>
      <c r="D68" s="1" t="s">
        <v>366</v>
      </c>
      <c r="E68" s="1">
        <v>0.34</v>
      </c>
      <c r="F68" s="13">
        <f>F67*E68</f>
        <v>54.400000000000006</v>
      </c>
      <c r="G68" s="13"/>
      <c r="H68" s="13"/>
      <c r="I68" s="13">
        <v>6</v>
      </c>
      <c r="J68" s="13">
        <f>F68*I68</f>
        <v>326.40000000000003</v>
      </c>
      <c r="K68" s="13"/>
      <c r="L68" s="13"/>
      <c r="M68" s="13">
        <f>H68+J68+L68</f>
        <v>326.40000000000003</v>
      </c>
    </row>
    <row r="69" spans="1:13" ht="13.5">
      <c r="A69" s="1"/>
      <c r="B69" s="1"/>
      <c r="C69" s="19" t="s">
        <v>99</v>
      </c>
      <c r="D69" s="1" t="s">
        <v>43</v>
      </c>
      <c r="E69" s="1">
        <v>0.013</v>
      </c>
      <c r="F69" s="13">
        <f>F67*E69</f>
        <v>2.08</v>
      </c>
      <c r="G69" s="13"/>
      <c r="H69" s="13"/>
      <c r="I69" s="13"/>
      <c r="J69" s="13"/>
      <c r="K69" s="13">
        <v>3.2</v>
      </c>
      <c r="L69" s="13">
        <f>F69*K69</f>
        <v>6.656000000000001</v>
      </c>
      <c r="M69" s="13">
        <f>H69+J69+L69</f>
        <v>6.656000000000001</v>
      </c>
    </row>
    <row r="70" spans="1:13" ht="13.5">
      <c r="A70" s="1"/>
      <c r="B70" s="20"/>
      <c r="C70" s="19" t="s">
        <v>56</v>
      </c>
      <c r="D70" s="1"/>
      <c r="E70" s="1"/>
      <c r="F70" s="13"/>
      <c r="G70" s="13"/>
      <c r="H70" s="13"/>
      <c r="I70" s="13"/>
      <c r="J70" s="13"/>
      <c r="K70" s="13"/>
      <c r="L70" s="13"/>
      <c r="M70" s="13"/>
    </row>
    <row r="71" spans="1:13" ht="27">
      <c r="A71" s="1"/>
      <c r="B71" s="20"/>
      <c r="C71" s="4" t="s">
        <v>501</v>
      </c>
      <c r="D71" s="1" t="s">
        <v>59</v>
      </c>
      <c r="E71" s="1">
        <v>1</v>
      </c>
      <c r="F71" s="13">
        <f>F67*E71</f>
        <v>160</v>
      </c>
      <c r="G71" s="13">
        <v>3.5</v>
      </c>
      <c r="H71" s="13">
        <f>F71*G71</f>
        <v>560</v>
      </c>
      <c r="I71" s="13"/>
      <c r="J71" s="13"/>
      <c r="K71" s="13"/>
      <c r="L71" s="13"/>
      <c r="M71" s="13">
        <f>H71+J71+L71</f>
        <v>560</v>
      </c>
    </row>
    <row r="72" spans="1:13" ht="13.5">
      <c r="A72" s="1"/>
      <c r="B72" s="20"/>
      <c r="C72" s="19" t="s">
        <v>57</v>
      </c>
      <c r="D72" s="1" t="s">
        <v>43</v>
      </c>
      <c r="E72" s="1">
        <v>0.094</v>
      </c>
      <c r="F72" s="13">
        <f>F67*E72</f>
        <v>15.04</v>
      </c>
      <c r="G72" s="13">
        <v>3.2</v>
      </c>
      <c r="H72" s="13">
        <f>F72*G72</f>
        <v>48.128</v>
      </c>
      <c r="I72" s="13"/>
      <c r="J72" s="13"/>
      <c r="K72" s="13"/>
      <c r="L72" s="13"/>
      <c r="M72" s="13">
        <f>H72+J72+L72</f>
        <v>48.128</v>
      </c>
    </row>
    <row r="73" spans="1:13" ht="13.5">
      <c r="A73" s="28">
        <v>15</v>
      </c>
      <c r="B73" s="28" t="s">
        <v>128</v>
      </c>
      <c r="C73" s="43" t="s">
        <v>182</v>
      </c>
      <c r="D73" s="28" t="s">
        <v>59</v>
      </c>
      <c r="E73" s="28"/>
      <c r="F73" s="164">
        <v>45</v>
      </c>
      <c r="G73" s="30"/>
      <c r="H73" s="30"/>
      <c r="I73" s="30"/>
      <c r="J73" s="30"/>
      <c r="K73" s="30"/>
      <c r="L73" s="30"/>
      <c r="M73" s="30"/>
    </row>
    <row r="74" spans="1:13" ht="13.5">
      <c r="A74" s="1"/>
      <c r="B74" s="20"/>
      <c r="C74" s="19" t="s">
        <v>54</v>
      </c>
      <c r="D74" s="1" t="s">
        <v>366</v>
      </c>
      <c r="E74" s="1">
        <v>0.68</v>
      </c>
      <c r="F74" s="13">
        <f>F73*E74</f>
        <v>30.6</v>
      </c>
      <c r="G74" s="13"/>
      <c r="H74" s="13"/>
      <c r="I74" s="13">
        <v>6</v>
      </c>
      <c r="J74" s="13">
        <f>F74*I74</f>
        <v>183.60000000000002</v>
      </c>
      <c r="K74" s="13"/>
      <c r="L74" s="13"/>
      <c r="M74" s="13">
        <f>H74+J74+L74</f>
        <v>183.60000000000002</v>
      </c>
    </row>
    <row r="75" spans="1:13" ht="13.5">
      <c r="A75" s="1"/>
      <c r="B75" s="1"/>
      <c r="C75" s="19" t="s">
        <v>99</v>
      </c>
      <c r="D75" s="1" t="s">
        <v>43</v>
      </c>
      <c r="E75" s="1">
        <v>0.011</v>
      </c>
      <c r="F75" s="13">
        <f>F73*E75</f>
        <v>0.495</v>
      </c>
      <c r="G75" s="13"/>
      <c r="H75" s="13"/>
      <c r="I75" s="13"/>
      <c r="J75" s="13"/>
      <c r="K75" s="13">
        <v>3.2</v>
      </c>
      <c r="L75" s="13">
        <f>F75*K75</f>
        <v>1.584</v>
      </c>
      <c r="M75" s="13">
        <f>H75+J75+L75</f>
        <v>1.584</v>
      </c>
    </row>
    <row r="76" spans="1:13" ht="13.5">
      <c r="A76" s="1"/>
      <c r="B76" s="20"/>
      <c r="C76" s="19" t="s">
        <v>56</v>
      </c>
      <c r="D76" s="1"/>
      <c r="E76" s="1"/>
      <c r="F76" s="13"/>
      <c r="G76" s="13"/>
      <c r="H76" s="13"/>
      <c r="I76" s="13"/>
      <c r="J76" s="13"/>
      <c r="K76" s="13"/>
      <c r="L76" s="13"/>
      <c r="M76" s="13"/>
    </row>
    <row r="77" spans="1:13" ht="13.5">
      <c r="A77" s="1"/>
      <c r="B77" s="20"/>
      <c r="C77" s="4" t="s">
        <v>182</v>
      </c>
      <c r="D77" s="1" t="s">
        <v>59</v>
      </c>
      <c r="E77" s="1">
        <v>1</v>
      </c>
      <c r="F77" s="13">
        <f>F73*E77</f>
        <v>45</v>
      </c>
      <c r="G77" s="13">
        <v>2.5</v>
      </c>
      <c r="H77" s="13">
        <f>F77*G77</f>
        <v>112.5</v>
      </c>
      <c r="I77" s="13"/>
      <c r="J77" s="13"/>
      <c r="K77" s="13"/>
      <c r="L77" s="13"/>
      <c r="M77" s="13">
        <f>H77+J77+L77</f>
        <v>112.5</v>
      </c>
    </row>
    <row r="78" spans="1:13" ht="13.5">
      <c r="A78" s="1"/>
      <c r="B78" s="20"/>
      <c r="C78" s="19" t="s">
        <v>57</v>
      </c>
      <c r="D78" s="1" t="s">
        <v>43</v>
      </c>
      <c r="E78" s="1">
        <v>0.103</v>
      </c>
      <c r="F78" s="13">
        <f>F73*E78</f>
        <v>4.635</v>
      </c>
      <c r="G78" s="13">
        <v>3.2</v>
      </c>
      <c r="H78" s="13">
        <f>F78*G78</f>
        <v>14.832</v>
      </c>
      <c r="I78" s="13"/>
      <c r="J78" s="13"/>
      <c r="K78" s="13"/>
      <c r="L78" s="13"/>
      <c r="M78" s="13">
        <f>H78+J78+L78</f>
        <v>14.832</v>
      </c>
    </row>
    <row r="79" spans="1:13" ht="13.5">
      <c r="A79" s="28">
        <v>16</v>
      </c>
      <c r="B79" s="28" t="s">
        <v>128</v>
      </c>
      <c r="C79" s="43" t="s">
        <v>183</v>
      </c>
      <c r="D79" s="28" t="s">
        <v>59</v>
      </c>
      <c r="E79" s="28"/>
      <c r="F79" s="164">
        <v>35</v>
      </c>
      <c r="G79" s="30"/>
      <c r="H79" s="30"/>
      <c r="I79" s="30"/>
      <c r="J79" s="30"/>
      <c r="K79" s="30"/>
      <c r="L79" s="30"/>
      <c r="M79" s="30"/>
    </row>
    <row r="80" spans="1:13" ht="13.5">
      <c r="A80" s="1"/>
      <c r="B80" s="20"/>
      <c r="C80" s="19" t="s">
        <v>54</v>
      </c>
      <c r="D80" s="1" t="s">
        <v>366</v>
      </c>
      <c r="E80" s="1">
        <v>0.68</v>
      </c>
      <c r="F80" s="13">
        <f>F79*E80</f>
        <v>23.8</v>
      </c>
      <c r="G80" s="13"/>
      <c r="H80" s="13"/>
      <c r="I80" s="13">
        <v>6</v>
      </c>
      <c r="J80" s="13">
        <f>F80*I80</f>
        <v>142.8</v>
      </c>
      <c r="K80" s="13"/>
      <c r="L80" s="13"/>
      <c r="M80" s="13">
        <f>H80+J80+L80</f>
        <v>142.8</v>
      </c>
    </row>
    <row r="81" spans="1:13" ht="13.5">
      <c r="A81" s="1"/>
      <c r="B81" s="1"/>
      <c r="C81" s="19" t="s">
        <v>99</v>
      </c>
      <c r="D81" s="1" t="s">
        <v>43</v>
      </c>
      <c r="E81" s="1">
        <v>0.011</v>
      </c>
      <c r="F81" s="13">
        <f>F79*E81</f>
        <v>0.38499999999999995</v>
      </c>
      <c r="G81" s="13"/>
      <c r="H81" s="13"/>
      <c r="I81" s="13"/>
      <c r="J81" s="13"/>
      <c r="K81" s="13">
        <v>3.2</v>
      </c>
      <c r="L81" s="13">
        <f>F81*K81</f>
        <v>1.232</v>
      </c>
      <c r="M81" s="13">
        <f>H81+J81+L81</f>
        <v>1.232</v>
      </c>
    </row>
    <row r="82" spans="1:13" ht="13.5">
      <c r="A82" s="1"/>
      <c r="B82" s="20"/>
      <c r="C82" s="19" t="s">
        <v>56</v>
      </c>
      <c r="D82" s="1"/>
      <c r="E82" s="1"/>
      <c r="F82" s="13"/>
      <c r="G82" s="13"/>
      <c r="H82" s="13"/>
      <c r="I82" s="13"/>
      <c r="J82" s="13"/>
      <c r="K82" s="13"/>
      <c r="L82" s="13"/>
      <c r="M82" s="13"/>
    </row>
    <row r="83" spans="1:13" ht="13.5">
      <c r="A83" s="1"/>
      <c r="B83" s="20"/>
      <c r="C83" s="4" t="s">
        <v>183</v>
      </c>
      <c r="D83" s="1" t="s">
        <v>59</v>
      </c>
      <c r="E83" s="1">
        <v>1</v>
      </c>
      <c r="F83" s="13">
        <f>F79*E83</f>
        <v>35</v>
      </c>
      <c r="G83" s="13">
        <v>4.5</v>
      </c>
      <c r="H83" s="13">
        <f>F83*G83</f>
        <v>157.5</v>
      </c>
      <c r="I83" s="13"/>
      <c r="J83" s="13"/>
      <c r="K83" s="13"/>
      <c r="L83" s="13"/>
      <c r="M83" s="13">
        <f>H83+J83+L83</f>
        <v>157.5</v>
      </c>
    </row>
    <row r="84" spans="1:13" ht="13.5">
      <c r="A84" s="1"/>
      <c r="B84" s="20"/>
      <c r="C84" s="19" t="s">
        <v>57</v>
      </c>
      <c r="D84" s="1" t="s">
        <v>43</v>
      </c>
      <c r="E84" s="1">
        <v>0.103</v>
      </c>
      <c r="F84" s="13">
        <f>F79*E84</f>
        <v>3.605</v>
      </c>
      <c r="G84" s="13">
        <v>3.2</v>
      </c>
      <c r="H84" s="13">
        <f>F84*G84</f>
        <v>11.536000000000001</v>
      </c>
      <c r="I84" s="13"/>
      <c r="J84" s="13"/>
      <c r="K84" s="13"/>
      <c r="L84" s="13"/>
      <c r="M84" s="13">
        <f>H84+J84+L84</f>
        <v>11.536000000000001</v>
      </c>
    </row>
    <row r="85" spans="1:13" ht="13.5">
      <c r="A85" s="28">
        <v>17</v>
      </c>
      <c r="B85" s="28" t="s">
        <v>128</v>
      </c>
      <c r="C85" s="43" t="s">
        <v>502</v>
      </c>
      <c r="D85" s="28" t="s">
        <v>59</v>
      </c>
      <c r="E85" s="28"/>
      <c r="F85" s="164">
        <v>63</v>
      </c>
      <c r="G85" s="30"/>
      <c r="H85" s="30"/>
      <c r="I85" s="30"/>
      <c r="J85" s="30"/>
      <c r="K85" s="30"/>
      <c r="L85" s="30"/>
      <c r="M85" s="30"/>
    </row>
    <row r="86" spans="1:13" ht="13.5">
      <c r="A86" s="1"/>
      <c r="B86" s="20"/>
      <c r="C86" s="19" t="s">
        <v>54</v>
      </c>
      <c r="D86" s="1" t="s">
        <v>366</v>
      </c>
      <c r="E86" s="1">
        <v>0.68</v>
      </c>
      <c r="F86" s="13">
        <f>F85*E86</f>
        <v>42.84</v>
      </c>
      <c r="G86" s="13"/>
      <c r="H86" s="13"/>
      <c r="I86" s="13">
        <v>6</v>
      </c>
      <c r="J86" s="13">
        <f>F86*I86</f>
        <v>257.04</v>
      </c>
      <c r="K86" s="13"/>
      <c r="L86" s="13"/>
      <c r="M86" s="13">
        <f>H86+J86+L86</f>
        <v>257.04</v>
      </c>
    </row>
    <row r="87" spans="1:13" ht="13.5">
      <c r="A87" s="1"/>
      <c r="B87" s="1"/>
      <c r="C87" s="19" t="s">
        <v>99</v>
      </c>
      <c r="D87" s="1" t="s">
        <v>43</v>
      </c>
      <c r="E87" s="1">
        <v>0.011</v>
      </c>
      <c r="F87" s="13">
        <f>F85*E87</f>
        <v>0.693</v>
      </c>
      <c r="G87" s="13"/>
      <c r="H87" s="13"/>
      <c r="I87" s="13"/>
      <c r="J87" s="13"/>
      <c r="K87" s="13">
        <v>3.2</v>
      </c>
      <c r="L87" s="13">
        <f>F87*K87</f>
        <v>2.2176</v>
      </c>
      <c r="M87" s="13">
        <f>H87+J87+L87</f>
        <v>2.2176</v>
      </c>
    </row>
    <row r="88" spans="1:13" ht="13.5">
      <c r="A88" s="1"/>
      <c r="B88" s="20"/>
      <c r="C88" s="19" t="s">
        <v>56</v>
      </c>
      <c r="D88" s="1"/>
      <c r="E88" s="1"/>
      <c r="F88" s="13"/>
      <c r="G88" s="13"/>
      <c r="H88" s="13"/>
      <c r="I88" s="13"/>
      <c r="J88" s="13"/>
      <c r="K88" s="13"/>
      <c r="L88" s="13"/>
      <c r="M88" s="13"/>
    </row>
    <row r="89" spans="1:13" ht="13.5">
      <c r="A89" s="1"/>
      <c r="B89" s="20"/>
      <c r="C89" s="4" t="s">
        <v>502</v>
      </c>
      <c r="D89" s="1" t="s">
        <v>59</v>
      </c>
      <c r="E89" s="1">
        <v>1</v>
      </c>
      <c r="F89" s="13">
        <f>F85*E89</f>
        <v>63</v>
      </c>
      <c r="G89" s="13">
        <v>4.5</v>
      </c>
      <c r="H89" s="13">
        <f>F89*G89</f>
        <v>283.5</v>
      </c>
      <c r="I89" s="13"/>
      <c r="J89" s="13"/>
      <c r="K89" s="13"/>
      <c r="L89" s="13"/>
      <c r="M89" s="13">
        <f>H89+J89+L89</f>
        <v>283.5</v>
      </c>
    </row>
    <row r="90" spans="1:13" ht="13.5">
      <c r="A90" s="1"/>
      <c r="B90" s="20"/>
      <c r="C90" s="19" t="s">
        <v>57</v>
      </c>
      <c r="D90" s="1" t="s">
        <v>43</v>
      </c>
      <c r="E90" s="1">
        <v>0.103</v>
      </c>
      <c r="F90" s="13">
        <f>F85*E90</f>
        <v>6.489</v>
      </c>
      <c r="G90" s="13">
        <v>3.2</v>
      </c>
      <c r="H90" s="13">
        <f>F90*G90</f>
        <v>20.7648</v>
      </c>
      <c r="I90" s="13"/>
      <c r="J90" s="13"/>
      <c r="K90" s="13"/>
      <c r="L90" s="13"/>
      <c r="M90" s="13">
        <f>H90+J90+L90</f>
        <v>20.7648</v>
      </c>
    </row>
    <row r="91" spans="1:13" s="335" customFormat="1" ht="29.25" customHeight="1">
      <c r="A91" s="77">
        <v>18</v>
      </c>
      <c r="B91" s="539" t="s">
        <v>503</v>
      </c>
      <c r="C91" s="75" t="s">
        <v>533</v>
      </c>
      <c r="D91" s="77" t="s">
        <v>121</v>
      </c>
      <c r="E91" s="373"/>
      <c r="F91" s="239">
        <v>4</v>
      </c>
      <c r="G91" s="236"/>
      <c r="H91" s="236"/>
      <c r="I91" s="236"/>
      <c r="J91" s="236"/>
      <c r="K91" s="236"/>
      <c r="L91" s="236"/>
      <c r="M91" s="236"/>
    </row>
    <row r="92" spans="1:13" s="335" customFormat="1" ht="13.5">
      <c r="A92" s="65"/>
      <c r="B92" s="540"/>
      <c r="C92" s="78" t="s">
        <v>54</v>
      </c>
      <c r="D92" s="1" t="s">
        <v>366</v>
      </c>
      <c r="E92" s="211">
        <v>0.72</v>
      </c>
      <c r="F92" s="89">
        <f>F91*E92</f>
        <v>2.88</v>
      </c>
      <c r="G92" s="210"/>
      <c r="H92" s="210"/>
      <c r="I92" s="210">
        <v>6</v>
      </c>
      <c r="J92" s="210">
        <f>F92*I92</f>
        <v>17.28</v>
      </c>
      <c r="K92" s="210"/>
      <c r="L92" s="210"/>
      <c r="M92" s="210">
        <f>H92+J92+L92</f>
        <v>17.28</v>
      </c>
    </row>
    <row r="93" spans="1:13" s="335" customFormat="1" ht="13.5">
      <c r="A93" s="65"/>
      <c r="B93" s="540"/>
      <c r="C93" s="78" t="s">
        <v>99</v>
      </c>
      <c r="D93" s="65" t="s">
        <v>43</v>
      </c>
      <c r="E93" s="65">
        <v>0.311</v>
      </c>
      <c r="F93" s="89">
        <f>F91*E93</f>
        <v>1.244</v>
      </c>
      <c r="G93" s="210"/>
      <c r="H93" s="210"/>
      <c r="I93" s="210"/>
      <c r="J93" s="210"/>
      <c r="K93" s="210">
        <v>3.2</v>
      </c>
      <c r="L93" s="210">
        <f>F93*K93</f>
        <v>3.9808000000000003</v>
      </c>
      <c r="M93" s="210">
        <f>H93+J93+L93</f>
        <v>3.9808000000000003</v>
      </c>
    </row>
    <row r="94" spans="1:13" s="335" customFormat="1" ht="13.5">
      <c r="A94" s="65"/>
      <c r="B94" s="540"/>
      <c r="C94" s="79" t="s">
        <v>56</v>
      </c>
      <c r="D94" s="65"/>
      <c r="E94" s="65"/>
      <c r="F94" s="89"/>
      <c r="G94" s="210"/>
      <c r="H94" s="210"/>
      <c r="I94" s="210"/>
      <c r="J94" s="210"/>
      <c r="K94" s="210"/>
      <c r="L94" s="210"/>
      <c r="M94" s="210"/>
    </row>
    <row r="95" spans="1:13" s="335" customFormat="1" ht="13.5">
      <c r="A95" s="65"/>
      <c r="B95" s="540"/>
      <c r="C95" s="78" t="s">
        <v>504</v>
      </c>
      <c r="D95" s="65" t="s">
        <v>121</v>
      </c>
      <c r="E95" s="65">
        <v>1</v>
      </c>
      <c r="F95" s="89">
        <f>F91*E95</f>
        <v>4</v>
      </c>
      <c r="G95" s="210">
        <v>20</v>
      </c>
      <c r="H95" s="210">
        <f>F95*G95</f>
        <v>80</v>
      </c>
      <c r="I95" s="210"/>
      <c r="J95" s="210"/>
      <c r="K95" s="210"/>
      <c r="L95" s="210"/>
      <c r="M95" s="210">
        <f>H95+J95+L95</f>
        <v>80</v>
      </c>
    </row>
    <row r="96" spans="1:13" s="335" customFormat="1" ht="13.5">
      <c r="A96" s="69"/>
      <c r="B96" s="546"/>
      <c r="C96" s="156" t="s">
        <v>57</v>
      </c>
      <c r="D96" s="69" t="s">
        <v>43</v>
      </c>
      <c r="E96" s="69">
        <v>0.113</v>
      </c>
      <c r="F96" s="209">
        <f>F91*E96</f>
        <v>0.452</v>
      </c>
      <c r="G96" s="237">
        <v>3.2</v>
      </c>
      <c r="H96" s="237">
        <f>F96*G96</f>
        <v>1.4464000000000001</v>
      </c>
      <c r="I96" s="237"/>
      <c r="J96" s="237"/>
      <c r="K96" s="237"/>
      <c r="L96" s="237"/>
      <c r="M96" s="237">
        <f>H96+J96+L96</f>
        <v>1.4464000000000001</v>
      </c>
    </row>
    <row r="97" spans="1:13" ht="27">
      <c r="A97" s="28"/>
      <c r="B97" s="28" t="s">
        <v>151</v>
      </c>
      <c r="C97" s="43" t="s">
        <v>403</v>
      </c>
      <c r="D97" s="28" t="s">
        <v>115</v>
      </c>
      <c r="E97" s="28"/>
      <c r="F97" s="164">
        <f>F101+F102+F103+F104+F105</f>
        <v>4425</v>
      </c>
      <c r="G97" s="30"/>
      <c r="H97" s="30"/>
      <c r="I97" s="30"/>
      <c r="J97" s="30"/>
      <c r="K97" s="30"/>
      <c r="L97" s="30"/>
      <c r="M97" s="30"/>
    </row>
    <row r="98" spans="1:13" ht="13.5">
      <c r="A98" s="1"/>
      <c r="B98" s="20"/>
      <c r="C98" s="19" t="s">
        <v>54</v>
      </c>
      <c r="D98" s="1" t="s">
        <v>366</v>
      </c>
      <c r="E98" s="1">
        <v>0.13</v>
      </c>
      <c r="F98" s="13">
        <f>F97*E98</f>
        <v>575.25</v>
      </c>
      <c r="G98" s="13"/>
      <c r="H98" s="13"/>
      <c r="I98" s="13">
        <v>4.6</v>
      </c>
      <c r="J98" s="13">
        <f>F98*I98</f>
        <v>2646.1499999999996</v>
      </c>
      <c r="K98" s="13"/>
      <c r="L98" s="13"/>
      <c r="M98" s="13">
        <f>H98+J98+L98</f>
        <v>2646.1499999999996</v>
      </c>
    </row>
    <row r="99" spans="1:13" ht="13.5">
      <c r="A99" s="1"/>
      <c r="B99" s="1"/>
      <c r="C99" s="19" t="s">
        <v>99</v>
      </c>
      <c r="D99" s="1" t="s">
        <v>43</v>
      </c>
      <c r="E99" s="1">
        <v>0.0371</v>
      </c>
      <c r="F99" s="13">
        <f>F97*E99</f>
        <v>164.16750000000002</v>
      </c>
      <c r="G99" s="13"/>
      <c r="H99" s="13"/>
      <c r="I99" s="13"/>
      <c r="J99" s="13"/>
      <c r="K99" s="13">
        <v>3.2</v>
      </c>
      <c r="L99" s="13">
        <f>F99*K99</f>
        <v>525.3360000000001</v>
      </c>
      <c r="M99" s="13">
        <f>J99+H99+L99</f>
        <v>525.3360000000001</v>
      </c>
    </row>
    <row r="100" spans="1:13" ht="13.5">
      <c r="A100" s="1"/>
      <c r="B100" s="20"/>
      <c r="C100" s="19" t="s">
        <v>56</v>
      </c>
      <c r="D100" s="1"/>
      <c r="E100" s="1"/>
      <c r="F100" s="13"/>
      <c r="G100" s="13"/>
      <c r="H100" s="13"/>
      <c r="I100" s="13"/>
      <c r="J100" s="13"/>
      <c r="K100" s="13"/>
      <c r="L100" s="13"/>
      <c r="M100" s="13"/>
    </row>
    <row r="101" spans="1:13" ht="27">
      <c r="A101" s="1">
        <v>19</v>
      </c>
      <c r="B101" s="20"/>
      <c r="C101" s="4" t="s">
        <v>518</v>
      </c>
      <c r="D101" s="1" t="s">
        <v>115</v>
      </c>
      <c r="E101" s="1"/>
      <c r="F101" s="292">
        <v>3000</v>
      </c>
      <c r="G101" s="2">
        <v>1.67</v>
      </c>
      <c r="H101" s="2">
        <f aca="true" t="shared" si="2" ref="H101:H106">F101*G101</f>
        <v>5010</v>
      </c>
      <c r="I101" s="2"/>
      <c r="J101" s="2"/>
      <c r="K101" s="2"/>
      <c r="L101" s="2"/>
      <c r="M101" s="2">
        <f>H101+J101+L101</f>
        <v>5010</v>
      </c>
    </row>
    <row r="102" spans="1:13" ht="27">
      <c r="A102" s="1">
        <v>20</v>
      </c>
      <c r="B102" s="20"/>
      <c r="C102" s="4" t="s">
        <v>519</v>
      </c>
      <c r="D102" s="1" t="s">
        <v>115</v>
      </c>
      <c r="E102" s="1"/>
      <c r="F102" s="292">
        <v>1310</v>
      </c>
      <c r="G102" s="2">
        <v>2.78</v>
      </c>
      <c r="H102" s="2">
        <f t="shared" si="2"/>
        <v>3641.7999999999997</v>
      </c>
      <c r="I102" s="2"/>
      <c r="J102" s="2"/>
      <c r="K102" s="2"/>
      <c r="L102" s="2"/>
      <c r="M102" s="2">
        <f>H102+J102+L102</f>
        <v>3641.7999999999997</v>
      </c>
    </row>
    <row r="103" spans="1:13" ht="27">
      <c r="A103" s="1">
        <v>21</v>
      </c>
      <c r="B103" s="20"/>
      <c r="C103" s="4" t="s">
        <v>520</v>
      </c>
      <c r="D103" s="1" t="s">
        <v>115</v>
      </c>
      <c r="E103" s="1"/>
      <c r="F103" s="292">
        <v>30</v>
      </c>
      <c r="G103" s="2">
        <v>7.4</v>
      </c>
      <c r="H103" s="2">
        <f t="shared" si="2"/>
        <v>222</v>
      </c>
      <c r="I103" s="2"/>
      <c r="J103" s="2"/>
      <c r="K103" s="2"/>
      <c r="L103" s="2"/>
      <c r="M103" s="2">
        <f>H103+J103+L103</f>
        <v>222</v>
      </c>
    </row>
    <row r="104" spans="1:13" ht="27">
      <c r="A104" s="1">
        <v>22</v>
      </c>
      <c r="B104" s="20"/>
      <c r="C104" s="4" t="s">
        <v>521</v>
      </c>
      <c r="D104" s="1" t="s">
        <v>115</v>
      </c>
      <c r="E104" s="1"/>
      <c r="F104" s="292">
        <v>65</v>
      </c>
      <c r="G104" s="2">
        <v>46.27</v>
      </c>
      <c r="H104" s="2">
        <f t="shared" si="2"/>
        <v>3007.55</v>
      </c>
      <c r="I104" s="2"/>
      <c r="J104" s="2"/>
      <c r="K104" s="2"/>
      <c r="L104" s="2"/>
      <c r="M104" s="2">
        <f>H104+J104+L104</f>
        <v>3007.55</v>
      </c>
    </row>
    <row r="105" spans="1:13" ht="27">
      <c r="A105" s="1">
        <v>23</v>
      </c>
      <c r="B105" s="20"/>
      <c r="C105" s="4" t="s">
        <v>522</v>
      </c>
      <c r="D105" s="1" t="s">
        <v>115</v>
      </c>
      <c r="E105" s="1"/>
      <c r="F105" s="292">
        <v>20</v>
      </c>
      <c r="G105" s="2">
        <v>4.63</v>
      </c>
      <c r="H105" s="2">
        <f t="shared" si="2"/>
        <v>92.6</v>
      </c>
      <c r="I105" s="2"/>
      <c r="J105" s="2"/>
      <c r="K105" s="2"/>
      <c r="L105" s="2"/>
      <c r="M105" s="2">
        <f>H105+J105+L105</f>
        <v>92.6</v>
      </c>
    </row>
    <row r="106" spans="1:13" ht="13.5">
      <c r="A106" s="1"/>
      <c r="B106" s="20"/>
      <c r="C106" s="19" t="s">
        <v>57</v>
      </c>
      <c r="D106" s="1" t="s">
        <v>43</v>
      </c>
      <c r="E106" s="1">
        <v>0.0144</v>
      </c>
      <c r="F106" s="13">
        <f>F97*E106</f>
        <v>63.72</v>
      </c>
      <c r="G106" s="13">
        <v>3.2</v>
      </c>
      <c r="H106" s="13">
        <f t="shared" si="2"/>
        <v>203.904</v>
      </c>
      <c r="I106" s="13"/>
      <c r="J106" s="13"/>
      <c r="K106" s="13"/>
      <c r="L106" s="13"/>
      <c r="M106" s="13">
        <f>J106+H106+L106</f>
        <v>203.904</v>
      </c>
    </row>
    <row r="107" spans="1:13" s="268" customFormat="1" ht="16.5" customHeight="1">
      <c r="A107" s="28">
        <v>24</v>
      </c>
      <c r="B107" s="376" t="s">
        <v>505</v>
      </c>
      <c r="C107" s="43" t="s">
        <v>506</v>
      </c>
      <c r="D107" s="28" t="s">
        <v>85</v>
      </c>
      <c r="E107" s="28"/>
      <c r="F107" s="164">
        <v>181</v>
      </c>
      <c r="G107" s="30"/>
      <c r="H107" s="30"/>
      <c r="I107" s="30"/>
      <c r="J107" s="30"/>
      <c r="K107" s="30"/>
      <c r="L107" s="30"/>
      <c r="M107" s="30"/>
    </row>
    <row r="108" spans="1:13" s="268" customFormat="1" ht="14.25" customHeight="1">
      <c r="A108" s="1"/>
      <c r="B108" s="377"/>
      <c r="C108" s="19" t="s">
        <v>54</v>
      </c>
      <c r="D108" s="1" t="s">
        <v>366</v>
      </c>
      <c r="E108" s="1">
        <v>0.14</v>
      </c>
      <c r="F108" s="13">
        <f>F107*E108</f>
        <v>25.340000000000003</v>
      </c>
      <c r="G108" s="13"/>
      <c r="H108" s="13"/>
      <c r="I108" s="13">
        <v>4.6</v>
      </c>
      <c r="J108" s="13">
        <f>F108*I108</f>
        <v>116.56400000000001</v>
      </c>
      <c r="K108" s="13"/>
      <c r="L108" s="13"/>
      <c r="M108" s="13">
        <f>H108+J108+L108</f>
        <v>116.56400000000001</v>
      </c>
    </row>
    <row r="109" spans="1:13" s="268" customFormat="1" ht="13.5">
      <c r="A109" s="1"/>
      <c r="B109" s="378"/>
      <c r="C109" s="19" t="s">
        <v>99</v>
      </c>
      <c r="D109" s="1" t="s">
        <v>43</v>
      </c>
      <c r="E109" s="1">
        <v>0.0022</v>
      </c>
      <c r="F109" s="13">
        <f>F107*E109</f>
        <v>0.3982</v>
      </c>
      <c r="G109" s="13"/>
      <c r="H109" s="13"/>
      <c r="I109" s="13"/>
      <c r="J109" s="13"/>
      <c r="K109" s="13">
        <v>3.2</v>
      </c>
      <c r="L109" s="13">
        <f>F109*K109</f>
        <v>1.27424</v>
      </c>
      <c r="M109" s="13">
        <f>H109+J109+L109</f>
        <v>1.27424</v>
      </c>
    </row>
    <row r="110" spans="1:13" s="121" customFormat="1" ht="13.5">
      <c r="A110" s="1"/>
      <c r="B110" s="377"/>
      <c r="C110" s="19" t="s">
        <v>56</v>
      </c>
      <c r="D110" s="1"/>
      <c r="E110" s="1"/>
      <c r="F110" s="13"/>
      <c r="G110" s="13"/>
      <c r="H110" s="13"/>
      <c r="I110" s="13"/>
      <c r="J110" s="13"/>
      <c r="K110" s="13"/>
      <c r="L110" s="13"/>
      <c r="M110" s="13"/>
    </row>
    <row r="111" spans="1:13" s="121" customFormat="1" ht="15" customHeight="1">
      <c r="A111" s="1"/>
      <c r="B111" s="377"/>
      <c r="C111" s="4" t="s">
        <v>507</v>
      </c>
      <c r="D111" s="1" t="s">
        <v>85</v>
      </c>
      <c r="E111" s="1">
        <v>1</v>
      </c>
      <c r="F111" s="13">
        <f>F107*E111</f>
        <v>181</v>
      </c>
      <c r="G111" s="13">
        <v>0.34</v>
      </c>
      <c r="H111" s="13">
        <f>F111*G111</f>
        <v>61.540000000000006</v>
      </c>
      <c r="I111" s="13"/>
      <c r="J111" s="13"/>
      <c r="K111" s="13"/>
      <c r="L111" s="13"/>
      <c r="M111" s="13">
        <f>H111+J111+L111</f>
        <v>61.540000000000006</v>
      </c>
    </row>
    <row r="112" spans="1:13" s="121" customFormat="1" ht="13.5">
      <c r="A112" s="37"/>
      <c r="B112" s="379"/>
      <c r="C112" s="123" t="s">
        <v>57</v>
      </c>
      <c r="D112" s="37" t="s">
        <v>43</v>
      </c>
      <c r="E112" s="37">
        <v>0.0803</v>
      </c>
      <c r="F112" s="124">
        <f>F107*E112</f>
        <v>14.5343</v>
      </c>
      <c r="G112" s="124">
        <v>3.2</v>
      </c>
      <c r="H112" s="124">
        <f>F112*G112</f>
        <v>46.50976</v>
      </c>
      <c r="I112" s="124"/>
      <c r="J112" s="124"/>
      <c r="K112" s="124"/>
      <c r="L112" s="124"/>
      <c r="M112" s="124">
        <f>H112+J112+L112</f>
        <v>46.50976</v>
      </c>
    </row>
    <row r="113" spans="1:13" s="268" customFormat="1" ht="16.5" customHeight="1">
      <c r="A113" s="28">
        <v>25</v>
      </c>
      <c r="B113" s="376" t="s">
        <v>505</v>
      </c>
      <c r="C113" s="43" t="s">
        <v>293</v>
      </c>
      <c r="D113" s="28" t="s">
        <v>85</v>
      </c>
      <c r="E113" s="28"/>
      <c r="F113" s="164">
        <v>30</v>
      </c>
      <c r="G113" s="30"/>
      <c r="H113" s="30"/>
      <c r="I113" s="30"/>
      <c r="J113" s="30"/>
      <c r="K113" s="30"/>
      <c r="L113" s="30"/>
      <c r="M113" s="30"/>
    </row>
    <row r="114" spans="1:13" s="268" customFormat="1" ht="14.25" customHeight="1">
      <c r="A114" s="1"/>
      <c r="B114" s="377"/>
      <c r="C114" s="19" t="s">
        <v>54</v>
      </c>
      <c r="D114" s="1" t="s">
        <v>366</v>
      </c>
      <c r="E114" s="1">
        <v>0.14</v>
      </c>
      <c r="F114" s="13">
        <f>F113*E114</f>
        <v>4.2</v>
      </c>
      <c r="G114" s="13"/>
      <c r="H114" s="13"/>
      <c r="I114" s="13">
        <v>4.6</v>
      </c>
      <c r="J114" s="13">
        <f>F114*I114</f>
        <v>19.32</v>
      </c>
      <c r="K114" s="13"/>
      <c r="L114" s="13"/>
      <c r="M114" s="13">
        <f>H114+J114+L114</f>
        <v>19.32</v>
      </c>
    </row>
    <row r="115" spans="1:13" s="268" customFormat="1" ht="13.5">
      <c r="A115" s="1"/>
      <c r="B115" s="378"/>
      <c r="C115" s="19" t="s">
        <v>99</v>
      </c>
      <c r="D115" s="1" t="s">
        <v>43</v>
      </c>
      <c r="E115" s="1">
        <v>0.0022</v>
      </c>
      <c r="F115" s="13">
        <f>F113*E115</f>
        <v>0.066</v>
      </c>
      <c r="G115" s="13"/>
      <c r="H115" s="13"/>
      <c r="I115" s="13"/>
      <c r="J115" s="13"/>
      <c r="K115" s="13">
        <v>3.2</v>
      </c>
      <c r="L115" s="13">
        <f>F115*K115</f>
        <v>0.21120000000000003</v>
      </c>
      <c r="M115" s="13">
        <f>H115+J115+L115</f>
        <v>0.21120000000000003</v>
      </c>
    </row>
    <row r="116" spans="1:13" s="121" customFormat="1" ht="13.5">
      <c r="A116" s="1"/>
      <c r="B116" s="377"/>
      <c r="C116" s="19" t="s">
        <v>56</v>
      </c>
      <c r="D116" s="1"/>
      <c r="E116" s="1"/>
      <c r="F116" s="13"/>
      <c r="G116" s="13"/>
      <c r="H116" s="13"/>
      <c r="I116" s="13"/>
      <c r="J116" s="13"/>
      <c r="K116" s="13"/>
      <c r="L116" s="13"/>
      <c r="M116" s="13"/>
    </row>
    <row r="117" spans="1:13" s="121" customFormat="1" ht="15" customHeight="1">
      <c r="A117" s="1"/>
      <c r="B117" s="377"/>
      <c r="C117" s="4" t="s">
        <v>294</v>
      </c>
      <c r="D117" s="1" t="s">
        <v>85</v>
      </c>
      <c r="E117" s="1">
        <v>1</v>
      </c>
      <c r="F117" s="13">
        <f>F113*E117</f>
        <v>30</v>
      </c>
      <c r="G117" s="13">
        <v>0.42</v>
      </c>
      <c r="H117" s="13">
        <f>F117*G117</f>
        <v>12.6</v>
      </c>
      <c r="I117" s="13"/>
      <c r="J117" s="13"/>
      <c r="K117" s="13"/>
      <c r="L117" s="13"/>
      <c r="M117" s="13">
        <f>H117+J117+L117</f>
        <v>12.6</v>
      </c>
    </row>
    <row r="118" spans="1:13" s="121" customFormat="1" ht="13.5">
      <c r="A118" s="37"/>
      <c r="B118" s="379"/>
      <c r="C118" s="123" t="s">
        <v>57</v>
      </c>
      <c r="D118" s="37" t="s">
        <v>43</v>
      </c>
      <c r="E118" s="37">
        <v>0.0803</v>
      </c>
      <c r="F118" s="124">
        <f>F113*E118</f>
        <v>2.409</v>
      </c>
      <c r="G118" s="124">
        <v>3.2</v>
      </c>
      <c r="H118" s="124">
        <f>F118*G118</f>
        <v>7.7088</v>
      </c>
      <c r="I118" s="124"/>
      <c r="J118" s="124"/>
      <c r="K118" s="124"/>
      <c r="L118" s="124"/>
      <c r="M118" s="124">
        <f>H118+J118+L118</f>
        <v>7.7088</v>
      </c>
    </row>
    <row r="119" spans="1:13" s="268" customFormat="1" ht="16.5" customHeight="1">
      <c r="A119" s="1">
        <v>26</v>
      </c>
      <c r="B119" s="378" t="s">
        <v>508</v>
      </c>
      <c r="C119" s="4" t="s">
        <v>509</v>
      </c>
      <c r="D119" s="1" t="s">
        <v>85</v>
      </c>
      <c r="E119" s="1"/>
      <c r="F119" s="164">
        <v>65</v>
      </c>
      <c r="G119" s="30"/>
      <c r="H119" s="30"/>
      <c r="I119" s="30"/>
      <c r="J119" s="30"/>
      <c r="K119" s="30"/>
      <c r="L119" s="30"/>
      <c r="M119" s="30"/>
    </row>
    <row r="120" spans="1:13" s="268" customFormat="1" ht="14.25" customHeight="1">
      <c r="A120" s="1"/>
      <c r="B120" s="377"/>
      <c r="C120" s="19" t="s">
        <v>54</v>
      </c>
      <c r="D120" s="1" t="s">
        <v>366</v>
      </c>
      <c r="E120" s="1">
        <v>0.17</v>
      </c>
      <c r="F120" s="13">
        <f>F119*E120</f>
        <v>11.05</v>
      </c>
      <c r="G120" s="13"/>
      <c r="H120" s="13"/>
      <c r="I120" s="13">
        <v>4.6</v>
      </c>
      <c r="J120" s="13">
        <f>F120*I120</f>
        <v>50.83</v>
      </c>
      <c r="K120" s="13"/>
      <c r="L120" s="13"/>
      <c r="M120" s="13">
        <f>H120+J120+L120</f>
        <v>50.83</v>
      </c>
    </row>
    <row r="121" spans="1:13" s="268" customFormat="1" ht="13.5">
      <c r="A121" s="1"/>
      <c r="B121" s="378"/>
      <c r="C121" s="19" t="s">
        <v>99</v>
      </c>
      <c r="D121" s="1" t="s">
        <v>43</v>
      </c>
      <c r="E121" s="1">
        <v>0.0075</v>
      </c>
      <c r="F121" s="13">
        <f>F119*E121</f>
        <v>0.4875</v>
      </c>
      <c r="G121" s="13"/>
      <c r="H121" s="13"/>
      <c r="I121" s="13"/>
      <c r="J121" s="13"/>
      <c r="K121" s="13">
        <v>3.2</v>
      </c>
      <c r="L121" s="13">
        <f>F121*K121</f>
        <v>1.56</v>
      </c>
      <c r="M121" s="13">
        <f>H121+J121+L121</f>
        <v>1.56</v>
      </c>
    </row>
    <row r="122" spans="1:13" s="121" customFormat="1" ht="13.5">
      <c r="A122" s="1"/>
      <c r="B122" s="377"/>
      <c r="C122" s="19" t="s">
        <v>56</v>
      </c>
      <c r="D122" s="1"/>
      <c r="E122" s="1"/>
      <c r="F122" s="13"/>
      <c r="G122" s="13"/>
      <c r="H122" s="13"/>
      <c r="I122" s="13"/>
      <c r="J122" s="13"/>
      <c r="K122" s="13"/>
      <c r="L122" s="13"/>
      <c r="M122" s="13"/>
    </row>
    <row r="123" spans="1:13" s="121" customFormat="1" ht="15" customHeight="1">
      <c r="A123" s="1"/>
      <c r="B123" s="377"/>
      <c r="C123" s="4" t="s">
        <v>510</v>
      </c>
      <c r="D123" s="1" t="s">
        <v>85</v>
      </c>
      <c r="E123" s="1">
        <v>1</v>
      </c>
      <c r="F123" s="13">
        <f>F119*E123</f>
        <v>65</v>
      </c>
      <c r="G123" s="13">
        <v>1.02</v>
      </c>
      <c r="H123" s="13">
        <f>F123*G123</f>
        <v>66.3</v>
      </c>
      <c r="I123" s="13"/>
      <c r="J123" s="13"/>
      <c r="K123" s="13"/>
      <c r="L123" s="13"/>
      <c r="M123" s="13">
        <f>H123+J123+L123</f>
        <v>66.3</v>
      </c>
    </row>
    <row r="124" spans="1:13" s="121" customFormat="1" ht="13.5">
      <c r="A124" s="37"/>
      <c r="B124" s="379"/>
      <c r="C124" s="123" t="s">
        <v>57</v>
      </c>
      <c r="D124" s="37" t="s">
        <v>43</v>
      </c>
      <c r="E124" s="37">
        <v>0.0539</v>
      </c>
      <c r="F124" s="124">
        <f>F119*E124</f>
        <v>3.5035000000000003</v>
      </c>
      <c r="G124" s="124">
        <v>3.2</v>
      </c>
      <c r="H124" s="124">
        <f>F124*G124</f>
        <v>11.211200000000002</v>
      </c>
      <c r="I124" s="124"/>
      <c r="J124" s="124"/>
      <c r="K124" s="124"/>
      <c r="L124" s="124"/>
      <c r="M124" s="124">
        <f>H124+J124+L124</f>
        <v>11.211200000000002</v>
      </c>
    </row>
    <row r="125" spans="1:13" s="331" customFormat="1" ht="13.5">
      <c r="A125" s="91">
        <v>27</v>
      </c>
      <c r="B125" s="240"/>
      <c r="C125" s="112" t="s">
        <v>512</v>
      </c>
      <c r="D125" s="91" t="s">
        <v>121</v>
      </c>
      <c r="E125" s="91"/>
      <c r="F125" s="173">
        <v>300</v>
      </c>
      <c r="G125" s="170">
        <v>0.9</v>
      </c>
      <c r="H125" s="170">
        <f>G125*F125</f>
        <v>270</v>
      </c>
      <c r="I125" s="170"/>
      <c r="J125" s="170"/>
      <c r="K125" s="170"/>
      <c r="L125" s="170"/>
      <c r="M125" s="170">
        <f>H125+J125+L125</f>
        <v>270</v>
      </c>
    </row>
    <row r="126" spans="1:13" s="335" customFormat="1" ht="27">
      <c r="A126" s="77">
        <v>28</v>
      </c>
      <c r="B126" s="547" t="s">
        <v>282</v>
      </c>
      <c r="C126" s="459" t="s">
        <v>884</v>
      </c>
      <c r="D126" s="77" t="s">
        <v>121</v>
      </c>
      <c r="E126" s="77"/>
      <c r="F126" s="460">
        <v>23</v>
      </c>
      <c r="G126" s="130"/>
      <c r="H126" s="130"/>
      <c r="I126" s="130"/>
      <c r="J126" s="130"/>
      <c r="K126" s="130"/>
      <c r="L126" s="130"/>
      <c r="M126" s="130"/>
    </row>
    <row r="127" spans="1:13" s="335" customFormat="1" ht="13.5">
      <c r="A127" s="65"/>
      <c r="B127" s="548"/>
      <c r="C127" s="78" t="s">
        <v>54</v>
      </c>
      <c r="D127" s="1" t="s">
        <v>366</v>
      </c>
      <c r="E127" s="65">
        <v>0.9</v>
      </c>
      <c r="F127" s="131">
        <f>F126*E127</f>
        <v>20.7</v>
      </c>
      <c r="G127" s="131"/>
      <c r="H127" s="131"/>
      <c r="I127" s="131">
        <v>4.6</v>
      </c>
      <c r="J127" s="131">
        <f>F127*I127</f>
        <v>95.21999999999998</v>
      </c>
      <c r="K127" s="131"/>
      <c r="L127" s="131"/>
      <c r="M127" s="131">
        <f>H127+J127+L127</f>
        <v>95.21999999999998</v>
      </c>
    </row>
    <row r="128" spans="1:13" s="335" customFormat="1" ht="13.5">
      <c r="A128" s="65"/>
      <c r="B128" s="548"/>
      <c r="C128" s="78" t="s">
        <v>99</v>
      </c>
      <c r="D128" s="65" t="s">
        <v>43</v>
      </c>
      <c r="E128" s="65">
        <v>0.07</v>
      </c>
      <c r="F128" s="131">
        <f>F126*E128</f>
        <v>1.61</v>
      </c>
      <c r="G128" s="131"/>
      <c r="H128" s="131"/>
      <c r="I128" s="131"/>
      <c r="J128" s="131"/>
      <c r="K128" s="131">
        <v>3.2</v>
      </c>
      <c r="L128" s="131">
        <f>F128*K128</f>
        <v>5.152000000000001</v>
      </c>
      <c r="M128" s="131">
        <f>H128+J128+L128</f>
        <v>5.152000000000001</v>
      </c>
    </row>
    <row r="129" spans="1:13" s="335" customFormat="1" ht="13.5">
      <c r="A129" s="65"/>
      <c r="B129" s="548"/>
      <c r="C129" s="79" t="s">
        <v>56</v>
      </c>
      <c r="D129" s="65"/>
      <c r="E129" s="65"/>
      <c r="F129" s="131"/>
      <c r="G129" s="131"/>
      <c r="H129" s="131"/>
      <c r="I129" s="131"/>
      <c r="J129" s="131"/>
      <c r="K129" s="131"/>
      <c r="L129" s="131"/>
      <c r="M129" s="131"/>
    </row>
    <row r="130" spans="1:13" s="335" customFormat="1" ht="13.5">
      <c r="A130" s="65"/>
      <c r="B130" s="548"/>
      <c r="C130" s="78" t="s">
        <v>885</v>
      </c>
      <c r="D130" s="62" t="s">
        <v>115</v>
      </c>
      <c r="E130" s="65">
        <v>2.5</v>
      </c>
      <c r="F130" s="467">
        <f>F126*E130</f>
        <v>57.5</v>
      </c>
      <c r="G130" s="467">
        <v>16.94</v>
      </c>
      <c r="H130" s="467">
        <f>F130*G130</f>
        <v>974.0500000000001</v>
      </c>
      <c r="I130" s="467"/>
      <c r="J130" s="467"/>
      <c r="K130" s="467"/>
      <c r="L130" s="467"/>
      <c r="M130" s="467">
        <f>H130+J130+L130</f>
        <v>974.0500000000001</v>
      </c>
    </row>
    <row r="131" spans="1:13" s="335" customFormat="1" ht="13.5">
      <c r="A131" s="65"/>
      <c r="B131" s="549"/>
      <c r="C131" s="78" t="s">
        <v>57</v>
      </c>
      <c r="D131" s="69" t="s">
        <v>43</v>
      </c>
      <c r="E131" s="65">
        <v>1.4</v>
      </c>
      <c r="F131" s="131">
        <f>F126*E131</f>
        <v>32.199999999999996</v>
      </c>
      <c r="G131" s="131">
        <v>3.2</v>
      </c>
      <c r="H131" s="131">
        <f>F131*G131</f>
        <v>103.03999999999999</v>
      </c>
      <c r="I131" s="131"/>
      <c r="J131" s="131"/>
      <c r="K131" s="131"/>
      <c r="L131" s="131"/>
      <c r="M131" s="131">
        <f>H131+J131+L131</f>
        <v>103.03999999999999</v>
      </c>
    </row>
    <row r="132" spans="1:13" s="335" customFormat="1" ht="27">
      <c r="A132" s="77">
        <v>29</v>
      </c>
      <c r="B132" s="241" t="s">
        <v>759</v>
      </c>
      <c r="C132" s="459" t="s">
        <v>886</v>
      </c>
      <c r="D132" s="76" t="s">
        <v>115</v>
      </c>
      <c r="E132" s="77"/>
      <c r="F132" s="168">
        <v>62</v>
      </c>
      <c r="G132" s="130"/>
      <c r="H132" s="130"/>
      <c r="I132" s="130"/>
      <c r="J132" s="130"/>
      <c r="K132" s="130"/>
      <c r="L132" s="130"/>
      <c r="M132" s="130"/>
    </row>
    <row r="133" spans="1:13" s="335" customFormat="1" ht="13.5">
      <c r="A133" s="65"/>
      <c r="B133" s="242"/>
      <c r="C133" s="78" t="s">
        <v>54</v>
      </c>
      <c r="D133" s="1" t="s">
        <v>366</v>
      </c>
      <c r="E133" s="65">
        <v>0.12</v>
      </c>
      <c r="F133" s="131">
        <f>F132*E133</f>
        <v>7.4399999999999995</v>
      </c>
      <c r="G133" s="131"/>
      <c r="H133" s="131"/>
      <c r="I133" s="131">
        <v>4.6</v>
      </c>
      <c r="J133" s="131">
        <f>F133*I133</f>
        <v>34.224</v>
      </c>
      <c r="K133" s="131"/>
      <c r="L133" s="131"/>
      <c r="M133" s="131">
        <f>H133+J133+L133</f>
        <v>34.224</v>
      </c>
    </row>
    <row r="134" spans="1:13" s="335" customFormat="1" ht="13.5">
      <c r="A134" s="65"/>
      <c r="B134" s="242"/>
      <c r="C134" s="78" t="s">
        <v>99</v>
      </c>
      <c r="D134" s="65" t="s">
        <v>43</v>
      </c>
      <c r="E134" s="65">
        <v>0.009</v>
      </c>
      <c r="F134" s="131">
        <f>F132*E134</f>
        <v>0.5579999999999999</v>
      </c>
      <c r="G134" s="131"/>
      <c r="H134" s="131"/>
      <c r="I134" s="131"/>
      <c r="J134" s="131"/>
      <c r="K134" s="131">
        <v>3.2</v>
      </c>
      <c r="L134" s="131">
        <f>F134*K134</f>
        <v>1.7855999999999999</v>
      </c>
      <c r="M134" s="131">
        <f>H134+J134+L134</f>
        <v>1.7855999999999999</v>
      </c>
    </row>
    <row r="135" spans="1:13" s="335" customFormat="1" ht="13.5">
      <c r="A135" s="65"/>
      <c r="B135" s="242"/>
      <c r="C135" s="79" t="s">
        <v>56</v>
      </c>
      <c r="D135" s="65"/>
      <c r="E135" s="65"/>
      <c r="F135" s="131"/>
      <c r="G135" s="131"/>
      <c r="H135" s="131"/>
      <c r="I135" s="131"/>
      <c r="J135" s="131"/>
      <c r="K135" s="131"/>
      <c r="L135" s="131"/>
      <c r="M135" s="131"/>
    </row>
    <row r="136" spans="1:13" s="335" customFormat="1" ht="27">
      <c r="A136" s="65"/>
      <c r="B136" s="242"/>
      <c r="C136" s="78" t="s">
        <v>887</v>
      </c>
      <c r="D136" s="62" t="s">
        <v>115</v>
      </c>
      <c r="E136" s="65">
        <v>1</v>
      </c>
      <c r="F136" s="131">
        <f>F132*E136</f>
        <v>62</v>
      </c>
      <c r="G136" s="131">
        <v>4.6</v>
      </c>
      <c r="H136" s="131">
        <f>F136*G136</f>
        <v>285.2</v>
      </c>
      <c r="I136" s="131"/>
      <c r="J136" s="131"/>
      <c r="K136" s="131"/>
      <c r="L136" s="131"/>
      <c r="M136" s="131">
        <f>H136+J136+L136</f>
        <v>285.2</v>
      </c>
    </row>
    <row r="137" spans="1:13" s="335" customFormat="1" ht="13.5">
      <c r="A137" s="65"/>
      <c r="B137" s="243"/>
      <c r="C137" s="78" t="s">
        <v>57</v>
      </c>
      <c r="D137" s="65" t="s">
        <v>43</v>
      </c>
      <c r="E137" s="65">
        <v>0.193</v>
      </c>
      <c r="F137" s="131">
        <f>F132*E137</f>
        <v>11.966000000000001</v>
      </c>
      <c r="G137" s="131">
        <v>3.2</v>
      </c>
      <c r="H137" s="131">
        <f>F137*G137</f>
        <v>38.2912</v>
      </c>
      <c r="I137" s="131"/>
      <c r="J137" s="131"/>
      <c r="K137" s="131"/>
      <c r="L137" s="131"/>
      <c r="M137" s="131">
        <f>H137+J137+L137</f>
        <v>38.2912</v>
      </c>
    </row>
    <row r="138" spans="1:13" s="335" customFormat="1" ht="27">
      <c r="A138" s="77">
        <v>30</v>
      </c>
      <c r="B138" s="113" t="s">
        <v>511</v>
      </c>
      <c r="C138" s="75" t="s">
        <v>888</v>
      </c>
      <c r="D138" s="76" t="s">
        <v>115</v>
      </c>
      <c r="E138" s="77"/>
      <c r="F138" s="460">
        <v>128</v>
      </c>
      <c r="G138" s="130"/>
      <c r="H138" s="130"/>
      <c r="I138" s="130"/>
      <c r="J138" s="130"/>
      <c r="K138" s="130"/>
      <c r="L138" s="130"/>
      <c r="M138" s="130"/>
    </row>
    <row r="139" spans="1:13" s="335" customFormat="1" ht="13.5">
      <c r="A139" s="65"/>
      <c r="B139" s="234"/>
      <c r="C139" s="78" t="s">
        <v>54</v>
      </c>
      <c r="D139" s="1" t="s">
        <v>366</v>
      </c>
      <c r="E139" s="65">
        <v>0.26</v>
      </c>
      <c r="F139" s="131">
        <f>F138*E139</f>
        <v>33.28</v>
      </c>
      <c r="G139" s="131"/>
      <c r="H139" s="131"/>
      <c r="I139" s="131">
        <v>4.6</v>
      </c>
      <c r="J139" s="131">
        <f>F139*I139</f>
        <v>153.088</v>
      </c>
      <c r="K139" s="131"/>
      <c r="L139" s="131"/>
      <c r="M139" s="131">
        <f>H139+J139+L139</f>
        <v>153.088</v>
      </c>
    </row>
    <row r="140" spans="1:13" s="335" customFormat="1" ht="13.5">
      <c r="A140" s="65"/>
      <c r="B140" s="65"/>
      <c r="C140" s="78" t="s">
        <v>99</v>
      </c>
      <c r="D140" s="65" t="s">
        <v>43</v>
      </c>
      <c r="E140" s="65">
        <v>0.016</v>
      </c>
      <c r="F140" s="131">
        <f>F138*E140</f>
        <v>2.048</v>
      </c>
      <c r="G140" s="131"/>
      <c r="H140" s="131"/>
      <c r="I140" s="131"/>
      <c r="J140" s="131"/>
      <c r="K140" s="131">
        <v>3.2</v>
      </c>
      <c r="L140" s="131">
        <f>F140*K140</f>
        <v>6.5536</v>
      </c>
      <c r="M140" s="131">
        <f>H140+J140+L140</f>
        <v>6.5536</v>
      </c>
    </row>
    <row r="141" spans="1:13" s="335" customFormat="1" ht="13.5">
      <c r="A141" s="65"/>
      <c r="B141" s="234"/>
      <c r="C141" s="79" t="s">
        <v>56</v>
      </c>
      <c r="D141" s="65"/>
      <c r="E141" s="65"/>
      <c r="F141" s="131"/>
      <c r="G141" s="131"/>
      <c r="H141" s="131"/>
      <c r="I141" s="131"/>
      <c r="J141" s="131"/>
      <c r="K141" s="131"/>
      <c r="L141" s="131"/>
      <c r="M141" s="131"/>
    </row>
    <row r="142" spans="1:13" s="335" customFormat="1" ht="27">
      <c r="A142" s="65"/>
      <c r="B142" s="234"/>
      <c r="C142" s="78" t="s">
        <v>889</v>
      </c>
      <c r="D142" s="62" t="s">
        <v>115</v>
      </c>
      <c r="E142" s="65">
        <v>1</v>
      </c>
      <c r="F142" s="467">
        <f>F138*E142</f>
        <v>128</v>
      </c>
      <c r="G142" s="467">
        <v>1.2</v>
      </c>
      <c r="H142" s="467">
        <f>F142*G142</f>
        <v>153.6</v>
      </c>
      <c r="I142" s="467"/>
      <c r="J142" s="467"/>
      <c r="K142" s="467"/>
      <c r="L142" s="467"/>
      <c r="M142" s="467">
        <f>H142+J142+L142</f>
        <v>153.6</v>
      </c>
    </row>
    <row r="143" spans="1:13" s="335" customFormat="1" ht="13.5">
      <c r="A143" s="65"/>
      <c r="B143" s="234"/>
      <c r="C143" s="78" t="s">
        <v>57</v>
      </c>
      <c r="D143" s="65" t="s">
        <v>43</v>
      </c>
      <c r="E143" s="65">
        <v>0.353</v>
      </c>
      <c r="F143" s="131">
        <f>F138*E143</f>
        <v>45.184</v>
      </c>
      <c r="G143" s="131">
        <v>3.2</v>
      </c>
      <c r="H143" s="131">
        <f>F143*G143</f>
        <v>144.5888</v>
      </c>
      <c r="I143" s="131"/>
      <c r="J143" s="131"/>
      <c r="K143" s="131"/>
      <c r="L143" s="131"/>
      <c r="M143" s="131">
        <f>H143+J143+L143</f>
        <v>144.5888</v>
      </c>
    </row>
    <row r="144" spans="1:13" ht="13.5">
      <c r="A144" s="279"/>
      <c r="B144" s="325"/>
      <c r="C144" s="48" t="s">
        <v>102</v>
      </c>
      <c r="D144" s="52"/>
      <c r="E144" s="52"/>
      <c r="F144" s="161"/>
      <c r="G144" s="161"/>
      <c r="H144" s="161">
        <f>SUM(H10:H143)</f>
        <v>30027.69616</v>
      </c>
      <c r="I144" s="161"/>
      <c r="J144" s="161">
        <f>SUM(J10:J143)</f>
        <v>6564.316</v>
      </c>
      <c r="K144" s="161"/>
      <c r="L144" s="161">
        <f>SUM(L10:L143)</f>
        <v>1091.1782399999997</v>
      </c>
      <c r="M144" s="161">
        <f>SUM(M10:M143)</f>
        <v>37683.1904</v>
      </c>
    </row>
    <row r="145" spans="1:13" ht="13.5">
      <c r="A145" s="52"/>
      <c r="B145" s="325"/>
      <c r="C145" s="38" t="s">
        <v>140</v>
      </c>
      <c r="D145" s="52"/>
      <c r="E145" s="52"/>
      <c r="F145" s="161"/>
      <c r="G145" s="108"/>
      <c r="H145" s="108">
        <f>H13+H19+H25</f>
        <v>4342</v>
      </c>
      <c r="I145" s="108"/>
      <c r="J145" s="108"/>
      <c r="K145" s="108"/>
      <c r="L145" s="108"/>
      <c r="M145" s="108">
        <f>H145</f>
        <v>4342</v>
      </c>
    </row>
    <row r="146" spans="1:13" ht="13.5">
      <c r="A146" s="52"/>
      <c r="B146" s="325"/>
      <c r="C146" s="38" t="s">
        <v>278</v>
      </c>
      <c r="D146" s="81">
        <v>0.75</v>
      </c>
      <c r="E146" s="52"/>
      <c r="F146" s="161"/>
      <c r="G146" s="108"/>
      <c r="H146" s="108"/>
      <c r="I146" s="108"/>
      <c r="J146" s="108">
        <f>J144*D146</f>
        <v>4923.237</v>
      </c>
      <c r="K146" s="108"/>
      <c r="L146" s="108"/>
      <c r="M146" s="108">
        <f>J146</f>
        <v>4923.237</v>
      </c>
    </row>
    <row r="147" spans="1:13" ht="13.5">
      <c r="A147" s="52"/>
      <c r="B147" s="325"/>
      <c r="C147" s="80" t="s">
        <v>102</v>
      </c>
      <c r="D147" s="47"/>
      <c r="E147" s="52"/>
      <c r="F147" s="161"/>
      <c r="G147" s="108"/>
      <c r="H147" s="108">
        <f>H144+H146</f>
        <v>30027.69616</v>
      </c>
      <c r="I147" s="108"/>
      <c r="J147" s="108">
        <f>J144+J146</f>
        <v>11487.553</v>
      </c>
      <c r="K147" s="108"/>
      <c r="L147" s="108">
        <f>L144+L146</f>
        <v>1091.1782399999997</v>
      </c>
      <c r="M147" s="108">
        <f>M144+M146</f>
        <v>42606.4274</v>
      </c>
    </row>
    <row r="148" spans="1:13" ht="13.5">
      <c r="A148" s="52"/>
      <c r="B148" s="52"/>
      <c r="C148" s="46" t="s">
        <v>187</v>
      </c>
      <c r="D148" s="81">
        <v>0.08</v>
      </c>
      <c r="E148" s="49"/>
      <c r="F148" s="161"/>
      <c r="G148" s="108"/>
      <c r="H148" s="108">
        <f>(H147-H145)*D148</f>
        <v>2054.8556928</v>
      </c>
      <c r="I148" s="108"/>
      <c r="J148" s="108">
        <f>(J147-J145)*D148</f>
        <v>919.00424</v>
      </c>
      <c r="K148" s="108"/>
      <c r="L148" s="108">
        <f>(L147-L145)*D148</f>
        <v>87.29425919999998</v>
      </c>
      <c r="M148" s="108">
        <f>(M147-M145)*D148</f>
        <v>3061.154192</v>
      </c>
    </row>
    <row r="149" spans="1:13" ht="13.5">
      <c r="A149" s="52"/>
      <c r="B149" s="52"/>
      <c r="C149" s="48" t="s">
        <v>49</v>
      </c>
      <c r="D149" s="52"/>
      <c r="E149" s="49"/>
      <c r="F149" s="161"/>
      <c r="G149" s="161"/>
      <c r="H149" s="187">
        <f>SUM(H147:H148)</f>
        <v>32082.5518528</v>
      </c>
      <c r="I149" s="187"/>
      <c r="J149" s="187">
        <f>SUM(J147:J148)</f>
        <v>12406.55724</v>
      </c>
      <c r="K149" s="187"/>
      <c r="L149" s="187">
        <f>SUM(L147:L148)</f>
        <v>1178.4724991999997</v>
      </c>
      <c r="M149" s="187">
        <f>SUM(M147:M148)</f>
        <v>45667.581592</v>
      </c>
    </row>
    <row r="150" spans="1:13" ht="13.5">
      <c r="A150" s="6"/>
      <c r="B150" s="426"/>
      <c r="C150" s="427"/>
      <c r="D150" s="6"/>
      <c r="E150" s="6"/>
      <c r="F150" s="15"/>
      <c r="G150" s="7"/>
      <c r="H150" s="15"/>
      <c r="I150" s="6"/>
      <c r="J150" s="15"/>
      <c r="K150" s="7"/>
      <c r="L150" s="15"/>
      <c r="M150" s="8"/>
    </row>
    <row r="151" spans="1:13" ht="13.5">
      <c r="A151" s="268"/>
      <c r="B151" s="492" t="s">
        <v>58</v>
      </c>
      <c r="C151" s="541"/>
      <c r="D151" s="268"/>
      <c r="E151" s="492" t="s">
        <v>482</v>
      </c>
      <c r="F151" s="492"/>
      <c r="G151" s="492"/>
      <c r="H151" s="492"/>
      <c r="I151" s="492"/>
      <c r="J151" s="541"/>
      <c r="K151" s="268"/>
      <c r="L151" s="268"/>
      <c r="M151" s="268"/>
    </row>
    <row r="153" spans="1:13" ht="13.5">
      <c r="A153" s="146"/>
      <c r="B153" s="268"/>
      <c r="C153" s="458" t="s">
        <v>891</v>
      </c>
      <c r="D153" s="268"/>
      <c r="E153" s="492" t="s">
        <v>890</v>
      </c>
      <c r="F153" s="492"/>
      <c r="G153" s="492"/>
      <c r="H153" s="492"/>
      <c r="I153" s="492"/>
      <c r="J153" s="492"/>
      <c r="K153" s="268"/>
      <c r="L153" s="268"/>
      <c r="M153" s="268"/>
    </row>
  </sheetData>
  <sheetProtection/>
  <mergeCells count="26">
    <mergeCell ref="B4:C4"/>
    <mergeCell ref="F4:I4"/>
    <mergeCell ref="J4:K4"/>
    <mergeCell ref="B5:C5"/>
    <mergeCell ref="G5:I5"/>
    <mergeCell ref="J5:K5"/>
    <mergeCell ref="B51:B56"/>
    <mergeCell ref="A1:M1"/>
    <mergeCell ref="A2:M2"/>
    <mergeCell ref="K6:L6"/>
    <mergeCell ref="M6:M7"/>
    <mergeCell ref="A6:A7"/>
    <mergeCell ref="B6:B7"/>
    <mergeCell ref="C6:C7"/>
    <mergeCell ref="B33:B38"/>
    <mergeCell ref="A3:M3"/>
    <mergeCell ref="E153:J153"/>
    <mergeCell ref="B57:B62"/>
    <mergeCell ref="B91:B96"/>
    <mergeCell ref="B151:C151"/>
    <mergeCell ref="E151:J151"/>
    <mergeCell ref="D6:D7"/>
    <mergeCell ref="E6:F6"/>
    <mergeCell ref="G6:H6"/>
    <mergeCell ref="I6:J6"/>
    <mergeCell ref="B126:B131"/>
  </mergeCells>
  <printOptions horizontalCentered="1"/>
  <pageMargins left="0.458661417" right="0" top="0.498031496" bottom="0.498031496" header="0.31496062992126" footer="0.31496062992126"/>
  <pageSetup horizontalDpi="600" verticalDpi="600" orientation="landscape" paperSize="9" scale="97" r:id="rId1"/>
  <headerFooter>
    <oddHeader>&amp;Cსაგანმანათლებლო და სამეცნიერო ინფრასტრუქტურის განვითარების სააგენტო</oddHeader>
    <oddFooter>&amp;Lხარჯთაღრიცხვა&amp;R&amp;P/&amp;N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M169"/>
  <sheetViews>
    <sheetView showZeros="0" zoomScalePageLayoutView="0" workbookViewId="0" topLeftCell="A1">
      <pane ySplit="7" topLeftCell="A149" activePane="bottomLeft" state="frozen"/>
      <selection pane="topLeft" activeCell="A1" sqref="A1"/>
      <selection pane="bottomLeft" activeCell="I6" sqref="I6:J6"/>
    </sheetView>
  </sheetViews>
  <sheetFormatPr defaultColWidth="9.00390625" defaultRowHeight="12.75"/>
  <cols>
    <col min="1" max="1" width="3.875" style="22" customWidth="1"/>
    <col min="2" max="2" width="8.25390625" style="22" customWidth="1"/>
    <col min="3" max="3" width="47.625" style="22" customWidth="1"/>
    <col min="4" max="4" width="7.75390625" style="22" customWidth="1"/>
    <col min="5" max="5" width="8.00390625" style="22" customWidth="1"/>
    <col min="6" max="6" width="8.375" style="22" customWidth="1"/>
    <col min="7" max="7" width="8.25390625" style="22" bestFit="1" customWidth="1"/>
    <col min="8" max="8" width="14.00390625" style="22" customWidth="1"/>
    <col min="9" max="9" width="7.875" style="22" customWidth="1"/>
    <col min="10" max="10" width="13.00390625" style="22" customWidth="1"/>
    <col min="11" max="11" width="7.625" style="22" customWidth="1"/>
    <col min="12" max="12" width="12.75390625" style="22" customWidth="1"/>
    <col min="13" max="13" width="13.625" style="22" customWidth="1"/>
    <col min="14" max="14" width="9.875" style="22" bestFit="1" customWidth="1"/>
    <col min="15" max="16384" width="9.125" style="22" customWidth="1"/>
  </cols>
  <sheetData>
    <row r="1" spans="1:13" s="314" customFormat="1" ht="17.25" customHeight="1">
      <c r="A1" s="511" t="s">
        <v>894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</row>
    <row r="2" spans="1:13" s="314" customFormat="1" ht="16.5" customHeight="1">
      <c r="A2" s="518" t="s">
        <v>736</v>
      </c>
      <c r="B2" s="517"/>
      <c r="C2" s="517"/>
      <c r="D2" s="517"/>
      <c r="E2" s="517"/>
      <c r="F2" s="517"/>
      <c r="G2" s="517"/>
      <c r="H2" s="517"/>
      <c r="I2" s="517"/>
      <c r="J2" s="517"/>
      <c r="K2" s="517"/>
      <c r="L2" s="517"/>
      <c r="M2" s="517"/>
    </row>
    <row r="3" spans="1:13" s="314" customFormat="1" ht="16.5" customHeight="1">
      <c r="A3" s="511" t="s">
        <v>838</v>
      </c>
      <c r="B3" s="550"/>
      <c r="C3" s="550"/>
      <c r="D3" s="550"/>
      <c r="E3" s="550"/>
      <c r="F3" s="550"/>
      <c r="G3" s="550"/>
      <c r="H3" s="550"/>
      <c r="I3" s="550"/>
      <c r="J3" s="550"/>
      <c r="K3" s="550"/>
      <c r="L3" s="550"/>
      <c r="M3" s="550"/>
    </row>
    <row r="4" spans="2:12" s="317" customFormat="1" ht="13.5">
      <c r="B4" s="513" t="s">
        <v>428</v>
      </c>
      <c r="C4" s="514"/>
      <c r="D4" s="24"/>
      <c r="E4" s="24"/>
      <c r="F4" s="520" t="s">
        <v>184</v>
      </c>
      <c r="G4" s="520"/>
      <c r="H4" s="520"/>
      <c r="I4" s="520"/>
      <c r="J4" s="542">
        <f>M164</f>
        <v>46565.27376000001</v>
      </c>
      <c r="K4" s="543"/>
      <c r="L4" s="25" t="s">
        <v>43</v>
      </c>
    </row>
    <row r="5" spans="1:12" s="317" customFormat="1" ht="18" customHeight="1">
      <c r="A5" s="319"/>
      <c r="B5" s="513" t="s">
        <v>876</v>
      </c>
      <c r="C5" s="514"/>
      <c r="D5" s="26"/>
      <c r="E5" s="26"/>
      <c r="F5" s="25"/>
      <c r="G5" s="531" t="s">
        <v>185</v>
      </c>
      <c r="H5" s="531"/>
      <c r="I5" s="531"/>
      <c r="J5" s="542">
        <f>J164</f>
        <v>10576.24128</v>
      </c>
      <c r="K5" s="543"/>
      <c r="L5" s="310" t="s">
        <v>43</v>
      </c>
    </row>
    <row r="6" spans="1:13" ht="44.25" customHeight="1">
      <c r="A6" s="521" t="s">
        <v>61</v>
      </c>
      <c r="B6" s="474" t="s">
        <v>74</v>
      </c>
      <c r="C6" s="497" t="s">
        <v>136</v>
      </c>
      <c r="D6" s="474" t="s">
        <v>44</v>
      </c>
      <c r="E6" s="529" t="s">
        <v>45</v>
      </c>
      <c r="F6" s="530"/>
      <c r="G6" s="525" t="s">
        <v>46</v>
      </c>
      <c r="H6" s="525"/>
      <c r="I6" s="526" t="s">
        <v>47</v>
      </c>
      <c r="J6" s="526"/>
      <c r="K6" s="526" t="s">
        <v>48</v>
      </c>
      <c r="L6" s="526"/>
      <c r="M6" s="525" t="s">
        <v>49</v>
      </c>
    </row>
    <row r="7" spans="1:13" ht="57" customHeight="1">
      <c r="A7" s="521"/>
      <c r="B7" s="521"/>
      <c r="C7" s="498"/>
      <c r="D7" s="474"/>
      <c r="E7" s="74" t="s">
        <v>50</v>
      </c>
      <c r="F7" s="74" t="s">
        <v>51</v>
      </c>
      <c r="G7" s="320" t="s">
        <v>52</v>
      </c>
      <c r="H7" s="108" t="s">
        <v>49</v>
      </c>
      <c r="I7" s="285" t="s">
        <v>52</v>
      </c>
      <c r="J7" s="108" t="s">
        <v>49</v>
      </c>
      <c r="K7" s="285" t="s">
        <v>52</v>
      </c>
      <c r="L7" s="108" t="s">
        <v>49</v>
      </c>
      <c r="M7" s="525"/>
    </row>
    <row r="8" spans="1:13" s="321" customFormat="1" ht="15">
      <c r="A8" s="126" t="s">
        <v>53</v>
      </c>
      <c r="B8" s="126">
        <v>2</v>
      </c>
      <c r="C8" s="126">
        <v>3</v>
      </c>
      <c r="D8" s="126">
        <v>4</v>
      </c>
      <c r="E8" s="126">
        <v>5</v>
      </c>
      <c r="F8" s="274">
        <v>6</v>
      </c>
      <c r="G8" s="275" t="s">
        <v>60</v>
      </c>
      <c r="H8" s="276">
        <v>8</v>
      </c>
      <c r="I8" s="274">
        <v>9</v>
      </c>
      <c r="J8" s="276">
        <v>10</v>
      </c>
      <c r="K8" s="274">
        <v>11</v>
      </c>
      <c r="L8" s="276">
        <v>12</v>
      </c>
      <c r="M8" s="276">
        <v>13</v>
      </c>
    </row>
    <row r="9" spans="1:13" s="321" customFormat="1" ht="16.5" customHeight="1">
      <c r="A9" s="126"/>
      <c r="B9" s="126"/>
      <c r="C9" s="116" t="s">
        <v>837</v>
      </c>
      <c r="D9" s="126"/>
      <c r="E9" s="126"/>
      <c r="F9" s="280"/>
      <c r="G9" s="281"/>
      <c r="H9" s="280"/>
      <c r="I9" s="280"/>
      <c r="J9" s="280"/>
      <c r="K9" s="280"/>
      <c r="L9" s="280"/>
      <c r="M9" s="280"/>
    </row>
    <row r="10" spans="1:13" s="135" customFormat="1" ht="15.75" customHeight="1">
      <c r="A10" s="28">
        <v>1</v>
      </c>
      <c r="B10" s="28" t="s">
        <v>86</v>
      </c>
      <c r="C10" s="43" t="s">
        <v>466</v>
      </c>
      <c r="D10" s="28" t="s">
        <v>241</v>
      </c>
      <c r="E10" s="28"/>
      <c r="F10" s="164">
        <v>1</v>
      </c>
      <c r="G10" s="30"/>
      <c r="H10" s="30"/>
      <c r="I10" s="30"/>
      <c r="J10" s="30"/>
      <c r="K10" s="30"/>
      <c r="L10" s="30"/>
      <c r="M10" s="30"/>
    </row>
    <row r="11" spans="1:13" s="135" customFormat="1" ht="13.5" customHeight="1">
      <c r="A11" s="1"/>
      <c r="B11" s="20"/>
      <c r="C11" s="19" t="s">
        <v>54</v>
      </c>
      <c r="D11" s="1" t="s">
        <v>59</v>
      </c>
      <c r="E11" s="1">
        <v>1</v>
      </c>
      <c r="F11" s="13">
        <f>F10*E11</f>
        <v>1</v>
      </c>
      <c r="G11" s="13"/>
      <c r="H11" s="13"/>
      <c r="I11" s="13">
        <v>30</v>
      </c>
      <c r="J11" s="13">
        <f>F11*I11</f>
        <v>30</v>
      </c>
      <c r="K11" s="13"/>
      <c r="L11" s="13"/>
      <c r="M11" s="13">
        <f>H11+J11+L11</f>
        <v>30</v>
      </c>
    </row>
    <row r="12" spans="1:13" s="216" customFormat="1" ht="13.5" customHeight="1">
      <c r="A12" s="214"/>
      <c r="B12" s="20"/>
      <c r="C12" s="19" t="s">
        <v>56</v>
      </c>
      <c r="D12" s="1"/>
      <c r="E12" s="1"/>
      <c r="F12" s="13"/>
      <c r="G12" s="13"/>
      <c r="H12" s="13"/>
      <c r="I12" s="13"/>
      <c r="J12" s="13"/>
      <c r="K12" s="13"/>
      <c r="L12" s="13"/>
      <c r="M12" s="13"/>
    </row>
    <row r="13" spans="1:13" s="216" customFormat="1" ht="13.5" customHeight="1">
      <c r="A13" s="214"/>
      <c r="B13" s="20"/>
      <c r="C13" s="4" t="s">
        <v>467</v>
      </c>
      <c r="D13" s="1" t="s">
        <v>59</v>
      </c>
      <c r="E13" s="1">
        <v>1</v>
      </c>
      <c r="F13" s="13">
        <f>F10*E13</f>
        <v>1</v>
      </c>
      <c r="G13" s="13">
        <v>250</v>
      </c>
      <c r="H13" s="13">
        <f>F13*G13</f>
        <v>250</v>
      </c>
      <c r="I13" s="13"/>
      <c r="J13" s="13"/>
      <c r="K13" s="13"/>
      <c r="L13" s="13"/>
      <c r="M13" s="13">
        <f>H13+J13+L13</f>
        <v>250</v>
      </c>
    </row>
    <row r="14" spans="1:13" ht="27">
      <c r="A14" s="28">
        <v>2</v>
      </c>
      <c r="B14" s="127" t="s">
        <v>405</v>
      </c>
      <c r="C14" s="43" t="s">
        <v>406</v>
      </c>
      <c r="D14" s="91" t="s">
        <v>121</v>
      </c>
      <c r="E14" s="184"/>
      <c r="F14" s="164">
        <v>1</v>
      </c>
      <c r="G14" s="133"/>
      <c r="H14" s="133"/>
      <c r="I14" s="133"/>
      <c r="J14" s="133"/>
      <c r="K14" s="133"/>
      <c r="L14" s="133"/>
      <c r="M14" s="133"/>
    </row>
    <row r="15" spans="1:13" ht="16.5" customHeight="1">
      <c r="A15" s="1"/>
      <c r="B15" s="120"/>
      <c r="C15" s="19" t="s">
        <v>141</v>
      </c>
      <c r="D15" s="1" t="s">
        <v>55</v>
      </c>
      <c r="E15" s="148">
        <v>5</v>
      </c>
      <c r="F15" s="115">
        <f>F14*E15</f>
        <v>5</v>
      </c>
      <c r="G15" s="115"/>
      <c r="H15" s="115"/>
      <c r="I15" s="115">
        <v>6</v>
      </c>
      <c r="J15" s="115">
        <f>F15*I15</f>
        <v>30</v>
      </c>
      <c r="K15" s="115"/>
      <c r="L15" s="115"/>
      <c r="M15" s="115">
        <f>H15+J15+L15</f>
        <v>30</v>
      </c>
    </row>
    <row r="16" spans="1:13" s="135" customFormat="1" ht="14.25" customHeight="1">
      <c r="A16" s="1"/>
      <c r="B16" s="120"/>
      <c r="C16" s="19" t="s">
        <v>56</v>
      </c>
      <c r="D16" s="1"/>
      <c r="E16" s="148"/>
      <c r="F16" s="115"/>
      <c r="G16" s="115"/>
      <c r="H16" s="115"/>
      <c r="I16" s="115"/>
      <c r="J16" s="115"/>
      <c r="K16" s="115"/>
      <c r="L16" s="115"/>
      <c r="M16" s="115"/>
    </row>
    <row r="17" spans="1:13" s="135" customFormat="1" ht="13.5" customHeight="1">
      <c r="A17" s="1"/>
      <c r="B17" s="120"/>
      <c r="C17" s="19" t="s">
        <v>57</v>
      </c>
      <c r="D17" s="1" t="s">
        <v>43</v>
      </c>
      <c r="E17" s="1">
        <v>3.01</v>
      </c>
      <c r="F17" s="13">
        <f>F14*E17</f>
        <v>3.01</v>
      </c>
      <c r="G17" s="13">
        <v>3.2</v>
      </c>
      <c r="H17" s="13">
        <f>F17*G17</f>
        <v>9.632</v>
      </c>
      <c r="I17" s="13"/>
      <c r="J17" s="13"/>
      <c r="K17" s="13"/>
      <c r="L17" s="13"/>
      <c r="M17" s="13">
        <f>H17+J17+L17</f>
        <v>9.632</v>
      </c>
    </row>
    <row r="18" spans="1:13" s="135" customFormat="1" ht="16.5" customHeight="1">
      <c r="A18" s="1"/>
      <c r="B18" s="120"/>
      <c r="C18" s="4" t="s">
        <v>407</v>
      </c>
      <c r="D18" s="1" t="s">
        <v>59</v>
      </c>
      <c r="E18" s="148">
        <v>1</v>
      </c>
      <c r="F18" s="115">
        <f>F14*E18</f>
        <v>1</v>
      </c>
      <c r="G18" s="115">
        <v>180</v>
      </c>
      <c r="H18" s="115">
        <f>F18*G18</f>
        <v>180</v>
      </c>
      <c r="I18" s="115"/>
      <c r="J18" s="115"/>
      <c r="K18" s="115"/>
      <c r="L18" s="115"/>
      <c r="M18" s="115">
        <f>H18+J18+L18</f>
        <v>180</v>
      </c>
    </row>
    <row r="19" spans="1:13" ht="15.75" customHeight="1">
      <c r="A19" s="28">
        <v>3</v>
      </c>
      <c r="B19" s="127" t="s">
        <v>404</v>
      </c>
      <c r="C19" s="43" t="s">
        <v>447</v>
      </c>
      <c r="D19" s="91" t="s">
        <v>121</v>
      </c>
      <c r="E19" s="28"/>
      <c r="F19" s="164">
        <v>1</v>
      </c>
      <c r="G19" s="30"/>
      <c r="H19" s="30"/>
      <c r="I19" s="30"/>
      <c r="J19" s="30"/>
      <c r="K19" s="30"/>
      <c r="L19" s="30"/>
      <c r="M19" s="30"/>
    </row>
    <row r="20" spans="1:13" ht="16.5" customHeight="1">
      <c r="A20" s="1"/>
      <c r="B20" s="1"/>
      <c r="C20" s="19" t="s">
        <v>141</v>
      </c>
      <c r="D20" s="1" t="s">
        <v>55</v>
      </c>
      <c r="E20" s="5">
        <v>4</v>
      </c>
      <c r="F20" s="13">
        <f>F19*E20</f>
        <v>4</v>
      </c>
      <c r="G20" s="13"/>
      <c r="H20" s="13"/>
      <c r="I20" s="13">
        <v>6</v>
      </c>
      <c r="J20" s="13">
        <f>F20*I20</f>
        <v>24</v>
      </c>
      <c r="K20" s="13"/>
      <c r="L20" s="13"/>
      <c r="M20" s="13">
        <f>H20+J20+L20</f>
        <v>24</v>
      </c>
    </row>
    <row r="21" spans="1:13" s="135" customFormat="1" ht="14.25" customHeight="1">
      <c r="A21" s="1"/>
      <c r="B21" s="120"/>
      <c r="C21" s="19" t="s">
        <v>56</v>
      </c>
      <c r="D21" s="1"/>
      <c r="E21" s="1"/>
      <c r="F21" s="13"/>
      <c r="G21" s="13"/>
      <c r="H21" s="13"/>
      <c r="I21" s="13"/>
      <c r="J21" s="13"/>
      <c r="K21" s="13"/>
      <c r="L21" s="13"/>
      <c r="M21" s="13"/>
    </row>
    <row r="22" spans="1:13" s="135" customFormat="1" ht="16.5" customHeight="1">
      <c r="A22" s="1"/>
      <c r="B22" s="120"/>
      <c r="C22" s="4" t="s">
        <v>329</v>
      </c>
      <c r="D22" s="1" t="s">
        <v>59</v>
      </c>
      <c r="E22" s="1">
        <v>1</v>
      </c>
      <c r="F22" s="13">
        <f>F19*E22</f>
        <v>1</v>
      </c>
      <c r="G22" s="13">
        <v>72</v>
      </c>
      <c r="H22" s="13">
        <f>F22*G22</f>
        <v>72</v>
      </c>
      <c r="I22" s="13"/>
      <c r="J22" s="13"/>
      <c r="K22" s="13"/>
      <c r="L22" s="13"/>
      <c r="M22" s="13">
        <f>H22+J22+L22</f>
        <v>72</v>
      </c>
    </row>
    <row r="23" spans="1:13" s="135" customFormat="1" ht="13.5" customHeight="1">
      <c r="A23" s="1"/>
      <c r="B23" s="120"/>
      <c r="C23" s="19" t="s">
        <v>57</v>
      </c>
      <c r="D23" s="1" t="s">
        <v>43</v>
      </c>
      <c r="E23" s="1">
        <v>0.21</v>
      </c>
      <c r="F23" s="13">
        <f>F19*E23</f>
        <v>0.21</v>
      </c>
      <c r="G23" s="13">
        <v>3.2</v>
      </c>
      <c r="H23" s="13">
        <f>F23*G23</f>
        <v>0.672</v>
      </c>
      <c r="I23" s="13"/>
      <c r="J23" s="13"/>
      <c r="K23" s="13"/>
      <c r="L23" s="13"/>
      <c r="M23" s="13">
        <f>H23+J23+L23</f>
        <v>0.672</v>
      </c>
    </row>
    <row r="24" spans="1:13" s="331" customFormat="1" ht="13.5">
      <c r="A24" s="91">
        <v>4</v>
      </c>
      <c r="B24" s="112"/>
      <c r="C24" s="213" t="s">
        <v>448</v>
      </c>
      <c r="D24" s="91" t="s">
        <v>59</v>
      </c>
      <c r="E24" s="183"/>
      <c r="F24" s="173">
        <v>1</v>
      </c>
      <c r="G24" s="108">
        <v>2170</v>
      </c>
      <c r="H24" s="108">
        <f>F24*G24</f>
        <v>2170</v>
      </c>
      <c r="I24" s="170"/>
      <c r="J24" s="170"/>
      <c r="K24" s="170"/>
      <c r="L24" s="170"/>
      <c r="M24" s="108">
        <f>H24+J24+L24</f>
        <v>2170</v>
      </c>
    </row>
    <row r="25" spans="1:13" s="135" customFormat="1" ht="33" customHeight="1">
      <c r="A25" s="28">
        <v>6</v>
      </c>
      <c r="B25" s="28" t="s">
        <v>86</v>
      </c>
      <c r="C25" s="43" t="s">
        <v>449</v>
      </c>
      <c r="D25" s="28" t="s">
        <v>241</v>
      </c>
      <c r="E25" s="28"/>
      <c r="F25" s="164">
        <v>10</v>
      </c>
      <c r="G25" s="30"/>
      <c r="H25" s="30"/>
      <c r="I25" s="30"/>
      <c r="J25" s="30"/>
      <c r="K25" s="30"/>
      <c r="L25" s="30"/>
      <c r="M25" s="30"/>
    </row>
    <row r="26" spans="1:13" s="135" customFormat="1" ht="13.5" customHeight="1">
      <c r="A26" s="1"/>
      <c r="B26" s="20"/>
      <c r="C26" s="19" t="s">
        <v>54</v>
      </c>
      <c r="D26" s="1" t="s">
        <v>55</v>
      </c>
      <c r="E26" s="1">
        <v>1</v>
      </c>
      <c r="F26" s="13">
        <f>F25*E26</f>
        <v>10</v>
      </c>
      <c r="G26" s="13"/>
      <c r="H26" s="13"/>
      <c r="I26" s="13">
        <v>30</v>
      </c>
      <c r="J26" s="13">
        <f>F26*I26</f>
        <v>300</v>
      </c>
      <c r="K26" s="13"/>
      <c r="L26" s="13"/>
      <c r="M26" s="13">
        <f>H26+J26+L26</f>
        <v>300</v>
      </c>
    </row>
    <row r="27" spans="1:13" s="216" customFormat="1" ht="13.5" customHeight="1">
      <c r="A27" s="214"/>
      <c r="B27" s="20"/>
      <c r="C27" s="19" t="s">
        <v>56</v>
      </c>
      <c r="D27" s="1"/>
      <c r="E27" s="1"/>
      <c r="F27" s="13"/>
      <c r="G27" s="13"/>
      <c r="H27" s="13"/>
      <c r="I27" s="13"/>
      <c r="J27" s="13"/>
      <c r="K27" s="13"/>
      <c r="L27" s="13"/>
      <c r="M27" s="13"/>
    </row>
    <row r="28" spans="1:13" s="216" customFormat="1" ht="13.5" customHeight="1">
      <c r="A28" s="214"/>
      <c r="B28" s="20"/>
      <c r="C28" s="215" t="s">
        <v>450</v>
      </c>
      <c r="D28" s="1" t="s">
        <v>59</v>
      </c>
      <c r="E28" s="1">
        <v>1</v>
      </c>
      <c r="F28" s="13">
        <f>F25*E28</f>
        <v>10</v>
      </c>
      <c r="G28" s="13">
        <v>150</v>
      </c>
      <c r="H28" s="13">
        <f>F28*G28</f>
        <v>1500</v>
      </c>
      <c r="I28" s="13"/>
      <c r="J28" s="13"/>
      <c r="K28" s="13"/>
      <c r="L28" s="13"/>
      <c r="M28" s="13">
        <f>H28+J28+L28</f>
        <v>1500</v>
      </c>
    </row>
    <row r="29" spans="1:13" ht="17.25" customHeight="1">
      <c r="A29" s="28">
        <v>5</v>
      </c>
      <c r="B29" s="340" t="s">
        <v>127</v>
      </c>
      <c r="C29" s="43" t="s">
        <v>330</v>
      </c>
      <c r="D29" s="28" t="s">
        <v>59</v>
      </c>
      <c r="E29" s="28"/>
      <c r="F29" s="164">
        <v>6</v>
      </c>
      <c r="G29" s="30"/>
      <c r="H29" s="30"/>
      <c r="I29" s="30"/>
      <c r="J29" s="30"/>
      <c r="K29" s="30"/>
      <c r="L29" s="30"/>
      <c r="M29" s="30"/>
    </row>
    <row r="30" spans="1:13" ht="13.5">
      <c r="A30" s="1"/>
      <c r="B30" s="20"/>
      <c r="C30" s="19" t="s">
        <v>54</v>
      </c>
      <c r="D30" s="1" t="s">
        <v>366</v>
      </c>
      <c r="E30" s="1">
        <v>0.34</v>
      </c>
      <c r="F30" s="13">
        <f>F29*E30</f>
        <v>2.04</v>
      </c>
      <c r="G30" s="13"/>
      <c r="H30" s="13"/>
      <c r="I30" s="13">
        <v>6</v>
      </c>
      <c r="J30" s="13">
        <f>F30*I30</f>
        <v>12.24</v>
      </c>
      <c r="K30" s="13"/>
      <c r="L30" s="13">
        <f>F30*K30</f>
        <v>0</v>
      </c>
      <c r="M30" s="13">
        <f>H30+J30+L30</f>
        <v>12.24</v>
      </c>
    </row>
    <row r="31" spans="1:13" ht="13.5">
      <c r="A31" s="1"/>
      <c r="B31" s="1"/>
      <c r="C31" s="19" t="s">
        <v>99</v>
      </c>
      <c r="D31" s="1" t="s">
        <v>43</v>
      </c>
      <c r="E31" s="1">
        <v>0.0113</v>
      </c>
      <c r="F31" s="13">
        <f>F29*E31</f>
        <v>0.0678</v>
      </c>
      <c r="G31" s="13"/>
      <c r="H31" s="13"/>
      <c r="I31" s="13"/>
      <c r="J31" s="13"/>
      <c r="K31" s="13">
        <v>3.2</v>
      </c>
      <c r="L31" s="13">
        <f>F31*K31</f>
        <v>0.21696000000000001</v>
      </c>
      <c r="M31" s="13">
        <f>H31+J31+L31</f>
        <v>0.21696000000000001</v>
      </c>
    </row>
    <row r="32" spans="1:13" ht="13.5">
      <c r="A32" s="214"/>
      <c r="B32" s="20"/>
      <c r="C32" s="19" t="s">
        <v>56</v>
      </c>
      <c r="D32" s="1"/>
      <c r="E32" s="1"/>
      <c r="F32" s="13"/>
      <c r="G32" s="13"/>
      <c r="H32" s="13"/>
      <c r="I32" s="13"/>
      <c r="J32" s="13"/>
      <c r="K32" s="13"/>
      <c r="L32" s="13"/>
      <c r="M32" s="13"/>
    </row>
    <row r="33" spans="1:13" ht="27">
      <c r="A33" s="214"/>
      <c r="B33" s="20"/>
      <c r="C33" s="4" t="s">
        <v>180</v>
      </c>
      <c r="D33" s="1" t="s">
        <v>59</v>
      </c>
      <c r="E33" s="1">
        <v>1</v>
      </c>
      <c r="F33" s="13">
        <f>F29*E33</f>
        <v>6</v>
      </c>
      <c r="G33" s="13">
        <v>29.8</v>
      </c>
      <c r="H33" s="13">
        <f>F33*G33</f>
        <v>178.8</v>
      </c>
      <c r="I33" s="13"/>
      <c r="J33" s="13"/>
      <c r="K33" s="13"/>
      <c r="L33" s="13"/>
      <c r="M33" s="13">
        <f>H33+J33+L33</f>
        <v>178.8</v>
      </c>
    </row>
    <row r="34" spans="1:13" ht="13.5">
      <c r="A34" s="1"/>
      <c r="B34" s="20"/>
      <c r="C34" s="19" t="s">
        <v>57</v>
      </c>
      <c r="D34" s="1" t="s">
        <v>43</v>
      </c>
      <c r="E34" s="1">
        <v>0.0937</v>
      </c>
      <c r="F34" s="13">
        <f>F29*E34</f>
        <v>0.5622</v>
      </c>
      <c r="G34" s="13">
        <v>3.2</v>
      </c>
      <c r="H34" s="13">
        <f>F34*G34</f>
        <v>1.7990400000000002</v>
      </c>
      <c r="I34" s="13"/>
      <c r="J34" s="13"/>
      <c r="K34" s="13"/>
      <c r="L34" s="13"/>
      <c r="M34" s="13">
        <f>H34+J34+L34</f>
        <v>1.7990400000000002</v>
      </c>
    </row>
    <row r="35" spans="1:13" ht="15.75" customHeight="1">
      <c r="A35" s="28">
        <v>7</v>
      </c>
      <c r="B35" s="340" t="s">
        <v>127</v>
      </c>
      <c r="C35" s="43" t="s">
        <v>331</v>
      </c>
      <c r="D35" s="28" t="s">
        <v>59</v>
      </c>
      <c r="E35" s="28"/>
      <c r="F35" s="164">
        <v>6</v>
      </c>
      <c r="G35" s="30"/>
      <c r="H35" s="30"/>
      <c r="I35" s="30"/>
      <c r="J35" s="30"/>
      <c r="K35" s="30"/>
      <c r="L35" s="30"/>
      <c r="M35" s="30"/>
    </row>
    <row r="36" spans="1:13" ht="13.5">
      <c r="A36" s="1"/>
      <c r="B36" s="20"/>
      <c r="C36" s="19" t="s">
        <v>54</v>
      </c>
      <c r="D36" s="1" t="s">
        <v>366</v>
      </c>
      <c r="E36" s="1">
        <v>0.34</v>
      </c>
      <c r="F36" s="13">
        <f>F35*E36</f>
        <v>2.04</v>
      </c>
      <c r="G36" s="13"/>
      <c r="H36" s="13"/>
      <c r="I36" s="13">
        <v>6</v>
      </c>
      <c r="J36" s="13">
        <f>F36*I36</f>
        <v>12.24</v>
      </c>
      <c r="K36" s="13"/>
      <c r="L36" s="13">
        <f>F36*K36</f>
        <v>0</v>
      </c>
      <c r="M36" s="13">
        <f>H36+J36+L36</f>
        <v>12.24</v>
      </c>
    </row>
    <row r="37" spans="1:13" ht="13.5">
      <c r="A37" s="1"/>
      <c r="B37" s="1"/>
      <c r="C37" s="19" t="s">
        <v>99</v>
      </c>
      <c r="D37" s="1" t="s">
        <v>43</v>
      </c>
      <c r="E37" s="1">
        <v>0.0113</v>
      </c>
      <c r="F37" s="13">
        <f>F35*E37</f>
        <v>0.0678</v>
      </c>
      <c r="G37" s="13"/>
      <c r="H37" s="13"/>
      <c r="I37" s="13"/>
      <c r="J37" s="13"/>
      <c r="K37" s="13">
        <v>3.2</v>
      </c>
      <c r="L37" s="13">
        <f>F37*K37</f>
        <v>0.21696000000000001</v>
      </c>
      <c r="M37" s="13">
        <f>H37+J37+L37</f>
        <v>0.21696000000000001</v>
      </c>
    </row>
    <row r="38" spans="1:13" ht="13.5">
      <c r="A38" s="214"/>
      <c r="B38" s="20"/>
      <c r="C38" s="19" t="s">
        <v>56</v>
      </c>
      <c r="D38" s="1"/>
      <c r="E38" s="1"/>
      <c r="F38" s="13"/>
      <c r="G38" s="13"/>
      <c r="H38" s="13"/>
      <c r="I38" s="13"/>
      <c r="J38" s="13"/>
      <c r="K38" s="13"/>
      <c r="L38" s="13"/>
      <c r="M38" s="13"/>
    </row>
    <row r="39" spans="1:13" ht="17.25" customHeight="1">
      <c r="A39" s="214"/>
      <c r="B39" s="20"/>
      <c r="C39" s="4" t="s">
        <v>179</v>
      </c>
      <c r="D39" s="1" t="s">
        <v>59</v>
      </c>
      <c r="E39" s="1">
        <v>1</v>
      </c>
      <c r="F39" s="13">
        <f>F35*E39</f>
        <v>6</v>
      </c>
      <c r="G39" s="13">
        <v>13</v>
      </c>
      <c r="H39" s="13">
        <f>F39*G39</f>
        <v>78</v>
      </c>
      <c r="I39" s="13"/>
      <c r="J39" s="13"/>
      <c r="K39" s="13"/>
      <c r="L39" s="13"/>
      <c r="M39" s="13">
        <f>H39+J39+L39</f>
        <v>78</v>
      </c>
    </row>
    <row r="40" spans="1:13" ht="13.5">
      <c r="A40" s="1"/>
      <c r="B40" s="20"/>
      <c r="C40" s="19" t="s">
        <v>57</v>
      </c>
      <c r="D40" s="1" t="s">
        <v>43</v>
      </c>
      <c r="E40" s="1">
        <v>0.0937</v>
      </c>
      <c r="F40" s="13">
        <f>F35*E40</f>
        <v>0.5622</v>
      </c>
      <c r="G40" s="13">
        <v>3.2</v>
      </c>
      <c r="H40" s="13">
        <f>F40*G40</f>
        <v>1.7990400000000002</v>
      </c>
      <c r="I40" s="13"/>
      <c r="J40" s="13"/>
      <c r="K40" s="13"/>
      <c r="L40" s="13"/>
      <c r="M40" s="13">
        <f>H40+J40+L40</f>
        <v>1.7990400000000002</v>
      </c>
    </row>
    <row r="41" spans="1:13" s="268" customFormat="1" ht="13.5">
      <c r="A41" s="28">
        <v>8</v>
      </c>
      <c r="B41" s="340" t="s">
        <v>169</v>
      </c>
      <c r="C41" s="43" t="s">
        <v>408</v>
      </c>
      <c r="D41" s="152" t="s">
        <v>115</v>
      </c>
      <c r="E41" s="28"/>
      <c r="F41" s="164">
        <v>20</v>
      </c>
      <c r="G41" s="30"/>
      <c r="H41" s="30"/>
      <c r="I41" s="30"/>
      <c r="J41" s="30"/>
      <c r="K41" s="30"/>
      <c r="L41" s="30"/>
      <c r="M41" s="30"/>
    </row>
    <row r="42" spans="1:13" s="268" customFormat="1" ht="13.5">
      <c r="A42" s="1"/>
      <c r="B42" s="20"/>
      <c r="C42" s="19" t="s">
        <v>141</v>
      </c>
      <c r="D42" s="1" t="s">
        <v>85</v>
      </c>
      <c r="E42" s="1">
        <v>1</v>
      </c>
      <c r="F42" s="13">
        <f>F41*E42</f>
        <v>20</v>
      </c>
      <c r="G42" s="13"/>
      <c r="H42" s="13"/>
      <c r="I42" s="13">
        <v>0.5</v>
      </c>
      <c r="J42" s="13">
        <f>F42*I42</f>
        <v>10</v>
      </c>
      <c r="K42" s="13"/>
      <c r="L42" s="13"/>
      <c r="M42" s="13">
        <f>H42+J42+L42</f>
        <v>10</v>
      </c>
    </row>
    <row r="43" spans="1:13" s="268" customFormat="1" ht="15" customHeight="1">
      <c r="A43" s="1"/>
      <c r="B43" s="1"/>
      <c r="C43" s="19" t="s">
        <v>99</v>
      </c>
      <c r="D43" s="1" t="s">
        <v>43</v>
      </c>
      <c r="E43" s="1">
        <v>0.0597</v>
      </c>
      <c r="F43" s="13">
        <f>F41*E43</f>
        <v>1.194</v>
      </c>
      <c r="G43" s="13"/>
      <c r="H43" s="13"/>
      <c r="I43" s="13"/>
      <c r="J43" s="13"/>
      <c r="K43" s="13">
        <v>3.2</v>
      </c>
      <c r="L43" s="13">
        <f>F43*K43</f>
        <v>3.8208</v>
      </c>
      <c r="M43" s="13">
        <f>H43+J43+L43</f>
        <v>3.8208</v>
      </c>
    </row>
    <row r="44" spans="1:13" ht="13.5">
      <c r="A44" s="1"/>
      <c r="B44" s="20"/>
      <c r="C44" s="19" t="s">
        <v>56</v>
      </c>
      <c r="D44" s="1"/>
      <c r="E44" s="1"/>
      <c r="F44" s="13"/>
      <c r="G44" s="13"/>
      <c r="H44" s="13"/>
      <c r="I44" s="13"/>
      <c r="J44" s="13"/>
      <c r="K44" s="13"/>
      <c r="L44" s="13"/>
      <c r="M44" s="13"/>
    </row>
    <row r="45" spans="1:13" ht="13.5">
      <c r="A45" s="1"/>
      <c r="B45" s="20"/>
      <c r="C45" s="4" t="s">
        <v>332</v>
      </c>
      <c r="D45" s="18" t="s">
        <v>115</v>
      </c>
      <c r="E45" s="1">
        <v>1</v>
      </c>
      <c r="F45" s="13">
        <f>F41*E45</f>
        <v>20</v>
      </c>
      <c r="G45" s="13">
        <v>4.5</v>
      </c>
      <c r="H45" s="13">
        <f>F45*G45</f>
        <v>90</v>
      </c>
      <c r="I45" s="13"/>
      <c r="J45" s="13"/>
      <c r="K45" s="13"/>
      <c r="L45" s="13"/>
      <c r="M45" s="13">
        <f>H45+J45+L45</f>
        <v>90</v>
      </c>
    </row>
    <row r="46" spans="1:13" ht="13.5">
      <c r="A46" s="1"/>
      <c r="B46" s="120"/>
      <c r="C46" s="19" t="s">
        <v>57</v>
      </c>
      <c r="D46" s="1" t="s">
        <v>43</v>
      </c>
      <c r="E46" s="1">
        <v>0.0673</v>
      </c>
      <c r="F46" s="13">
        <f>F41*E46</f>
        <v>1.346</v>
      </c>
      <c r="G46" s="13">
        <v>3.2</v>
      </c>
      <c r="H46" s="13">
        <f>F46*G46</f>
        <v>4.307200000000001</v>
      </c>
      <c r="I46" s="13"/>
      <c r="J46" s="13"/>
      <c r="K46" s="13"/>
      <c r="L46" s="13"/>
      <c r="M46" s="13">
        <f>H46+J46+L46</f>
        <v>4.307200000000001</v>
      </c>
    </row>
    <row r="47" spans="1:13" ht="13.5">
      <c r="A47" s="28">
        <v>9</v>
      </c>
      <c r="B47" s="340" t="s">
        <v>169</v>
      </c>
      <c r="C47" s="43" t="s">
        <v>283</v>
      </c>
      <c r="D47" s="28" t="s">
        <v>115</v>
      </c>
      <c r="E47" s="28"/>
      <c r="F47" s="164">
        <v>20</v>
      </c>
      <c r="G47" s="133"/>
      <c r="H47" s="133"/>
      <c r="I47" s="133"/>
      <c r="J47" s="133"/>
      <c r="K47" s="133"/>
      <c r="L47" s="133"/>
      <c r="M47" s="133"/>
    </row>
    <row r="48" spans="1:13" ht="13.5">
      <c r="A48" s="1"/>
      <c r="B48" s="20"/>
      <c r="C48" s="19" t="s">
        <v>54</v>
      </c>
      <c r="D48" s="1" t="s">
        <v>85</v>
      </c>
      <c r="E48" s="1">
        <v>1</v>
      </c>
      <c r="F48" s="13">
        <f>F47*E48</f>
        <v>20</v>
      </c>
      <c r="G48" s="115"/>
      <c r="H48" s="115"/>
      <c r="I48" s="115">
        <v>0.5</v>
      </c>
      <c r="J48" s="13">
        <f>F48*I48</f>
        <v>10</v>
      </c>
      <c r="K48" s="115"/>
      <c r="L48" s="115"/>
      <c r="M48" s="13">
        <f>H48+J48+L48</f>
        <v>10</v>
      </c>
    </row>
    <row r="49" spans="1:13" ht="13.5">
      <c r="A49" s="1"/>
      <c r="B49" s="1"/>
      <c r="C49" s="19" t="s">
        <v>99</v>
      </c>
      <c r="D49" s="1" t="s">
        <v>43</v>
      </c>
      <c r="E49" s="1">
        <v>0.0597</v>
      </c>
      <c r="F49" s="13">
        <f>F47*E49</f>
        <v>1.194</v>
      </c>
      <c r="G49" s="115"/>
      <c r="H49" s="115"/>
      <c r="I49" s="115"/>
      <c r="J49" s="115"/>
      <c r="K49" s="13">
        <v>3.2</v>
      </c>
      <c r="L49" s="115">
        <f>F49*K49</f>
        <v>3.8208</v>
      </c>
      <c r="M49" s="115">
        <f>H49+J49+L49</f>
        <v>3.8208</v>
      </c>
    </row>
    <row r="50" spans="1:13" ht="13.5">
      <c r="A50" s="1"/>
      <c r="B50" s="20"/>
      <c r="C50" s="19" t="s">
        <v>56</v>
      </c>
      <c r="D50" s="1"/>
      <c r="E50" s="1"/>
      <c r="F50" s="13"/>
      <c r="G50" s="115"/>
      <c r="H50" s="115"/>
      <c r="I50" s="115"/>
      <c r="J50" s="115"/>
      <c r="K50" s="115"/>
      <c r="L50" s="115"/>
      <c r="M50" s="115"/>
    </row>
    <row r="51" spans="1:13" ht="13.5">
      <c r="A51" s="1"/>
      <c r="B51" s="20"/>
      <c r="C51" s="4" t="s">
        <v>284</v>
      </c>
      <c r="D51" s="1" t="s">
        <v>115</v>
      </c>
      <c r="E51" s="1">
        <v>1</v>
      </c>
      <c r="F51" s="13">
        <f>F47*E51</f>
        <v>20</v>
      </c>
      <c r="G51" s="115">
        <v>4.3</v>
      </c>
      <c r="H51" s="13">
        <f>F51*G51</f>
        <v>86</v>
      </c>
      <c r="I51" s="115"/>
      <c r="J51" s="115"/>
      <c r="K51" s="115"/>
      <c r="L51" s="115"/>
      <c r="M51" s="13">
        <f>H51+J51+L51</f>
        <v>86</v>
      </c>
    </row>
    <row r="52" spans="1:13" ht="13.5">
      <c r="A52" s="1"/>
      <c r="B52" s="20"/>
      <c r="C52" s="19" t="s">
        <v>57</v>
      </c>
      <c r="D52" s="1" t="s">
        <v>43</v>
      </c>
      <c r="E52" s="1">
        <v>0.0673</v>
      </c>
      <c r="F52" s="13">
        <f>F47*E52</f>
        <v>1.346</v>
      </c>
      <c r="G52" s="115">
        <v>3.2</v>
      </c>
      <c r="H52" s="115">
        <f>F52*G52</f>
        <v>4.307200000000001</v>
      </c>
      <c r="I52" s="115"/>
      <c r="J52" s="115"/>
      <c r="K52" s="115"/>
      <c r="L52" s="115"/>
      <c r="M52" s="115">
        <f>H52+J52+L52</f>
        <v>4.307200000000001</v>
      </c>
    </row>
    <row r="53" spans="1:13" ht="16.5" customHeight="1">
      <c r="A53" s="28">
        <v>10</v>
      </c>
      <c r="B53" s="340" t="s">
        <v>169</v>
      </c>
      <c r="C53" s="43" t="s">
        <v>409</v>
      </c>
      <c r="D53" s="28" t="s">
        <v>115</v>
      </c>
      <c r="E53" s="28"/>
      <c r="F53" s="164">
        <v>1500</v>
      </c>
      <c r="G53" s="30"/>
      <c r="H53" s="30"/>
      <c r="I53" s="30"/>
      <c r="J53" s="30"/>
      <c r="K53" s="30"/>
      <c r="L53" s="30"/>
      <c r="M53" s="30"/>
    </row>
    <row r="54" spans="1:13" ht="15" customHeight="1">
      <c r="A54" s="1"/>
      <c r="B54" s="20"/>
      <c r="C54" s="19" t="s">
        <v>54</v>
      </c>
      <c r="D54" s="1" t="s">
        <v>85</v>
      </c>
      <c r="E54" s="1">
        <v>1</v>
      </c>
      <c r="F54" s="13">
        <f>F53*E54</f>
        <v>1500</v>
      </c>
      <c r="G54" s="13"/>
      <c r="H54" s="13"/>
      <c r="I54" s="13">
        <v>0.5</v>
      </c>
      <c r="J54" s="13">
        <f>F54*I54</f>
        <v>750</v>
      </c>
      <c r="K54" s="13"/>
      <c r="L54" s="13"/>
      <c r="M54" s="13">
        <f>H54+J54+L54</f>
        <v>750</v>
      </c>
    </row>
    <row r="55" spans="1:13" s="268" customFormat="1" ht="13.5">
      <c r="A55" s="1"/>
      <c r="B55" s="1"/>
      <c r="C55" s="19" t="s">
        <v>99</v>
      </c>
      <c r="D55" s="1" t="s">
        <v>43</v>
      </c>
      <c r="E55" s="1">
        <v>0.0597</v>
      </c>
      <c r="F55" s="13">
        <f>F53*E55</f>
        <v>89.55000000000001</v>
      </c>
      <c r="G55" s="13"/>
      <c r="H55" s="13"/>
      <c r="I55" s="13"/>
      <c r="J55" s="13"/>
      <c r="K55" s="13">
        <v>3.2</v>
      </c>
      <c r="L55" s="13">
        <f>F55*K55</f>
        <v>286.56000000000006</v>
      </c>
      <c r="M55" s="13">
        <f>H55+J55+L55</f>
        <v>286.56000000000006</v>
      </c>
    </row>
    <row r="56" spans="1:13" s="135" customFormat="1" ht="13.5">
      <c r="A56" s="1"/>
      <c r="B56" s="20"/>
      <c r="C56" s="19" t="s">
        <v>56</v>
      </c>
      <c r="D56" s="1"/>
      <c r="E56" s="1"/>
      <c r="F56" s="13"/>
      <c r="G56" s="13"/>
      <c r="H56" s="13"/>
      <c r="I56" s="13"/>
      <c r="J56" s="13"/>
      <c r="K56" s="13"/>
      <c r="L56" s="13"/>
      <c r="M56" s="13"/>
    </row>
    <row r="57" spans="1:13" s="135" customFormat="1" ht="15" customHeight="1">
      <c r="A57" s="1"/>
      <c r="B57" s="20"/>
      <c r="C57" s="4" t="s">
        <v>410</v>
      </c>
      <c r="D57" s="1" t="s">
        <v>115</v>
      </c>
      <c r="E57" s="1">
        <v>1</v>
      </c>
      <c r="F57" s="13">
        <f>F53*E57</f>
        <v>1500</v>
      </c>
      <c r="G57" s="13">
        <v>0.8</v>
      </c>
      <c r="H57" s="13">
        <f>F57*G57</f>
        <v>1200</v>
      </c>
      <c r="I57" s="13"/>
      <c r="J57" s="13"/>
      <c r="K57" s="13"/>
      <c r="L57" s="13"/>
      <c r="M57" s="13">
        <f>H57+J57+L57</f>
        <v>1200</v>
      </c>
    </row>
    <row r="58" spans="1:13" s="135" customFormat="1" ht="13.5">
      <c r="A58" s="1"/>
      <c r="B58" s="20"/>
      <c r="C58" s="19" t="s">
        <v>57</v>
      </c>
      <c r="D58" s="1" t="s">
        <v>43</v>
      </c>
      <c r="E58" s="1">
        <v>0.0673</v>
      </c>
      <c r="F58" s="13">
        <f>F53*E58</f>
        <v>100.95</v>
      </c>
      <c r="G58" s="13">
        <v>3.2</v>
      </c>
      <c r="H58" s="13">
        <f>F58*G58</f>
        <v>323.04</v>
      </c>
      <c r="I58" s="13"/>
      <c r="J58" s="13"/>
      <c r="K58" s="13"/>
      <c r="L58" s="13"/>
      <c r="M58" s="13">
        <f>H58+J58+L58</f>
        <v>323.04</v>
      </c>
    </row>
    <row r="59" spans="1:13" s="135" customFormat="1" ht="15.75">
      <c r="A59" s="47"/>
      <c r="B59" s="154"/>
      <c r="C59" s="116" t="s">
        <v>333</v>
      </c>
      <c r="D59" s="47"/>
      <c r="E59" s="47"/>
      <c r="F59" s="108"/>
      <c r="G59" s="108"/>
      <c r="H59" s="108"/>
      <c r="I59" s="108"/>
      <c r="J59" s="108"/>
      <c r="K59" s="108"/>
      <c r="L59" s="108"/>
      <c r="M59" s="108"/>
    </row>
    <row r="60" spans="1:13" ht="14.25" customHeight="1">
      <c r="A60" s="28">
        <v>11</v>
      </c>
      <c r="B60" s="340" t="s">
        <v>286</v>
      </c>
      <c r="C60" s="43" t="s">
        <v>451</v>
      </c>
      <c r="D60" s="28" t="s">
        <v>241</v>
      </c>
      <c r="E60" s="28"/>
      <c r="F60" s="164">
        <v>1</v>
      </c>
      <c r="G60" s="30"/>
      <c r="H60" s="30"/>
      <c r="I60" s="30"/>
      <c r="J60" s="30"/>
      <c r="K60" s="30"/>
      <c r="L60" s="30"/>
      <c r="M60" s="30"/>
    </row>
    <row r="61" spans="1:13" ht="13.5">
      <c r="A61" s="1"/>
      <c r="B61" s="20"/>
      <c r="C61" s="19" t="s">
        <v>54</v>
      </c>
      <c r="D61" s="1" t="s">
        <v>366</v>
      </c>
      <c r="E61" s="1">
        <v>11</v>
      </c>
      <c r="F61" s="13">
        <f>F60*E61</f>
        <v>11</v>
      </c>
      <c r="G61" s="13"/>
      <c r="H61" s="13"/>
      <c r="I61" s="13">
        <v>6</v>
      </c>
      <c r="J61" s="13">
        <f>F61*I61</f>
        <v>66</v>
      </c>
      <c r="K61" s="13"/>
      <c r="L61" s="13"/>
      <c r="M61" s="13">
        <f>H61+J61+L61</f>
        <v>66</v>
      </c>
    </row>
    <row r="62" spans="1:13" ht="13.5">
      <c r="A62" s="1"/>
      <c r="B62" s="1"/>
      <c r="C62" s="19" t="s">
        <v>99</v>
      </c>
      <c r="D62" s="1" t="s">
        <v>43</v>
      </c>
      <c r="E62" s="1">
        <v>5.63</v>
      </c>
      <c r="F62" s="13">
        <f>F60*E62</f>
        <v>5.63</v>
      </c>
      <c r="G62" s="13"/>
      <c r="H62" s="13"/>
      <c r="I62" s="13"/>
      <c r="J62" s="13"/>
      <c r="K62" s="13">
        <v>3.2</v>
      </c>
      <c r="L62" s="13">
        <f>F62*K62</f>
        <v>18.016000000000002</v>
      </c>
      <c r="M62" s="13">
        <f>H62+J62+L62</f>
        <v>18.016000000000002</v>
      </c>
    </row>
    <row r="63" spans="1:13" ht="13.5">
      <c r="A63" s="1"/>
      <c r="B63" s="20"/>
      <c r="C63" s="19" t="s">
        <v>56</v>
      </c>
      <c r="D63" s="1"/>
      <c r="E63" s="1"/>
      <c r="F63" s="13"/>
      <c r="G63" s="13"/>
      <c r="H63" s="13"/>
      <c r="I63" s="13"/>
      <c r="J63" s="13"/>
      <c r="K63" s="13"/>
      <c r="L63" s="13"/>
      <c r="M63" s="13"/>
    </row>
    <row r="64" spans="1:13" ht="13.5">
      <c r="A64" s="1"/>
      <c r="B64" s="20"/>
      <c r="C64" s="4" t="s">
        <v>287</v>
      </c>
      <c r="D64" s="1" t="s">
        <v>59</v>
      </c>
      <c r="E64" s="1">
        <v>1</v>
      </c>
      <c r="F64" s="13">
        <f>F60*E64</f>
        <v>1</v>
      </c>
      <c r="G64" s="13">
        <v>200</v>
      </c>
      <c r="H64" s="13">
        <f>F64*G64</f>
        <v>200</v>
      </c>
      <c r="I64" s="13"/>
      <c r="J64" s="13"/>
      <c r="K64" s="13"/>
      <c r="L64" s="13"/>
      <c r="M64" s="13">
        <f>H64+J64+L64</f>
        <v>200</v>
      </c>
    </row>
    <row r="65" spans="1:13" ht="13.5">
      <c r="A65" s="1"/>
      <c r="B65" s="20"/>
      <c r="C65" s="19" t="s">
        <v>57</v>
      </c>
      <c r="D65" s="1" t="s">
        <v>43</v>
      </c>
      <c r="E65" s="1">
        <v>1.59</v>
      </c>
      <c r="F65" s="13">
        <f>F60*E65</f>
        <v>1.59</v>
      </c>
      <c r="G65" s="13">
        <v>3.2</v>
      </c>
      <c r="H65" s="13">
        <f>F65*G65</f>
        <v>5.088000000000001</v>
      </c>
      <c r="I65" s="13"/>
      <c r="J65" s="13"/>
      <c r="K65" s="13"/>
      <c r="L65" s="13"/>
      <c r="M65" s="13">
        <f>H65+J65+L65</f>
        <v>5.088000000000001</v>
      </c>
    </row>
    <row r="66" spans="1:13" ht="17.25" customHeight="1">
      <c r="A66" s="28">
        <v>12</v>
      </c>
      <c r="B66" s="340" t="s">
        <v>127</v>
      </c>
      <c r="C66" s="43" t="s">
        <v>452</v>
      </c>
      <c r="D66" s="28" t="s">
        <v>59</v>
      </c>
      <c r="E66" s="155"/>
      <c r="F66" s="164">
        <v>4</v>
      </c>
      <c r="G66" s="164"/>
      <c r="H66" s="164"/>
      <c r="I66" s="164"/>
      <c r="J66" s="164"/>
      <c r="K66" s="164"/>
      <c r="L66" s="164"/>
      <c r="M66" s="164"/>
    </row>
    <row r="67" spans="1:13" ht="13.5">
      <c r="A67" s="1"/>
      <c r="B67" s="20"/>
      <c r="C67" s="19" t="s">
        <v>54</v>
      </c>
      <c r="D67" s="1" t="s">
        <v>366</v>
      </c>
      <c r="E67" s="1">
        <v>0.34</v>
      </c>
      <c r="F67" s="13">
        <f>F66*E67</f>
        <v>1.36</v>
      </c>
      <c r="G67" s="13"/>
      <c r="H67" s="13"/>
      <c r="I67" s="13">
        <v>6</v>
      </c>
      <c r="J67" s="13">
        <f>F67*I67</f>
        <v>8.16</v>
      </c>
      <c r="K67" s="13"/>
      <c r="L67" s="13">
        <f>F67*K67</f>
        <v>0</v>
      </c>
      <c r="M67" s="13">
        <f>H67+J67+L67</f>
        <v>8.16</v>
      </c>
    </row>
    <row r="68" spans="1:13" ht="13.5">
      <c r="A68" s="1"/>
      <c r="B68" s="1"/>
      <c r="C68" s="19" t="s">
        <v>99</v>
      </c>
      <c r="D68" s="1" t="s">
        <v>43</v>
      </c>
      <c r="E68" s="1">
        <v>0.0113</v>
      </c>
      <c r="F68" s="13">
        <f>F66*E68</f>
        <v>0.0452</v>
      </c>
      <c r="G68" s="13"/>
      <c r="H68" s="13"/>
      <c r="I68" s="13"/>
      <c r="J68" s="13"/>
      <c r="K68" s="13">
        <v>3.2</v>
      </c>
      <c r="L68" s="13">
        <f>F68*K68</f>
        <v>0.14464</v>
      </c>
      <c r="M68" s="13">
        <f>H68+J68+L68</f>
        <v>0.14464</v>
      </c>
    </row>
    <row r="69" spans="1:13" ht="13.5">
      <c r="A69" s="214"/>
      <c r="B69" s="20"/>
      <c r="C69" s="19" t="s">
        <v>56</v>
      </c>
      <c r="D69" s="1"/>
      <c r="E69" s="1"/>
      <c r="F69" s="13"/>
      <c r="G69" s="13"/>
      <c r="H69" s="13"/>
      <c r="I69" s="13"/>
      <c r="J69" s="13"/>
      <c r="K69" s="13"/>
      <c r="L69" s="13"/>
      <c r="M69" s="13"/>
    </row>
    <row r="70" spans="1:13" ht="13.5">
      <c r="A70" s="214"/>
      <c r="B70" s="20"/>
      <c r="C70" s="4" t="s">
        <v>285</v>
      </c>
      <c r="D70" s="1" t="s">
        <v>59</v>
      </c>
      <c r="E70" s="1">
        <v>1</v>
      </c>
      <c r="F70" s="13">
        <f>F66*E70</f>
        <v>4</v>
      </c>
      <c r="G70" s="13">
        <v>20</v>
      </c>
      <c r="H70" s="13">
        <f>F70*G70</f>
        <v>80</v>
      </c>
      <c r="I70" s="13"/>
      <c r="J70" s="13"/>
      <c r="K70" s="13"/>
      <c r="L70" s="13"/>
      <c r="M70" s="13">
        <f>H70+J70+L70</f>
        <v>80</v>
      </c>
    </row>
    <row r="71" spans="1:13" ht="13.5">
      <c r="A71" s="1"/>
      <c r="B71" s="20"/>
      <c r="C71" s="19" t="s">
        <v>57</v>
      </c>
      <c r="D71" s="1" t="s">
        <v>43</v>
      </c>
      <c r="E71" s="1">
        <v>0.0937</v>
      </c>
      <c r="F71" s="13">
        <f>F66*E71</f>
        <v>0.3748</v>
      </c>
      <c r="G71" s="13">
        <v>3.2</v>
      </c>
      <c r="H71" s="13">
        <f>F71*G71</f>
        <v>1.1993600000000002</v>
      </c>
      <c r="I71" s="13"/>
      <c r="J71" s="13"/>
      <c r="K71" s="13"/>
      <c r="L71" s="13"/>
      <c r="M71" s="13">
        <f>H71+J71+L71</f>
        <v>1.1993600000000002</v>
      </c>
    </row>
    <row r="72" spans="1:13" ht="15.75" customHeight="1">
      <c r="A72" s="28">
        <v>13</v>
      </c>
      <c r="B72" s="340" t="s">
        <v>169</v>
      </c>
      <c r="C72" s="43" t="s">
        <v>839</v>
      </c>
      <c r="D72" s="28" t="s">
        <v>115</v>
      </c>
      <c r="E72" s="28"/>
      <c r="F72" s="164">
        <v>300</v>
      </c>
      <c r="G72" s="30"/>
      <c r="H72" s="30"/>
      <c r="I72" s="30"/>
      <c r="J72" s="30"/>
      <c r="K72" s="30"/>
      <c r="L72" s="30"/>
      <c r="M72" s="30"/>
    </row>
    <row r="73" spans="1:13" ht="13.5">
      <c r="A73" s="1"/>
      <c r="B73" s="20"/>
      <c r="C73" s="19" t="s">
        <v>54</v>
      </c>
      <c r="D73" s="1" t="s">
        <v>85</v>
      </c>
      <c r="E73" s="1">
        <v>1</v>
      </c>
      <c r="F73" s="13">
        <f>F72*E73</f>
        <v>300</v>
      </c>
      <c r="G73" s="13"/>
      <c r="H73" s="13"/>
      <c r="I73" s="13">
        <v>0.5</v>
      </c>
      <c r="J73" s="13">
        <f>F73*I73</f>
        <v>150</v>
      </c>
      <c r="K73" s="13"/>
      <c r="L73" s="13"/>
      <c r="M73" s="13">
        <f>H73+J73+L73</f>
        <v>150</v>
      </c>
    </row>
    <row r="74" spans="1:13" ht="13.5">
      <c r="A74" s="1"/>
      <c r="B74" s="1"/>
      <c r="C74" s="19" t="s">
        <v>99</v>
      </c>
      <c r="D74" s="1" t="s">
        <v>43</v>
      </c>
      <c r="E74" s="1">
        <v>0.0597</v>
      </c>
      <c r="F74" s="13">
        <f>F72*E74</f>
        <v>17.91</v>
      </c>
      <c r="G74" s="13"/>
      <c r="H74" s="13"/>
      <c r="I74" s="13"/>
      <c r="J74" s="13"/>
      <c r="K74" s="13">
        <v>3.2</v>
      </c>
      <c r="L74" s="13">
        <f>F74*K74</f>
        <v>57.312000000000005</v>
      </c>
      <c r="M74" s="13">
        <f>H74+J74+L74</f>
        <v>57.312000000000005</v>
      </c>
    </row>
    <row r="75" spans="1:13" ht="13.5">
      <c r="A75" s="1"/>
      <c r="B75" s="20"/>
      <c r="C75" s="19" t="s">
        <v>56</v>
      </c>
      <c r="D75" s="1"/>
      <c r="E75" s="1"/>
      <c r="F75" s="13"/>
      <c r="G75" s="13"/>
      <c r="H75" s="13"/>
      <c r="I75" s="13"/>
      <c r="J75" s="13"/>
      <c r="K75" s="13"/>
      <c r="L75" s="13"/>
      <c r="M75" s="13"/>
    </row>
    <row r="76" spans="1:13" ht="14.25" customHeight="1">
      <c r="A76" s="1"/>
      <c r="B76" s="20"/>
      <c r="C76" s="4" t="s">
        <v>843</v>
      </c>
      <c r="D76" s="1" t="s">
        <v>115</v>
      </c>
      <c r="E76" s="1">
        <v>1</v>
      </c>
      <c r="F76" s="13">
        <f>F72*E76</f>
        <v>300</v>
      </c>
      <c r="G76" s="13">
        <v>1.9</v>
      </c>
      <c r="H76" s="13">
        <f>F76*G76</f>
        <v>570</v>
      </c>
      <c r="I76" s="13"/>
      <c r="J76" s="13"/>
      <c r="K76" s="13"/>
      <c r="L76" s="13"/>
      <c r="M76" s="13">
        <f>H76+J76+L76</f>
        <v>570</v>
      </c>
    </row>
    <row r="77" spans="1:13" ht="13.5">
      <c r="A77" s="1"/>
      <c r="B77" s="20"/>
      <c r="C77" s="19" t="s">
        <v>57</v>
      </c>
      <c r="D77" s="1" t="s">
        <v>43</v>
      </c>
      <c r="E77" s="1">
        <v>0.0673</v>
      </c>
      <c r="F77" s="13">
        <f>F72*E77</f>
        <v>20.19</v>
      </c>
      <c r="G77" s="13">
        <v>3.2</v>
      </c>
      <c r="H77" s="13">
        <f>F77*G77</f>
        <v>64.608</v>
      </c>
      <c r="I77" s="13"/>
      <c r="J77" s="13"/>
      <c r="K77" s="13"/>
      <c r="L77" s="13"/>
      <c r="M77" s="13">
        <f>H77+J77+L77</f>
        <v>64.608</v>
      </c>
    </row>
    <row r="78" spans="1:13" ht="13.5">
      <c r="A78" s="47">
        <v>14</v>
      </c>
      <c r="B78" s="154"/>
      <c r="C78" s="38" t="s">
        <v>457</v>
      </c>
      <c r="D78" s="47" t="s">
        <v>59</v>
      </c>
      <c r="E78" s="47"/>
      <c r="F78" s="161">
        <v>1</v>
      </c>
      <c r="G78" s="108">
        <v>1</v>
      </c>
      <c r="H78" s="108">
        <f>F78*G78</f>
        <v>1</v>
      </c>
      <c r="I78" s="108"/>
      <c r="J78" s="108"/>
      <c r="K78" s="108"/>
      <c r="L78" s="108"/>
      <c r="M78" s="108">
        <f>H78+J78+L78</f>
        <v>1</v>
      </c>
    </row>
    <row r="79" spans="1:13" s="216" customFormat="1" ht="16.5" customHeight="1">
      <c r="A79" s="52"/>
      <c r="B79" s="154"/>
      <c r="C79" s="116" t="s">
        <v>459</v>
      </c>
      <c r="D79" s="47"/>
      <c r="E79" s="47"/>
      <c r="F79" s="108"/>
      <c r="G79" s="108"/>
      <c r="H79" s="108"/>
      <c r="I79" s="108"/>
      <c r="J79" s="108"/>
      <c r="K79" s="108"/>
      <c r="L79" s="108"/>
      <c r="M79" s="108"/>
    </row>
    <row r="80" spans="1:13" ht="16.5" customHeight="1">
      <c r="A80" s="47">
        <v>15</v>
      </c>
      <c r="B80" s="47" t="s">
        <v>86</v>
      </c>
      <c r="C80" s="46" t="s">
        <v>775</v>
      </c>
      <c r="D80" s="47" t="s">
        <v>130</v>
      </c>
      <c r="E80" s="108"/>
      <c r="F80" s="161">
        <v>1</v>
      </c>
      <c r="G80" s="108">
        <v>400</v>
      </c>
      <c r="H80" s="108">
        <f>F80*G80</f>
        <v>400</v>
      </c>
      <c r="I80" s="108"/>
      <c r="J80" s="108"/>
      <c r="K80" s="108"/>
      <c r="L80" s="108"/>
      <c r="M80" s="108">
        <f>H80+J80+L80</f>
        <v>400</v>
      </c>
    </row>
    <row r="81" spans="1:13" s="268" customFormat="1" ht="16.5" customHeight="1">
      <c r="A81" s="28">
        <v>16</v>
      </c>
      <c r="B81" s="28" t="s">
        <v>86</v>
      </c>
      <c r="C81" s="43" t="s">
        <v>840</v>
      </c>
      <c r="D81" s="28" t="s">
        <v>130</v>
      </c>
      <c r="E81" s="30"/>
      <c r="F81" s="164">
        <v>1</v>
      </c>
      <c r="G81" s="30"/>
      <c r="H81" s="30">
        <f>F81*G81</f>
        <v>0</v>
      </c>
      <c r="I81" s="30"/>
      <c r="J81" s="30"/>
      <c r="K81" s="30"/>
      <c r="L81" s="30"/>
      <c r="M81" s="30">
        <f>H81+J81+L81</f>
        <v>0</v>
      </c>
    </row>
    <row r="82" spans="1:13" s="268" customFormat="1" ht="13.5" customHeight="1">
      <c r="A82" s="1"/>
      <c r="B82" s="377"/>
      <c r="C82" s="19" t="s">
        <v>54</v>
      </c>
      <c r="D82" s="1" t="s">
        <v>121</v>
      </c>
      <c r="E82" s="13">
        <v>1</v>
      </c>
      <c r="F82" s="13">
        <f>F81*E82</f>
        <v>1</v>
      </c>
      <c r="G82" s="13"/>
      <c r="H82" s="13">
        <f>F82*G82</f>
        <v>0</v>
      </c>
      <c r="I82" s="13">
        <v>150</v>
      </c>
      <c r="J82" s="13">
        <f>F82*I82</f>
        <v>150</v>
      </c>
      <c r="K82" s="13"/>
      <c r="L82" s="13"/>
      <c r="M82" s="13">
        <f>H82+J82+L82</f>
        <v>150</v>
      </c>
    </row>
    <row r="83" spans="1:13" s="135" customFormat="1" ht="12.75" customHeight="1">
      <c r="A83" s="1"/>
      <c r="B83" s="377"/>
      <c r="C83" s="19" t="s">
        <v>56</v>
      </c>
      <c r="D83" s="1"/>
      <c r="E83" s="13"/>
      <c r="F83" s="13"/>
      <c r="G83" s="13"/>
      <c r="H83" s="13">
        <f>F83*G83</f>
        <v>0</v>
      </c>
      <c r="I83" s="13"/>
      <c r="J83" s="13"/>
      <c r="K83" s="13"/>
      <c r="L83" s="13"/>
      <c r="M83" s="13"/>
    </row>
    <row r="84" spans="1:13" s="135" customFormat="1" ht="13.5" customHeight="1">
      <c r="A84" s="1"/>
      <c r="B84" s="377"/>
      <c r="C84" s="4" t="s">
        <v>460</v>
      </c>
      <c r="D84" s="1" t="s">
        <v>121</v>
      </c>
      <c r="E84" s="13">
        <v>1</v>
      </c>
      <c r="F84" s="13">
        <f>F81*E84</f>
        <v>1</v>
      </c>
      <c r="G84" s="13">
        <v>2796.6</v>
      </c>
      <c r="H84" s="13">
        <f>F84*G84</f>
        <v>2796.6</v>
      </c>
      <c r="I84" s="13"/>
      <c r="J84" s="13"/>
      <c r="K84" s="13"/>
      <c r="L84" s="13"/>
      <c r="M84" s="13">
        <f>H84+J84+L84</f>
        <v>2796.6</v>
      </c>
    </row>
    <row r="85" spans="1:13" s="268" customFormat="1" ht="27">
      <c r="A85" s="28">
        <v>17</v>
      </c>
      <c r="B85" s="28" t="s">
        <v>86</v>
      </c>
      <c r="C85" s="43" t="s">
        <v>841</v>
      </c>
      <c r="D85" s="28" t="s">
        <v>130</v>
      </c>
      <c r="E85" s="30"/>
      <c r="F85" s="164">
        <v>14</v>
      </c>
      <c r="G85" s="30"/>
      <c r="H85" s="30"/>
      <c r="I85" s="30"/>
      <c r="J85" s="30"/>
      <c r="K85" s="30"/>
      <c r="L85" s="30"/>
      <c r="M85" s="30"/>
    </row>
    <row r="86" spans="1:13" s="268" customFormat="1" ht="15" customHeight="1">
      <c r="A86" s="1"/>
      <c r="B86" s="120"/>
      <c r="C86" s="19" t="s">
        <v>54</v>
      </c>
      <c r="D86" s="1" t="s">
        <v>55</v>
      </c>
      <c r="E86" s="13">
        <v>1</v>
      </c>
      <c r="F86" s="13">
        <f>F85*E86</f>
        <v>14</v>
      </c>
      <c r="G86" s="13"/>
      <c r="H86" s="13"/>
      <c r="I86" s="13">
        <v>30</v>
      </c>
      <c r="J86" s="13">
        <f>F86*I86</f>
        <v>420</v>
      </c>
      <c r="K86" s="13"/>
      <c r="L86" s="13"/>
      <c r="M86" s="13">
        <f>H86+J86+L86</f>
        <v>420</v>
      </c>
    </row>
    <row r="87" spans="1:13" s="135" customFormat="1" ht="13.5">
      <c r="A87" s="1"/>
      <c r="B87" s="120"/>
      <c r="C87" s="19" t="s">
        <v>56</v>
      </c>
      <c r="D87" s="1"/>
      <c r="E87" s="13"/>
      <c r="F87" s="13"/>
      <c r="G87" s="13"/>
      <c r="H87" s="13"/>
      <c r="I87" s="13"/>
      <c r="J87" s="13"/>
      <c r="K87" s="13"/>
      <c r="L87" s="13"/>
      <c r="M87" s="13"/>
    </row>
    <row r="88" spans="1:13" s="135" customFormat="1" ht="13.5">
      <c r="A88" s="1"/>
      <c r="B88" s="120"/>
      <c r="C88" s="4" t="s">
        <v>559</v>
      </c>
      <c r="D88" s="1" t="s">
        <v>130</v>
      </c>
      <c r="E88" s="13">
        <v>1</v>
      </c>
      <c r="F88" s="13">
        <f>F85*E88</f>
        <v>14</v>
      </c>
      <c r="G88" s="13">
        <v>639.8</v>
      </c>
      <c r="H88" s="13">
        <f>F88*G88</f>
        <v>8957.199999999999</v>
      </c>
      <c r="I88" s="13"/>
      <c r="J88" s="13"/>
      <c r="K88" s="13"/>
      <c r="L88" s="13"/>
      <c r="M88" s="13">
        <f>H88+J88+L88</f>
        <v>8957.199999999999</v>
      </c>
    </row>
    <row r="89" spans="1:13" ht="16.5" customHeight="1">
      <c r="A89" s="47">
        <v>18</v>
      </c>
      <c r="B89" s="47" t="s">
        <v>86</v>
      </c>
      <c r="C89" s="46" t="s">
        <v>464</v>
      </c>
      <c r="D89" s="47" t="s">
        <v>121</v>
      </c>
      <c r="E89" s="108"/>
      <c r="F89" s="161">
        <v>1</v>
      </c>
      <c r="G89" s="108">
        <v>120</v>
      </c>
      <c r="H89" s="108">
        <f>F89*G89</f>
        <v>120</v>
      </c>
      <c r="I89" s="108"/>
      <c r="J89" s="108"/>
      <c r="K89" s="108"/>
      <c r="L89" s="108"/>
      <c r="M89" s="108">
        <f>H89+J89+L89</f>
        <v>120</v>
      </c>
    </row>
    <row r="90" spans="1:13" ht="16.5" customHeight="1">
      <c r="A90" s="47">
        <v>19</v>
      </c>
      <c r="B90" s="47" t="s">
        <v>86</v>
      </c>
      <c r="C90" s="46" t="s">
        <v>462</v>
      </c>
      <c r="D90" s="47" t="s">
        <v>463</v>
      </c>
      <c r="E90" s="108"/>
      <c r="F90" s="161">
        <v>14</v>
      </c>
      <c r="G90" s="108">
        <v>2</v>
      </c>
      <c r="H90" s="108">
        <f>F90*G90</f>
        <v>28</v>
      </c>
      <c r="I90" s="108"/>
      <c r="J90" s="108"/>
      <c r="K90" s="108"/>
      <c r="L90" s="108"/>
      <c r="M90" s="108">
        <f>H90+J90+L90</f>
        <v>28</v>
      </c>
    </row>
    <row r="91" spans="1:13" ht="16.5" customHeight="1">
      <c r="A91" s="28">
        <v>20</v>
      </c>
      <c r="B91" s="340" t="s">
        <v>169</v>
      </c>
      <c r="C91" s="43" t="s">
        <v>461</v>
      </c>
      <c r="D91" s="28" t="s">
        <v>115</v>
      </c>
      <c r="E91" s="30"/>
      <c r="F91" s="164">
        <v>1300</v>
      </c>
      <c r="G91" s="30"/>
      <c r="H91" s="30"/>
      <c r="I91" s="30"/>
      <c r="J91" s="30"/>
      <c r="K91" s="30"/>
      <c r="L91" s="30"/>
      <c r="M91" s="30"/>
    </row>
    <row r="92" spans="1:13" ht="15" customHeight="1">
      <c r="A92" s="1"/>
      <c r="B92" s="20"/>
      <c r="C92" s="19" t="s">
        <v>54</v>
      </c>
      <c r="D92" s="1" t="s">
        <v>85</v>
      </c>
      <c r="E92" s="13">
        <v>1</v>
      </c>
      <c r="F92" s="13">
        <f>F91*E92</f>
        <v>1300</v>
      </c>
      <c r="G92" s="13"/>
      <c r="H92" s="13"/>
      <c r="I92" s="13">
        <v>0.5</v>
      </c>
      <c r="J92" s="13">
        <f>F92*I92</f>
        <v>650</v>
      </c>
      <c r="K92" s="13"/>
      <c r="L92" s="13"/>
      <c r="M92" s="13">
        <f>H92+J92+L92</f>
        <v>650</v>
      </c>
    </row>
    <row r="93" spans="1:13" s="268" customFormat="1" ht="13.5">
      <c r="A93" s="1"/>
      <c r="B93" s="1"/>
      <c r="C93" s="19" t="s">
        <v>99</v>
      </c>
      <c r="D93" s="1" t="s">
        <v>43</v>
      </c>
      <c r="E93" s="13">
        <v>0.0597</v>
      </c>
      <c r="F93" s="13">
        <f>F91*E93</f>
        <v>77.61</v>
      </c>
      <c r="G93" s="13"/>
      <c r="H93" s="13"/>
      <c r="I93" s="13"/>
      <c r="J93" s="13"/>
      <c r="K93" s="13">
        <v>3.2</v>
      </c>
      <c r="L93" s="13">
        <f>F93*K93</f>
        <v>248.352</v>
      </c>
      <c r="M93" s="13">
        <f>H93+J93+L93</f>
        <v>248.352</v>
      </c>
    </row>
    <row r="94" spans="1:13" s="135" customFormat="1" ht="13.5">
      <c r="A94" s="1"/>
      <c r="B94" s="20"/>
      <c r="C94" s="19" t="s">
        <v>56</v>
      </c>
      <c r="D94" s="1"/>
      <c r="E94" s="13"/>
      <c r="F94" s="13"/>
      <c r="G94" s="13"/>
      <c r="H94" s="13"/>
      <c r="I94" s="13"/>
      <c r="J94" s="13"/>
      <c r="K94" s="13"/>
      <c r="L94" s="13"/>
      <c r="M94" s="13"/>
    </row>
    <row r="95" spans="1:13" s="135" customFormat="1" ht="15" customHeight="1">
      <c r="A95" s="1"/>
      <c r="B95" s="20"/>
      <c r="C95" s="4" t="s">
        <v>465</v>
      </c>
      <c r="D95" s="1" t="s">
        <v>115</v>
      </c>
      <c r="E95" s="13">
        <v>1</v>
      </c>
      <c r="F95" s="13">
        <f>F91*E95</f>
        <v>1300</v>
      </c>
      <c r="G95" s="13">
        <v>0.8</v>
      </c>
      <c r="H95" s="13">
        <f>F95*G95</f>
        <v>1040</v>
      </c>
      <c r="I95" s="13"/>
      <c r="J95" s="13"/>
      <c r="K95" s="13"/>
      <c r="L95" s="13"/>
      <c r="M95" s="13">
        <f>H95+J95+L95</f>
        <v>1040</v>
      </c>
    </row>
    <row r="96" spans="1:13" s="135" customFormat="1" ht="13.5">
      <c r="A96" s="1"/>
      <c r="B96" s="20"/>
      <c r="C96" s="19" t="s">
        <v>57</v>
      </c>
      <c r="D96" s="1" t="s">
        <v>43</v>
      </c>
      <c r="E96" s="13">
        <v>0.0673</v>
      </c>
      <c r="F96" s="13">
        <f>F91*E96</f>
        <v>87.49</v>
      </c>
      <c r="G96" s="13">
        <v>3.2</v>
      </c>
      <c r="H96" s="13">
        <f>F96*G96</f>
        <v>279.968</v>
      </c>
      <c r="I96" s="13"/>
      <c r="J96" s="13"/>
      <c r="K96" s="13"/>
      <c r="L96" s="13"/>
      <c r="M96" s="13">
        <f>H96+J96+L96</f>
        <v>279.968</v>
      </c>
    </row>
    <row r="97" spans="1:13" ht="15" customHeight="1">
      <c r="A97" s="28">
        <v>21</v>
      </c>
      <c r="B97" s="340" t="s">
        <v>169</v>
      </c>
      <c r="C97" s="43" t="s">
        <v>842</v>
      </c>
      <c r="D97" s="28" t="s">
        <v>115</v>
      </c>
      <c r="E97" s="30"/>
      <c r="F97" s="164">
        <v>1300</v>
      </c>
      <c r="G97" s="30"/>
      <c r="H97" s="30"/>
      <c r="I97" s="30"/>
      <c r="J97" s="30"/>
      <c r="K97" s="30"/>
      <c r="L97" s="30"/>
      <c r="M97" s="30"/>
    </row>
    <row r="98" spans="1:13" ht="15" customHeight="1">
      <c r="A98" s="1"/>
      <c r="B98" s="20"/>
      <c r="C98" s="19" t="s">
        <v>54</v>
      </c>
      <c r="D98" s="1" t="s">
        <v>85</v>
      </c>
      <c r="E98" s="13">
        <v>1</v>
      </c>
      <c r="F98" s="13">
        <f>F97*E98</f>
        <v>1300</v>
      </c>
      <c r="G98" s="13"/>
      <c r="H98" s="13"/>
      <c r="I98" s="13">
        <v>0.5</v>
      </c>
      <c r="J98" s="13">
        <f>F98*I98</f>
        <v>650</v>
      </c>
      <c r="K98" s="13"/>
      <c r="L98" s="13"/>
      <c r="M98" s="13">
        <f>H98+J98+L98</f>
        <v>650</v>
      </c>
    </row>
    <row r="99" spans="1:13" s="268" customFormat="1" ht="13.5">
      <c r="A99" s="1"/>
      <c r="B99" s="1"/>
      <c r="C99" s="19" t="s">
        <v>99</v>
      </c>
      <c r="D99" s="1" t="s">
        <v>43</v>
      </c>
      <c r="E99" s="13">
        <v>0.0597</v>
      </c>
      <c r="F99" s="13">
        <f>F97*E99</f>
        <v>77.61</v>
      </c>
      <c r="G99" s="13"/>
      <c r="H99" s="13"/>
      <c r="I99" s="13"/>
      <c r="J99" s="13"/>
      <c r="K99" s="13">
        <v>3.2</v>
      </c>
      <c r="L99" s="13">
        <f>F99*K99</f>
        <v>248.352</v>
      </c>
      <c r="M99" s="13">
        <f>H99+J99+L99</f>
        <v>248.352</v>
      </c>
    </row>
    <row r="100" spans="1:13" s="135" customFormat="1" ht="13.5">
      <c r="A100" s="1"/>
      <c r="B100" s="20"/>
      <c r="C100" s="19" t="s">
        <v>56</v>
      </c>
      <c r="D100" s="1"/>
      <c r="E100" s="13"/>
      <c r="F100" s="13"/>
      <c r="G100" s="13"/>
      <c r="H100" s="13"/>
      <c r="I100" s="13"/>
      <c r="J100" s="13"/>
      <c r="K100" s="13"/>
      <c r="L100" s="13"/>
      <c r="M100" s="13"/>
    </row>
    <row r="101" spans="1:13" s="135" customFormat="1" ht="15" customHeight="1">
      <c r="A101" s="1"/>
      <c r="B101" s="20"/>
      <c r="C101" s="4" t="s">
        <v>288</v>
      </c>
      <c r="D101" s="1" t="s">
        <v>115</v>
      </c>
      <c r="E101" s="13">
        <v>1</v>
      </c>
      <c r="F101" s="13">
        <f>F97*E101</f>
        <v>1300</v>
      </c>
      <c r="G101" s="13">
        <v>0.76</v>
      </c>
      <c r="H101" s="13">
        <f>F101*G101</f>
        <v>988</v>
      </c>
      <c r="I101" s="13"/>
      <c r="J101" s="13"/>
      <c r="K101" s="13"/>
      <c r="L101" s="13"/>
      <c r="M101" s="13">
        <f>H101+J101+L101</f>
        <v>988</v>
      </c>
    </row>
    <row r="102" spans="1:13" s="135" customFormat="1" ht="13.5">
      <c r="A102" s="1"/>
      <c r="B102" s="20"/>
      <c r="C102" s="19" t="s">
        <v>57</v>
      </c>
      <c r="D102" s="1" t="s">
        <v>43</v>
      </c>
      <c r="E102" s="13">
        <v>0.0673</v>
      </c>
      <c r="F102" s="13">
        <f>F97*E102</f>
        <v>87.49</v>
      </c>
      <c r="G102" s="13">
        <v>3.2</v>
      </c>
      <c r="H102" s="13">
        <f>F102*G102</f>
        <v>279.968</v>
      </c>
      <c r="I102" s="13"/>
      <c r="J102" s="13"/>
      <c r="K102" s="13"/>
      <c r="L102" s="13"/>
      <c r="M102" s="13">
        <f>H102+J102+L102</f>
        <v>279.968</v>
      </c>
    </row>
    <row r="103" spans="1:13" s="135" customFormat="1" ht="15.75">
      <c r="A103" s="47"/>
      <c r="B103" s="154"/>
      <c r="C103" s="116" t="s">
        <v>334</v>
      </c>
      <c r="D103" s="47"/>
      <c r="E103" s="108"/>
      <c r="F103" s="108"/>
      <c r="G103" s="108"/>
      <c r="H103" s="108"/>
      <c r="I103" s="108"/>
      <c r="J103" s="108"/>
      <c r="K103" s="108"/>
      <c r="L103" s="108"/>
      <c r="M103" s="108"/>
    </row>
    <row r="104" spans="1:13" ht="14.25" customHeight="1">
      <c r="A104" s="28">
        <v>22</v>
      </c>
      <c r="B104" s="28" t="s">
        <v>86</v>
      </c>
      <c r="C104" s="46" t="s">
        <v>844</v>
      </c>
      <c r="D104" s="28" t="s">
        <v>59</v>
      </c>
      <c r="E104" s="30"/>
      <c r="F104" s="164">
        <v>1</v>
      </c>
      <c r="G104" s="30"/>
      <c r="H104" s="30"/>
      <c r="I104" s="30"/>
      <c r="J104" s="30"/>
      <c r="K104" s="30"/>
      <c r="L104" s="30"/>
      <c r="M104" s="30"/>
    </row>
    <row r="105" spans="1:13" ht="14.25" customHeight="1">
      <c r="A105" s="1"/>
      <c r="B105" s="120"/>
      <c r="C105" s="19" t="s">
        <v>54</v>
      </c>
      <c r="D105" s="1" t="s">
        <v>59</v>
      </c>
      <c r="E105" s="13">
        <v>1</v>
      </c>
      <c r="F105" s="13">
        <f>E105*F104</f>
        <v>1</v>
      </c>
      <c r="G105" s="13"/>
      <c r="H105" s="13"/>
      <c r="I105" s="13">
        <v>20</v>
      </c>
      <c r="J105" s="13">
        <f>F105*I105</f>
        <v>20</v>
      </c>
      <c r="K105" s="13"/>
      <c r="L105" s="13"/>
      <c r="M105" s="13">
        <f>H105+J105+L105</f>
        <v>20</v>
      </c>
    </row>
    <row r="106" spans="1:13" s="121" customFormat="1" ht="13.5">
      <c r="A106" s="1"/>
      <c r="B106" s="120"/>
      <c r="C106" s="19" t="s">
        <v>56</v>
      </c>
      <c r="D106" s="1"/>
      <c r="E106" s="13"/>
      <c r="F106" s="13"/>
      <c r="G106" s="13"/>
      <c r="H106" s="13"/>
      <c r="I106" s="13"/>
      <c r="J106" s="13"/>
      <c r="K106" s="13"/>
      <c r="L106" s="13"/>
      <c r="M106" s="13"/>
    </row>
    <row r="107" spans="1:13" s="121" customFormat="1" ht="15" customHeight="1">
      <c r="A107" s="1"/>
      <c r="B107" s="120"/>
      <c r="C107" s="4" t="s">
        <v>335</v>
      </c>
      <c r="D107" s="1" t="s">
        <v>59</v>
      </c>
      <c r="E107" s="13">
        <v>1</v>
      </c>
      <c r="F107" s="13">
        <f>F104*E107</f>
        <v>1</v>
      </c>
      <c r="G107" s="13">
        <v>188</v>
      </c>
      <c r="H107" s="13">
        <f>F107*G107</f>
        <v>188</v>
      </c>
      <c r="I107" s="13"/>
      <c r="J107" s="13"/>
      <c r="K107" s="13"/>
      <c r="L107" s="13"/>
      <c r="M107" s="13">
        <f>H107+J107+L107</f>
        <v>188</v>
      </c>
    </row>
    <row r="108" spans="1:13" ht="18.75" customHeight="1">
      <c r="A108" s="28">
        <v>23</v>
      </c>
      <c r="B108" s="28" t="s">
        <v>86</v>
      </c>
      <c r="C108" s="46" t="s">
        <v>845</v>
      </c>
      <c r="D108" s="28" t="s">
        <v>59</v>
      </c>
      <c r="E108" s="30"/>
      <c r="F108" s="164">
        <v>4</v>
      </c>
      <c r="G108" s="30"/>
      <c r="H108" s="30"/>
      <c r="I108" s="30"/>
      <c r="J108" s="30"/>
      <c r="K108" s="30"/>
      <c r="L108" s="30"/>
      <c r="M108" s="30"/>
    </row>
    <row r="109" spans="1:13" ht="14.25" customHeight="1">
      <c r="A109" s="1"/>
      <c r="B109" s="120"/>
      <c r="C109" s="19" t="s">
        <v>54</v>
      </c>
      <c r="D109" s="1" t="s">
        <v>59</v>
      </c>
      <c r="E109" s="13">
        <v>1</v>
      </c>
      <c r="F109" s="13">
        <f>E109*F108</f>
        <v>4</v>
      </c>
      <c r="G109" s="13"/>
      <c r="H109" s="13"/>
      <c r="I109" s="13">
        <v>5</v>
      </c>
      <c r="J109" s="13">
        <f>F109*I109</f>
        <v>20</v>
      </c>
      <c r="K109" s="13"/>
      <c r="L109" s="13"/>
      <c r="M109" s="13">
        <f>H109+J109+L109</f>
        <v>20</v>
      </c>
    </row>
    <row r="110" spans="1:13" s="121" customFormat="1" ht="13.5">
      <c r="A110" s="1"/>
      <c r="B110" s="120"/>
      <c r="C110" s="19" t="s">
        <v>56</v>
      </c>
      <c r="D110" s="1"/>
      <c r="E110" s="13"/>
      <c r="F110" s="13"/>
      <c r="G110" s="13"/>
      <c r="H110" s="13"/>
      <c r="I110" s="13"/>
      <c r="J110" s="13"/>
      <c r="K110" s="13"/>
      <c r="L110" s="13"/>
      <c r="M110" s="13"/>
    </row>
    <row r="111" spans="1:13" s="121" customFormat="1" ht="18.75" customHeight="1">
      <c r="A111" s="1"/>
      <c r="B111" s="120"/>
      <c r="C111" s="4" t="s">
        <v>296</v>
      </c>
      <c r="D111" s="1" t="s">
        <v>59</v>
      </c>
      <c r="E111" s="13">
        <v>1</v>
      </c>
      <c r="F111" s="13">
        <f>F108*E111</f>
        <v>4</v>
      </c>
      <c r="G111" s="13">
        <v>73</v>
      </c>
      <c r="H111" s="13">
        <f>F111*G111</f>
        <v>292</v>
      </c>
      <c r="I111" s="13"/>
      <c r="J111" s="13"/>
      <c r="K111" s="13"/>
      <c r="L111" s="13"/>
      <c r="M111" s="13">
        <f>H111+J111+L111</f>
        <v>292</v>
      </c>
    </row>
    <row r="112" spans="1:13" ht="15" customHeight="1">
      <c r="A112" s="28">
        <v>24</v>
      </c>
      <c r="B112" s="340" t="s">
        <v>169</v>
      </c>
      <c r="C112" s="43" t="s">
        <v>846</v>
      </c>
      <c r="D112" s="28" t="s">
        <v>115</v>
      </c>
      <c r="E112" s="30"/>
      <c r="F112" s="164">
        <v>200</v>
      </c>
      <c r="G112" s="30"/>
      <c r="H112" s="30"/>
      <c r="I112" s="30"/>
      <c r="J112" s="30"/>
      <c r="K112" s="30"/>
      <c r="L112" s="30"/>
      <c r="M112" s="30"/>
    </row>
    <row r="113" spans="1:13" ht="15" customHeight="1">
      <c r="A113" s="1"/>
      <c r="B113" s="20"/>
      <c r="C113" s="19" t="s">
        <v>54</v>
      </c>
      <c r="D113" s="1" t="s">
        <v>85</v>
      </c>
      <c r="E113" s="13">
        <v>1</v>
      </c>
      <c r="F113" s="13">
        <f>F112*E113</f>
        <v>200</v>
      </c>
      <c r="G113" s="13"/>
      <c r="H113" s="13"/>
      <c r="I113" s="13">
        <v>0.5</v>
      </c>
      <c r="J113" s="13">
        <f>F113*I113</f>
        <v>100</v>
      </c>
      <c r="K113" s="13"/>
      <c r="L113" s="13"/>
      <c r="M113" s="13">
        <f>H113+J113+L113</f>
        <v>100</v>
      </c>
    </row>
    <row r="114" spans="1:13" s="268" customFormat="1" ht="13.5">
      <c r="A114" s="1"/>
      <c r="B114" s="1"/>
      <c r="C114" s="19" t="s">
        <v>99</v>
      </c>
      <c r="D114" s="1" t="s">
        <v>43</v>
      </c>
      <c r="E114" s="13">
        <v>0.0597</v>
      </c>
      <c r="F114" s="13">
        <f>F112*E114</f>
        <v>11.940000000000001</v>
      </c>
      <c r="G114" s="13"/>
      <c r="H114" s="13"/>
      <c r="I114" s="13"/>
      <c r="J114" s="13"/>
      <c r="K114" s="13">
        <v>3.2</v>
      </c>
      <c r="L114" s="13">
        <f>F114*K114</f>
        <v>38.208000000000006</v>
      </c>
      <c r="M114" s="13">
        <f>H114+J114+L114</f>
        <v>38.208000000000006</v>
      </c>
    </row>
    <row r="115" spans="1:13" s="135" customFormat="1" ht="13.5">
      <c r="A115" s="1"/>
      <c r="B115" s="20"/>
      <c r="C115" s="19" t="s">
        <v>56</v>
      </c>
      <c r="D115" s="1"/>
      <c r="E115" s="13"/>
      <c r="F115" s="13"/>
      <c r="G115" s="13"/>
      <c r="H115" s="13"/>
      <c r="I115" s="13"/>
      <c r="J115" s="13"/>
      <c r="K115" s="13"/>
      <c r="L115" s="13"/>
      <c r="M115" s="13"/>
    </row>
    <row r="116" spans="1:13" s="135" customFormat="1" ht="15" customHeight="1">
      <c r="A116" s="1"/>
      <c r="B116" s="20"/>
      <c r="C116" s="4" t="s">
        <v>453</v>
      </c>
      <c r="D116" s="1" t="s">
        <v>115</v>
      </c>
      <c r="E116" s="13">
        <v>1</v>
      </c>
      <c r="F116" s="13">
        <f>F112*E116</f>
        <v>200</v>
      </c>
      <c r="G116" s="13">
        <v>0.76</v>
      </c>
      <c r="H116" s="13">
        <f>F116*G116</f>
        <v>152</v>
      </c>
      <c r="I116" s="13"/>
      <c r="J116" s="13"/>
      <c r="K116" s="13"/>
      <c r="L116" s="13"/>
      <c r="M116" s="13">
        <f>H116+J116+L116</f>
        <v>152</v>
      </c>
    </row>
    <row r="117" spans="1:13" s="135" customFormat="1" ht="13.5">
      <c r="A117" s="1"/>
      <c r="B117" s="20"/>
      <c r="C117" s="19" t="s">
        <v>57</v>
      </c>
      <c r="D117" s="1" t="s">
        <v>43</v>
      </c>
      <c r="E117" s="13">
        <v>0.0673</v>
      </c>
      <c r="F117" s="13">
        <f>F112*E117</f>
        <v>13.459999999999999</v>
      </c>
      <c r="G117" s="13">
        <v>3.2</v>
      </c>
      <c r="H117" s="13">
        <f>F117*G117</f>
        <v>43.072</v>
      </c>
      <c r="I117" s="13"/>
      <c r="J117" s="13"/>
      <c r="K117" s="13"/>
      <c r="L117" s="13"/>
      <c r="M117" s="13">
        <f>H117+J117+L117</f>
        <v>43.072</v>
      </c>
    </row>
    <row r="118" spans="1:13" s="216" customFormat="1" ht="17.25" customHeight="1">
      <c r="A118" s="52"/>
      <c r="B118" s="154"/>
      <c r="C118" s="116" t="s">
        <v>847</v>
      </c>
      <c r="D118" s="47"/>
      <c r="E118" s="108"/>
      <c r="F118" s="108"/>
      <c r="G118" s="108"/>
      <c r="H118" s="108"/>
      <c r="I118" s="108"/>
      <c r="J118" s="108"/>
      <c r="K118" s="108"/>
      <c r="L118" s="108"/>
      <c r="M118" s="108"/>
    </row>
    <row r="119" spans="1:13" ht="16.5" customHeight="1">
      <c r="A119" s="1">
        <v>25</v>
      </c>
      <c r="B119" s="20" t="s">
        <v>170</v>
      </c>
      <c r="C119" s="4" t="s">
        <v>454</v>
      </c>
      <c r="D119" s="1" t="s">
        <v>59</v>
      </c>
      <c r="E119" s="13"/>
      <c r="F119" s="165">
        <v>1</v>
      </c>
      <c r="G119" s="13"/>
      <c r="H119" s="13"/>
      <c r="I119" s="13"/>
      <c r="J119" s="13"/>
      <c r="K119" s="13"/>
      <c r="L119" s="13"/>
      <c r="M119" s="13"/>
    </row>
    <row r="120" spans="1:13" ht="14.25" customHeight="1">
      <c r="A120" s="1"/>
      <c r="B120" s="20"/>
      <c r="C120" s="19" t="s">
        <v>54</v>
      </c>
      <c r="D120" s="1" t="s">
        <v>366</v>
      </c>
      <c r="E120" s="13">
        <v>26</v>
      </c>
      <c r="F120" s="13">
        <f>F119*E120</f>
        <v>26</v>
      </c>
      <c r="G120" s="13"/>
      <c r="H120" s="13"/>
      <c r="I120" s="13">
        <v>4.6</v>
      </c>
      <c r="J120" s="13">
        <f>F120*I120</f>
        <v>119.6</v>
      </c>
      <c r="K120" s="13"/>
      <c r="L120" s="13"/>
      <c r="M120" s="13">
        <f>H120+J120+L120</f>
        <v>119.6</v>
      </c>
    </row>
    <row r="121" spans="1:13" s="135" customFormat="1" ht="13.5">
      <c r="A121" s="1"/>
      <c r="B121" s="20"/>
      <c r="C121" s="19" t="s">
        <v>56</v>
      </c>
      <c r="D121" s="1"/>
      <c r="E121" s="13"/>
      <c r="F121" s="13"/>
      <c r="G121" s="13"/>
      <c r="H121" s="13"/>
      <c r="I121" s="13"/>
      <c r="J121" s="13"/>
      <c r="K121" s="13"/>
      <c r="L121" s="13"/>
      <c r="M121" s="13"/>
    </row>
    <row r="122" spans="1:13" s="135" customFormat="1" ht="14.25" customHeight="1">
      <c r="A122" s="1"/>
      <c r="B122" s="20"/>
      <c r="C122" s="4" t="s">
        <v>171</v>
      </c>
      <c r="D122" s="1" t="s">
        <v>59</v>
      </c>
      <c r="E122" s="13">
        <v>1</v>
      </c>
      <c r="F122" s="13">
        <f>F119*E122</f>
        <v>1</v>
      </c>
      <c r="G122" s="13">
        <v>400</v>
      </c>
      <c r="H122" s="13">
        <f>F122*G122</f>
        <v>400</v>
      </c>
      <c r="I122" s="13"/>
      <c r="J122" s="13"/>
      <c r="K122" s="13"/>
      <c r="L122" s="13"/>
      <c r="M122" s="13">
        <f>H122+J122+L122</f>
        <v>400</v>
      </c>
    </row>
    <row r="123" spans="1:13" s="135" customFormat="1" ht="13.5">
      <c r="A123" s="1"/>
      <c r="B123" s="20"/>
      <c r="C123" s="19" t="s">
        <v>57</v>
      </c>
      <c r="D123" s="1" t="s">
        <v>43</v>
      </c>
      <c r="E123" s="13">
        <v>2.5</v>
      </c>
      <c r="F123" s="13">
        <f>F119*E123</f>
        <v>2.5</v>
      </c>
      <c r="G123" s="13">
        <v>3.2</v>
      </c>
      <c r="H123" s="13">
        <f>F123*G123</f>
        <v>8</v>
      </c>
      <c r="I123" s="13"/>
      <c r="J123" s="13"/>
      <c r="K123" s="13"/>
      <c r="L123" s="13"/>
      <c r="M123" s="13">
        <f>H123+J123+L123</f>
        <v>8</v>
      </c>
    </row>
    <row r="124" spans="1:13" ht="15.75" customHeight="1">
      <c r="A124" s="28">
        <v>26</v>
      </c>
      <c r="B124" s="340" t="s">
        <v>172</v>
      </c>
      <c r="C124" s="43" t="s">
        <v>336</v>
      </c>
      <c r="D124" s="28" t="s">
        <v>59</v>
      </c>
      <c r="E124" s="30"/>
      <c r="F124" s="164">
        <v>87</v>
      </c>
      <c r="G124" s="30"/>
      <c r="H124" s="30"/>
      <c r="I124" s="30"/>
      <c r="J124" s="30"/>
      <c r="K124" s="30"/>
      <c r="L124" s="30"/>
      <c r="M124" s="30"/>
    </row>
    <row r="125" spans="1:13" s="321" customFormat="1" ht="15">
      <c r="A125" s="1"/>
      <c r="B125" s="20"/>
      <c r="C125" s="19" t="s">
        <v>54</v>
      </c>
      <c r="D125" s="1" t="s">
        <v>366</v>
      </c>
      <c r="E125" s="13">
        <v>2</v>
      </c>
      <c r="F125" s="13">
        <f>F124*E125</f>
        <v>174</v>
      </c>
      <c r="G125" s="13"/>
      <c r="H125" s="13"/>
      <c r="I125" s="13">
        <v>4.6</v>
      </c>
      <c r="J125" s="13">
        <f>F125*I125</f>
        <v>800.4</v>
      </c>
      <c r="K125" s="13"/>
      <c r="L125" s="13"/>
      <c r="M125" s="13">
        <f>H125+J125+L125</f>
        <v>800.4</v>
      </c>
    </row>
    <row r="126" spans="1:13" s="268" customFormat="1" ht="17.25" customHeight="1">
      <c r="A126" s="1"/>
      <c r="B126" s="20"/>
      <c r="C126" s="19" t="s">
        <v>337</v>
      </c>
      <c r="D126" s="1"/>
      <c r="E126" s="13"/>
      <c r="F126" s="13"/>
      <c r="G126" s="13"/>
      <c r="H126" s="13"/>
      <c r="I126" s="13"/>
      <c r="J126" s="13"/>
      <c r="K126" s="13"/>
      <c r="L126" s="13"/>
      <c r="M126" s="13"/>
    </row>
    <row r="127" spans="1:13" s="268" customFormat="1" ht="13.5" customHeight="1">
      <c r="A127" s="1"/>
      <c r="B127" s="20"/>
      <c r="C127" s="4" t="s">
        <v>336</v>
      </c>
      <c r="D127" s="1" t="s">
        <v>59</v>
      </c>
      <c r="E127" s="13">
        <v>1</v>
      </c>
      <c r="F127" s="13">
        <f>F124*E127</f>
        <v>87</v>
      </c>
      <c r="G127" s="13">
        <v>63.3</v>
      </c>
      <c r="H127" s="13">
        <f>F127*G127</f>
        <v>5507.099999999999</v>
      </c>
      <c r="I127" s="13"/>
      <c r="J127" s="13"/>
      <c r="K127" s="13"/>
      <c r="L127" s="13"/>
      <c r="M127" s="13">
        <f>H127+J127+L127</f>
        <v>5507.099999999999</v>
      </c>
    </row>
    <row r="128" spans="1:13" s="268" customFormat="1" ht="14.25" customHeight="1">
      <c r="A128" s="1"/>
      <c r="B128" s="20"/>
      <c r="C128" s="19" t="s">
        <v>57</v>
      </c>
      <c r="D128" s="1" t="s">
        <v>43</v>
      </c>
      <c r="E128" s="13">
        <v>0.28</v>
      </c>
      <c r="F128" s="13">
        <f>F124*E128</f>
        <v>24.360000000000003</v>
      </c>
      <c r="G128" s="13">
        <v>3.2</v>
      </c>
      <c r="H128" s="13">
        <f>F128*G128</f>
        <v>77.95200000000001</v>
      </c>
      <c r="I128" s="13"/>
      <c r="J128" s="13"/>
      <c r="K128" s="13"/>
      <c r="L128" s="13"/>
      <c r="M128" s="13">
        <f>H128+J128+L128</f>
        <v>77.95200000000001</v>
      </c>
    </row>
    <row r="129" spans="1:13" ht="13.5">
      <c r="A129" s="47">
        <v>27</v>
      </c>
      <c r="B129" s="154"/>
      <c r="C129" s="38" t="s">
        <v>289</v>
      </c>
      <c r="D129" s="47" t="s">
        <v>59</v>
      </c>
      <c r="E129" s="108"/>
      <c r="F129" s="161">
        <v>87</v>
      </c>
      <c r="G129" s="108">
        <v>9.2</v>
      </c>
      <c r="H129" s="108">
        <f>F129*G129</f>
        <v>800.4</v>
      </c>
      <c r="I129" s="108"/>
      <c r="J129" s="108"/>
      <c r="K129" s="108"/>
      <c r="L129" s="108"/>
      <c r="M129" s="108">
        <f>H129+J129+L129</f>
        <v>800.4</v>
      </c>
    </row>
    <row r="130" spans="1:13" ht="25.5" customHeight="1">
      <c r="A130" s="28">
        <v>28</v>
      </c>
      <c r="B130" s="340" t="s">
        <v>297</v>
      </c>
      <c r="C130" s="43" t="s">
        <v>298</v>
      </c>
      <c r="D130" s="28" t="s">
        <v>59</v>
      </c>
      <c r="E130" s="30"/>
      <c r="F130" s="164">
        <v>6</v>
      </c>
      <c r="G130" s="30"/>
      <c r="H130" s="30"/>
      <c r="I130" s="30"/>
      <c r="J130" s="30"/>
      <c r="K130" s="30"/>
      <c r="L130" s="30"/>
      <c r="M130" s="30"/>
    </row>
    <row r="131" spans="1:13" ht="14.25" customHeight="1">
      <c r="A131" s="1"/>
      <c r="B131" s="20"/>
      <c r="C131" s="19" t="s">
        <v>54</v>
      </c>
      <c r="D131" s="1" t="s">
        <v>366</v>
      </c>
      <c r="E131" s="13">
        <v>4</v>
      </c>
      <c r="F131" s="13">
        <f>F130*E131</f>
        <v>24</v>
      </c>
      <c r="G131" s="13"/>
      <c r="H131" s="13"/>
      <c r="I131" s="13">
        <v>4.6</v>
      </c>
      <c r="J131" s="13">
        <f>F131*I131</f>
        <v>110.39999999999999</v>
      </c>
      <c r="K131" s="13"/>
      <c r="L131" s="13"/>
      <c r="M131" s="13">
        <f>H131+J131+L131</f>
        <v>110.39999999999999</v>
      </c>
    </row>
    <row r="132" spans="1:13" s="135" customFormat="1" ht="12" customHeight="1">
      <c r="A132" s="1"/>
      <c r="B132" s="20"/>
      <c r="C132" s="19" t="s">
        <v>56</v>
      </c>
      <c r="D132" s="1"/>
      <c r="E132" s="13"/>
      <c r="F132" s="13"/>
      <c r="G132" s="13"/>
      <c r="H132" s="13"/>
      <c r="I132" s="13"/>
      <c r="J132" s="13"/>
      <c r="K132" s="13"/>
      <c r="L132" s="13"/>
      <c r="M132" s="13"/>
    </row>
    <row r="133" spans="1:13" s="135" customFormat="1" ht="15.75" customHeight="1">
      <c r="A133" s="1"/>
      <c r="B133" s="20"/>
      <c r="C133" s="4" t="s">
        <v>298</v>
      </c>
      <c r="D133" s="1" t="s">
        <v>59</v>
      </c>
      <c r="E133" s="13">
        <v>1</v>
      </c>
      <c r="F133" s="13">
        <f>F130*E133</f>
        <v>6</v>
      </c>
      <c r="G133" s="13">
        <v>55</v>
      </c>
      <c r="H133" s="13">
        <f>F133*G133</f>
        <v>330</v>
      </c>
      <c r="I133" s="13"/>
      <c r="J133" s="13"/>
      <c r="K133" s="13"/>
      <c r="L133" s="13"/>
      <c r="M133" s="13">
        <f>H133+J133+L133</f>
        <v>330</v>
      </c>
    </row>
    <row r="134" spans="1:13" s="135" customFormat="1" ht="13.5">
      <c r="A134" s="1"/>
      <c r="B134" s="20"/>
      <c r="C134" s="19" t="s">
        <v>57</v>
      </c>
      <c r="D134" s="1" t="s">
        <v>43</v>
      </c>
      <c r="E134" s="13">
        <v>1.12</v>
      </c>
      <c r="F134" s="13">
        <f>F130*E134</f>
        <v>6.720000000000001</v>
      </c>
      <c r="G134" s="13">
        <v>3.2</v>
      </c>
      <c r="H134" s="13">
        <f>F134*G134</f>
        <v>21.504000000000005</v>
      </c>
      <c r="I134" s="13"/>
      <c r="J134" s="13"/>
      <c r="K134" s="13"/>
      <c r="L134" s="13"/>
      <c r="M134" s="13">
        <f>H134+J134+L134</f>
        <v>21.504000000000005</v>
      </c>
    </row>
    <row r="135" spans="1:13" ht="18" customHeight="1">
      <c r="A135" s="28">
        <v>29</v>
      </c>
      <c r="B135" s="340" t="s">
        <v>173</v>
      </c>
      <c r="C135" s="43" t="s">
        <v>833</v>
      </c>
      <c r="D135" s="28" t="s">
        <v>59</v>
      </c>
      <c r="E135" s="30"/>
      <c r="F135" s="164">
        <v>6</v>
      </c>
      <c r="G135" s="30"/>
      <c r="H135" s="30"/>
      <c r="I135" s="30"/>
      <c r="J135" s="30"/>
      <c r="K135" s="30"/>
      <c r="L135" s="30"/>
      <c r="M135" s="30"/>
    </row>
    <row r="136" spans="1:13" ht="13.5">
      <c r="A136" s="1"/>
      <c r="B136" s="20"/>
      <c r="C136" s="19" t="s">
        <v>54</v>
      </c>
      <c r="D136" s="1" t="s">
        <v>366</v>
      </c>
      <c r="E136" s="13">
        <v>3</v>
      </c>
      <c r="F136" s="13">
        <f>F135*E136</f>
        <v>18</v>
      </c>
      <c r="G136" s="13"/>
      <c r="H136" s="13"/>
      <c r="I136" s="13">
        <v>4.6</v>
      </c>
      <c r="J136" s="13">
        <f>F136*I136</f>
        <v>82.8</v>
      </c>
      <c r="K136" s="13"/>
      <c r="L136" s="13"/>
      <c r="M136" s="13">
        <f>H136+J136+L136</f>
        <v>82.8</v>
      </c>
    </row>
    <row r="137" spans="1:13" ht="13.5">
      <c r="A137" s="1"/>
      <c r="B137" s="20"/>
      <c r="C137" s="19" t="s">
        <v>56</v>
      </c>
      <c r="D137" s="1"/>
      <c r="E137" s="13"/>
      <c r="F137" s="13"/>
      <c r="G137" s="13"/>
      <c r="H137" s="13"/>
      <c r="I137" s="13"/>
      <c r="J137" s="13"/>
      <c r="K137" s="13"/>
      <c r="L137" s="13"/>
      <c r="M137" s="13"/>
    </row>
    <row r="138" spans="1:13" ht="13.5">
      <c r="A138" s="1"/>
      <c r="B138" s="20"/>
      <c r="C138" s="4" t="s">
        <v>174</v>
      </c>
      <c r="D138" s="1" t="s">
        <v>121</v>
      </c>
      <c r="E138" s="13">
        <v>1</v>
      </c>
      <c r="F138" s="13">
        <f>F135*E138</f>
        <v>6</v>
      </c>
      <c r="G138" s="13">
        <v>59.5</v>
      </c>
      <c r="H138" s="13">
        <f>F138*G138</f>
        <v>357</v>
      </c>
      <c r="I138" s="13"/>
      <c r="J138" s="13"/>
      <c r="K138" s="13"/>
      <c r="L138" s="13"/>
      <c r="M138" s="13">
        <f>H138+J138+L138</f>
        <v>357</v>
      </c>
    </row>
    <row r="139" spans="1:13" ht="13.5">
      <c r="A139" s="1"/>
      <c r="B139" s="20"/>
      <c r="C139" s="19" t="s">
        <v>57</v>
      </c>
      <c r="D139" s="1" t="s">
        <v>43</v>
      </c>
      <c r="E139" s="13">
        <v>0.14</v>
      </c>
      <c r="F139" s="13">
        <f>F135*E139</f>
        <v>0.8400000000000001</v>
      </c>
      <c r="G139" s="13">
        <v>3.2</v>
      </c>
      <c r="H139" s="13">
        <f>F139*G139</f>
        <v>2.6880000000000006</v>
      </c>
      <c r="I139" s="13"/>
      <c r="J139" s="13"/>
      <c r="K139" s="13"/>
      <c r="L139" s="13"/>
      <c r="M139" s="13">
        <f>H139+J139+L139</f>
        <v>2.6880000000000006</v>
      </c>
    </row>
    <row r="140" spans="1:13" s="375" customFormat="1" ht="15.75" customHeight="1">
      <c r="A140" s="77">
        <v>30</v>
      </c>
      <c r="B140" s="75" t="s">
        <v>857</v>
      </c>
      <c r="C140" s="75" t="s">
        <v>455</v>
      </c>
      <c r="D140" s="77" t="s">
        <v>241</v>
      </c>
      <c r="E140" s="308"/>
      <c r="F140" s="164">
        <v>2</v>
      </c>
      <c r="G140" s="130"/>
      <c r="H140" s="130"/>
      <c r="I140" s="130"/>
      <c r="J140" s="130"/>
      <c r="K140" s="130"/>
      <c r="L140" s="130"/>
      <c r="M140" s="130"/>
    </row>
    <row r="141" spans="1:13" s="374" customFormat="1" ht="13.5" customHeight="1">
      <c r="A141" s="65"/>
      <c r="B141" s="78"/>
      <c r="C141" s="78" t="s">
        <v>141</v>
      </c>
      <c r="D141" s="65" t="s">
        <v>55</v>
      </c>
      <c r="E141" s="384">
        <v>1</v>
      </c>
      <c r="F141" s="131">
        <f>F140*E141</f>
        <v>2</v>
      </c>
      <c r="G141" s="131"/>
      <c r="H141" s="131"/>
      <c r="I141" s="131">
        <v>4.6</v>
      </c>
      <c r="J141" s="131">
        <f>F141*I141</f>
        <v>9.2</v>
      </c>
      <c r="K141" s="131"/>
      <c r="L141" s="131"/>
      <c r="M141" s="131">
        <f>H141+J141+L141</f>
        <v>9.2</v>
      </c>
    </row>
    <row r="142" spans="1:13" s="331" customFormat="1" ht="13.5" customHeight="1">
      <c r="A142" s="65"/>
      <c r="B142" s="78"/>
      <c r="C142" s="79" t="s">
        <v>56</v>
      </c>
      <c r="D142" s="65"/>
      <c r="E142" s="384"/>
      <c r="F142" s="131"/>
      <c r="G142" s="131"/>
      <c r="H142" s="131"/>
      <c r="I142" s="131"/>
      <c r="J142" s="131"/>
      <c r="K142" s="131"/>
      <c r="L142" s="131"/>
      <c r="M142" s="131">
        <f>H142+J142+L142</f>
        <v>0</v>
      </c>
    </row>
    <row r="143" spans="1:13" s="331" customFormat="1" ht="13.5" customHeight="1">
      <c r="A143" s="65"/>
      <c r="B143" s="78"/>
      <c r="C143" s="79" t="s">
        <v>455</v>
      </c>
      <c r="D143" s="62" t="s">
        <v>241</v>
      </c>
      <c r="E143" s="384">
        <v>1</v>
      </c>
      <c r="F143" s="131">
        <f>F140*E143</f>
        <v>2</v>
      </c>
      <c r="G143" s="131">
        <v>32.8</v>
      </c>
      <c r="H143" s="131">
        <f>F143*G143</f>
        <v>65.6</v>
      </c>
      <c r="I143" s="131"/>
      <c r="J143" s="131"/>
      <c r="K143" s="131"/>
      <c r="L143" s="131"/>
      <c r="M143" s="131">
        <f>H143+J143+L143</f>
        <v>65.6</v>
      </c>
    </row>
    <row r="144" spans="1:13" s="331" customFormat="1" ht="13.5" customHeight="1">
      <c r="A144" s="69"/>
      <c r="B144" s="156"/>
      <c r="C144" s="156" t="s">
        <v>57</v>
      </c>
      <c r="D144" s="69" t="s">
        <v>43</v>
      </c>
      <c r="E144" s="385">
        <v>0.08</v>
      </c>
      <c r="F144" s="132">
        <f>F140*E144</f>
        <v>0.16</v>
      </c>
      <c r="G144" s="132">
        <v>3.2</v>
      </c>
      <c r="H144" s="132">
        <f>F144*G144</f>
        <v>0.512</v>
      </c>
      <c r="I144" s="132"/>
      <c r="J144" s="132"/>
      <c r="K144" s="132"/>
      <c r="L144" s="132"/>
      <c r="M144" s="132">
        <f>H144+J144+L144</f>
        <v>0.512</v>
      </c>
    </row>
    <row r="145" spans="1:13" ht="15" customHeight="1">
      <c r="A145" s="28">
        <v>31</v>
      </c>
      <c r="B145" s="340" t="s">
        <v>169</v>
      </c>
      <c r="C145" s="43" t="s">
        <v>456</v>
      </c>
      <c r="D145" s="28" t="s">
        <v>115</v>
      </c>
      <c r="E145" s="133"/>
      <c r="F145" s="164">
        <v>1800</v>
      </c>
      <c r="G145" s="133"/>
      <c r="H145" s="133"/>
      <c r="I145" s="133"/>
      <c r="J145" s="133"/>
      <c r="K145" s="133"/>
      <c r="L145" s="133"/>
      <c r="M145" s="133"/>
    </row>
    <row r="146" spans="1:13" ht="15" customHeight="1">
      <c r="A146" s="1"/>
      <c r="B146" s="20"/>
      <c r="C146" s="19" t="s">
        <v>54</v>
      </c>
      <c r="D146" s="1" t="s">
        <v>85</v>
      </c>
      <c r="E146" s="115">
        <v>1</v>
      </c>
      <c r="F146" s="13">
        <f>F145*E146</f>
        <v>1800</v>
      </c>
      <c r="G146" s="115"/>
      <c r="H146" s="115"/>
      <c r="I146" s="115">
        <v>0.5</v>
      </c>
      <c r="J146" s="13">
        <f>F146*I146</f>
        <v>900</v>
      </c>
      <c r="K146" s="115"/>
      <c r="L146" s="115"/>
      <c r="M146" s="13">
        <f>H146+J146+L146</f>
        <v>900</v>
      </c>
    </row>
    <row r="147" spans="1:13" s="268" customFormat="1" ht="13.5">
      <c r="A147" s="1"/>
      <c r="B147" s="1"/>
      <c r="C147" s="19" t="s">
        <v>99</v>
      </c>
      <c r="D147" s="1" t="s">
        <v>43</v>
      </c>
      <c r="E147" s="115">
        <v>0.0597</v>
      </c>
      <c r="F147" s="13">
        <f>F145*E147</f>
        <v>107.46000000000001</v>
      </c>
      <c r="G147" s="115"/>
      <c r="H147" s="115"/>
      <c r="I147" s="115"/>
      <c r="J147" s="115"/>
      <c r="K147" s="13">
        <v>3.2</v>
      </c>
      <c r="L147" s="115">
        <f>F147*K147</f>
        <v>343.87200000000007</v>
      </c>
      <c r="M147" s="13">
        <f>H147+J147+L147</f>
        <v>343.87200000000007</v>
      </c>
    </row>
    <row r="148" spans="1:13" s="135" customFormat="1" ht="13.5">
      <c r="A148" s="1"/>
      <c r="B148" s="20"/>
      <c r="C148" s="19" t="s">
        <v>56</v>
      </c>
      <c r="D148" s="1"/>
      <c r="E148" s="115"/>
      <c r="F148" s="13"/>
      <c r="G148" s="115"/>
      <c r="H148" s="13"/>
      <c r="I148" s="115"/>
      <c r="J148" s="115"/>
      <c r="K148" s="115"/>
      <c r="L148" s="115"/>
      <c r="M148" s="13"/>
    </row>
    <row r="149" spans="1:13" s="135" customFormat="1" ht="15" customHeight="1">
      <c r="A149" s="1"/>
      <c r="B149" s="20"/>
      <c r="C149" s="4" t="s">
        <v>411</v>
      </c>
      <c r="D149" s="1" t="s">
        <v>115</v>
      </c>
      <c r="E149" s="115">
        <v>1</v>
      </c>
      <c r="F149" s="13">
        <f>F145*E149</f>
        <v>1800</v>
      </c>
      <c r="G149" s="115">
        <v>0.76</v>
      </c>
      <c r="H149" s="13">
        <f>F149*G149</f>
        <v>1368</v>
      </c>
      <c r="I149" s="115"/>
      <c r="J149" s="115"/>
      <c r="K149" s="115"/>
      <c r="L149" s="115"/>
      <c r="M149" s="13">
        <f>H149+J149+L149</f>
        <v>1368</v>
      </c>
    </row>
    <row r="150" spans="1:13" s="135" customFormat="1" ht="13.5">
      <c r="A150" s="1"/>
      <c r="B150" s="20"/>
      <c r="C150" s="19" t="s">
        <v>57</v>
      </c>
      <c r="D150" s="1" t="s">
        <v>43</v>
      </c>
      <c r="E150" s="115">
        <v>0.0673</v>
      </c>
      <c r="F150" s="13">
        <f>F145*E150</f>
        <v>121.14</v>
      </c>
      <c r="G150" s="115">
        <v>3.2</v>
      </c>
      <c r="H150" s="13">
        <f>F150*G150</f>
        <v>387.648</v>
      </c>
      <c r="I150" s="115"/>
      <c r="J150" s="115"/>
      <c r="K150" s="115"/>
      <c r="L150" s="115"/>
      <c r="M150" s="13">
        <f>H150+J150+L150</f>
        <v>387.648</v>
      </c>
    </row>
    <row r="151" spans="1:13" s="135" customFormat="1" ht="15.75">
      <c r="A151" s="47"/>
      <c r="B151" s="154"/>
      <c r="C151" s="116" t="s">
        <v>848</v>
      </c>
      <c r="D151" s="47"/>
      <c r="E151" s="109"/>
      <c r="F151" s="108"/>
      <c r="G151" s="109"/>
      <c r="H151" s="108"/>
      <c r="I151" s="109"/>
      <c r="J151" s="109"/>
      <c r="K151" s="109"/>
      <c r="L151" s="109"/>
      <c r="M151" s="108"/>
    </row>
    <row r="152" spans="1:13" ht="15.75" customHeight="1">
      <c r="A152" s="28">
        <v>32</v>
      </c>
      <c r="B152" s="340" t="s">
        <v>175</v>
      </c>
      <c r="C152" s="43" t="s">
        <v>758</v>
      </c>
      <c r="D152" s="28" t="s">
        <v>115</v>
      </c>
      <c r="E152" s="30"/>
      <c r="F152" s="164">
        <v>1000</v>
      </c>
      <c r="G152" s="30"/>
      <c r="H152" s="30"/>
      <c r="I152" s="30"/>
      <c r="J152" s="30"/>
      <c r="K152" s="30"/>
      <c r="L152" s="30"/>
      <c r="M152" s="30"/>
    </row>
    <row r="153" spans="1:13" ht="15.75" customHeight="1">
      <c r="A153" s="1"/>
      <c r="B153" s="20"/>
      <c r="C153" s="19" t="s">
        <v>54</v>
      </c>
      <c r="D153" s="1" t="s">
        <v>85</v>
      </c>
      <c r="E153" s="115">
        <v>1</v>
      </c>
      <c r="F153" s="13">
        <f>F152*E153</f>
        <v>1000</v>
      </c>
      <c r="G153" s="115"/>
      <c r="H153" s="115"/>
      <c r="I153" s="115">
        <v>0.5</v>
      </c>
      <c r="J153" s="13">
        <f>F153*I153</f>
        <v>500</v>
      </c>
      <c r="K153" s="115"/>
      <c r="L153" s="115"/>
      <c r="M153" s="13">
        <f>H153+J153+L153</f>
        <v>500</v>
      </c>
    </row>
    <row r="154" spans="1:13" s="268" customFormat="1" ht="17.25" customHeight="1">
      <c r="A154" s="1"/>
      <c r="B154" s="1"/>
      <c r="C154" s="19" t="s">
        <v>99</v>
      </c>
      <c r="D154" s="1" t="s">
        <v>43</v>
      </c>
      <c r="E154" s="13">
        <v>0.027</v>
      </c>
      <c r="F154" s="13">
        <f>F152*E154</f>
        <v>27</v>
      </c>
      <c r="G154" s="13"/>
      <c r="H154" s="13"/>
      <c r="I154" s="13"/>
      <c r="J154" s="13"/>
      <c r="K154" s="13">
        <v>3.2</v>
      </c>
      <c r="L154" s="13">
        <f>F154*K154</f>
        <v>86.4</v>
      </c>
      <c r="M154" s="13">
        <f>H154+J154+L154</f>
        <v>86.4</v>
      </c>
    </row>
    <row r="155" spans="1:13" s="135" customFormat="1" ht="13.5" customHeight="1">
      <c r="A155" s="1"/>
      <c r="B155" s="20"/>
      <c r="C155" s="19" t="s">
        <v>56</v>
      </c>
      <c r="D155" s="1"/>
      <c r="E155" s="13"/>
      <c r="F155" s="13"/>
      <c r="G155" s="13"/>
      <c r="H155" s="13"/>
      <c r="I155" s="13"/>
      <c r="J155" s="13"/>
      <c r="K155" s="13"/>
      <c r="L155" s="13"/>
      <c r="M155" s="13"/>
    </row>
    <row r="156" spans="1:13" s="135" customFormat="1" ht="13.5" customHeight="1">
      <c r="A156" s="1"/>
      <c r="B156" s="20"/>
      <c r="C156" s="4" t="s">
        <v>176</v>
      </c>
      <c r="D156" s="1" t="s">
        <v>115</v>
      </c>
      <c r="E156" s="13">
        <v>1</v>
      </c>
      <c r="F156" s="13">
        <f>F152*E156</f>
        <v>1000</v>
      </c>
      <c r="G156" s="13">
        <v>1</v>
      </c>
      <c r="H156" s="13">
        <f>F156*G156</f>
        <v>1000</v>
      </c>
      <c r="I156" s="13"/>
      <c r="J156" s="13"/>
      <c r="K156" s="13"/>
      <c r="L156" s="13"/>
      <c r="M156" s="13">
        <f>H156+J156+L156</f>
        <v>1000</v>
      </c>
    </row>
    <row r="157" spans="1:13" s="135" customFormat="1" ht="13.5" customHeight="1">
      <c r="A157" s="1"/>
      <c r="B157" s="20"/>
      <c r="C157" s="19" t="s">
        <v>57</v>
      </c>
      <c r="D157" s="1" t="s">
        <v>43</v>
      </c>
      <c r="E157" s="13">
        <v>0.055</v>
      </c>
      <c r="F157" s="13">
        <f>F152*E157</f>
        <v>55</v>
      </c>
      <c r="G157" s="13">
        <v>3.2</v>
      </c>
      <c r="H157" s="13">
        <f>F157*G157</f>
        <v>176</v>
      </c>
      <c r="I157" s="13"/>
      <c r="J157" s="13"/>
      <c r="K157" s="13"/>
      <c r="L157" s="13"/>
      <c r="M157" s="13">
        <f>H157+J157+L157</f>
        <v>176</v>
      </c>
    </row>
    <row r="158" spans="1:13" s="135" customFormat="1" ht="13.5" customHeight="1">
      <c r="A158" s="47">
        <v>33</v>
      </c>
      <c r="B158" s="154"/>
      <c r="C158" s="46" t="s">
        <v>458</v>
      </c>
      <c r="D158" s="47" t="s">
        <v>115</v>
      </c>
      <c r="E158" s="108"/>
      <c r="F158" s="161">
        <v>500</v>
      </c>
      <c r="G158" s="108">
        <v>0.25</v>
      </c>
      <c r="H158" s="108">
        <f>F158*G158</f>
        <v>125</v>
      </c>
      <c r="I158" s="108"/>
      <c r="J158" s="108"/>
      <c r="K158" s="108"/>
      <c r="L158" s="108"/>
      <c r="M158" s="108">
        <f>H158+J158+L158</f>
        <v>125</v>
      </c>
    </row>
    <row r="159" spans="1:13" ht="15" customHeight="1">
      <c r="A159" s="52"/>
      <c r="B159" s="144"/>
      <c r="C159" s="48" t="s">
        <v>102</v>
      </c>
      <c r="D159" s="52"/>
      <c r="E159" s="52"/>
      <c r="F159" s="161"/>
      <c r="G159" s="161"/>
      <c r="H159" s="161">
        <f>SUM(H11:H158)</f>
        <v>33264.46384</v>
      </c>
      <c r="I159" s="161"/>
      <c r="J159" s="161">
        <f>SUM(J11:J158)</f>
        <v>5935.04</v>
      </c>
      <c r="K159" s="161"/>
      <c r="L159" s="161">
        <f>SUM(L11:L158)</f>
        <v>1335.2921600000002</v>
      </c>
      <c r="M159" s="161">
        <f>SUM(M11:M158)</f>
        <v>40534.79600000001</v>
      </c>
    </row>
    <row r="160" spans="1:13" s="55" customFormat="1" ht="14.25" customHeight="1">
      <c r="A160" s="52"/>
      <c r="B160" s="52"/>
      <c r="C160" s="46" t="s">
        <v>140</v>
      </c>
      <c r="D160" s="52"/>
      <c r="E160" s="52"/>
      <c r="F160" s="182"/>
      <c r="G160" s="108"/>
      <c r="H160" s="108">
        <f>M160</f>
        <v>17233.8</v>
      </c>
      <c r="I160" s="108"/>
      <c r="J160" s="108"/>
      <c r="K160" s="108"/>
      <c r="L160" s="108"/>
      <c r="M160" s="108">
        <f>M122+M107+M64+M13+M18+M22+M24+M28+M80+M84+M88+M89</f>
        <v>17233.8</v>
      </c>
    </row>
    <row r="161" spans="1:13" ht="15" customHeight="1">
      <c r="A161" s="52"/>
      <c r="B161" s="144"/>
      <c r="C161" s="38" t="s">
        <v>278</v>
      </c>
      <c r="D161" s="81">
        <v>0.65</v>
      </c>
      <c r="E161" s="52"/>
      <c r="F161" s="161"/>
      <c r="G161" s="108"/>
      <c r="H161" s="108"/>
      <c r="I161" s="108"/>
      <c r="J161" s="108">
        <f>J159*D161</f>
        <v>3857.7760000000003</v>
      </c>
      <c r="K161" s="108"/>
      <c r="L161" s="108"/>
      <c r="M161" s="108">
        <f>J159*D161</f>
        <v>3857.7760000000003</v>
      </c>
    </row>
    <row r="162" spans="1:13" ht="15.75" customHeight="1">
      <c r="A162" s="52"/>
      <c r="B162" s="144"/>
      <c r="C162" s="80" t="s">
        <v>102</v>
      </c>
      <c r="D162" s="47"/>
      <c r="E162" s="52"/>
      <c r="F162" s="161"/>
      <c r="G162" s="108"/>
      <c r="H162" s="108">
        <f>H161+H159</f>
        <v>33264.46384</v>
      </c>
      <c r="I162" s="108"/>
      <c r="J162" s="108">
        <f>J161+J159</f>
        <v>9792.816</v>
      </c>
      <c r="K162" s="108"/>
      <c r="L162" s="108">
        <f>L161+L159</f>
        <v>1335.2921600000002</v>
      </c>
      <c r="M162" s="108">
        <f>M161+M159</f>
        <v>44392.57200000001</v>
      </c>
    </row>
    <row r="163" spans="1:13" s="146" customFormat="1" ht="13.5">
      <c r="A163" s="52"/>
      <c r="B163" s="52"/>
      <c r="C163" s="38" t="s">
        <v>187</v>
      </c>
      <c r="D163" s="81">
        <v>0.08</v>
      </c>
      <c r="E163" s="49"/>
      <c r="F163" s="161"/>
      <c r="G163" s="108"/>
      <c r="H163" s="108">
        <f>(H162-H160)*D163</f>
        <v>1282.4531071999997</v>
      </c>
      <c r="I163" s="108"/>
      <c r="J163" s="108">
        <f>(J162-J160)*D163</f>
        <v>783.42528</v>
      </c>
      <c r="K163" s="108"/>
      <c r="L163" s="108">
        <f>(L162-L160)*0.08</f>
        <v>106.82337280000002</v>
      </c>
      <c r="M163" s="108">
        <f>(M162-M160)*D163</f>
        <v>2172.701760000001</v>
      </c>
    </row>
    <row r="164" spans="1:13" s="146" customFormat="1" ht="13.5">
      <c r="A164" s="52"/>
      <c r="B164" s="52"/>
      <c r="C164" s="48" t="s">
        <v>49</v>
      </c>
      <c r="D164" s="52"/>
      <c r="E164" s="49"/>
      <c r="F164" s="161"/>
      <c r="G164" s="161"/>
      <c r="H164" s="108">
        <f>H162+H163</f>
        <v>34546.9169472</v>
      </c>
      <c r="I164" s="108"/>
      <c r="J164" s="108">
        <f>J162+J163</f>
        <v>10576.24128</v>
      </c>
      <c r="K164" s="108"/>
      <c r="L164" s="108">
        <f>L162+L163</f>
        <v>1442.1155328000002</v>
      </c>
      <c r="M164" s="108">
        <f>M162+M163</f>
        <v>46565.27376000001</v>
      </c>
    </row>
    <row r="165" spans="1:13" ht="13.5">
      <c r="A165" s="6"/>
      <c r="B165" s="55"/>
      <c r="C165" s="9"/>
      <c r="D165" s="6"/>
      <c r="E165" s="21"/>
      <c r="F165" s="6"/>
      <c r="G165" s="8"/>
      <c r="H165" s="8"/>
      <c r="I165" s="8"/>
      <c r="J165" s="8"/>
      <c r="K165" s="8"/>
      <c r="L165" s="8"/>
      <c r="M165" s="8"/>
    </row>
    <row r="166" spans="1:13" ht="13.5">
      <c r="A166" s="268"/>
      <c r="B166" s="492" t="s">
        <v>58</v>
      </c>
      <c r="C166" s="541"/>
      <c r="D166" s="268"/>
      <c r="E166" s="492" t="s">
        <v>482</v>
      </c>
      <c r="F166" s="492"/>
      <c r="G166" s="492"/>
      <c r="H166" s="492"/>
      <c r="I166" s="492"/>
      <c r="J166" s="492"/>
      <c r="K166" s="268"/>
      <c r="L166" s="268"/>
      <c r="M166" s="268"/>
    </row>
    <row r="167" spans="1:13" ht="15.75">
      <c r="A167" s="386"/>
      <c r="B167" s="386"/>
      <c r="C167" s="23"/>
      <c r="D167" s="6"/>
      <c r="E167" s="7"/>
      <c r="F167" s="6"/>
      <c r="G167" s="15"/>
      <c r="H167" s="7"/>
      <c r="I167" s="6"/>
      <c r="J167" s="6"/>
      <c r="K167" s="15"/>
      <c r="L167" s="7"/>
      <c r="M167" s="15"/>
    </row>
    <row r="168" spans="1:13" ht="13.5">
      <c r="A168" s="146"/>
      <c r="B168" s="268"/>
      <c r="C168" s="458" t="s">
        <v>891</v>
      </c>
      <c r="D168" s="268"/>
      <c r="E168" s="492" t="s">
        <v>890</v>
      </c>
      <c r="F168" s="492"/>
      <c r="G168" s="492"/>
      <c r="H168" s="492"/>
      <c r="I168" s="492"/>
      <c r="J168" s="492"/>
      <c r="K168" s="268"/>
      <c r="L168" s="268"/>
      <c r="M168" s="268"/>
    </row>
    <row r="169" spans="1:13" ht="15.75">
      <c r="A169" s="386"/>
      <c r="B169" s="386"/>
      <c r="C169" s="23"/>
      <c r="D169" s="6"/>
      <c r="E169" s="7"/>
      <c r="F169" s="6"/>
      <c r="G169" s="15"/>
      <c r="H169" s="7"/>
      <c r="I169" s="6"/>
      <c r="J169" s="6"/>
      <c r="K169" s="15"/>
      <c r="L169" s="7"/>
      <c r="M169" s="15"/>
    </row>
  </sheetData>
  <sheetProtection/>
  <mergeCells count="21">
    <mergeCell ref="A3:M3"/>
    <mergeCell ref="B6:B7"/>
    <mergeCell ref="A6:A7"/>
    <mergeCell ref="F4:I4"/>
    <mergeCell ref="A1:M1"/>
    <mergeCell ref="A2:M2"/>
    <mergeCell ref="M6:M7"/>
    <mergeCell ref="E6:F6"/>
    <mergeCell ref="G6:H6"/>
    <mergeCell ref="K6:L6"/>
    <mergeCell ref="C6:C7"/>
    <mergeCell ref="B4:C4"/>
    <mergeCell ref="I6:J6"/>
    <mergeCell ref="E168:J168"/>
    <mergeCell ref="B166:C166"/>
    <mergeCell ref="E166:J166"/>
    <mergeCell ref="J5:K5"/>
    <mergeCell ref="J4:K4"/>
    <mergeCell ref="B5:C5"/>
    <mergeCell ref="G5:I5"/>
    <mergeCell ref="D6:D7"/>
  </mergeCells>
  <printOptions horizontalCentered="1"/>
  <pageMargins left="0.47244094488189" right="0" top="0.511811023622047" bottom="0.511811023622047" header="0.31496062992126" footer="0.31496062992126"/>
  <pageSetup horizontalDpi="600" verticalDpi="600" orientation="landscape" paperSize="9" scale="98" r:id="rId1"/>
  <headerFooter>
    <oddHeader>&amp;Cსაგანმანათლებლო და სამეცნიერო ინფრასტრუქტურის განვითარების სააგენტო</oddHeader>
    <oddFooter>&amp;Lხარჯთაღრიცხვა&amp;R&amp;P/&amp;N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Kakulia</dc:creator>
  <cp:keywords/>
  <dc:description/>
  <cp:lastModifiedBy>davit mesxishvili</cp:lastModifiedBy>
  <cp:lastPrinted>2017-12-13T09:30:45Z</cp:lastPrinted>
  <dcterms:created xsi:type="dcterms:W3CDTF">2004-05-18T18:44:03Z</dcterms:created>
  <dcterms:modified xsi:type="dcterms:W3CDTF">2019-06-05T06:10:22Z</dcterms:modified>
  <cp:category/>
  <cp:version/>
  <cp:contentType/>
  <cp:contentStatus/>
</cp:coreProperties>
</file>