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0" yWindow="0" windowWidth="28800" windowHeight="12435" tabRatio="731" activeTab="2"/>
  </bookViews>
  <sheets>
    <sheet name="krebsiti" sheetId="8" r:id="rId1"/>
    <sheet name="#1-1" sheetId="16" r:id="rId2"/>
    <sheet name="#1-2" sheetId="17" r:id="rId3"/>
    <sheet name="#1-3" sheetId="6" r:id="rId4"/>
  </sheets>
  <definedNames>
    <definedName name="_xlnm.Print_Area" localSheetId="1">'#1-1'!$A$2:$L$153</definedName>
    <definedName name="_xlnm.Print_Area" localSheetId="2">'#1-2'!$A$2:$L$76</definedName>
    <definedName name="_xlnm.Print_Area" localSheetId="3">'#1-3'!$A$2:$L$243</definedName>
    <definedName name="_xlnm.Print_Area" localSheetId="0">krebsiti!$A$1:$G$21</definedName>
    <definedName name="_xlnm.Print_Titles" localSheetId="1">'#1-1'!$7:$7</definedName>
    <definedName name="_xlnm.Print_Titles" localSheetId="2">'#1-2'!$7:$7</definedName>
    <definedName name="_xlnm.Print_Titles" localSheetId="3">'#1-3'!$7:$7</definedName>
    <definedName name="_xlnm.Print_Titles" localSheetId="0">krebsiti!$7:$7</definedName>
  </definedNames>
  <calcPr calcId="152511"/>
</workbook>
</file>

<file path=xl/calcChain.xml><?xml version="1.0" encoding="utf-8"?>
<calcChain xmlns="http://schemas.openxmlformats.org/spreadsheetml/2006/main">
  <c r="E75" i="6" l="1"/>
  <c r="E28" i="6"/>
  <c r="E191" i="6" l="1"/>
  <c r="E136" i="6" l="1"/>
  <c r="E134" i="6"/>
  <c r="E193" i="6" l="1"/>
  <c r="E138" i="6"/>
  <c r="E177" i="6"/>
  <c r="E208" i="6" l="1"/>
  <c r="E209" i="6" s="1"/>
  <c r="E196" i="6"/>
  <c r="E180" i="6"/>
  <c r="E175" i="6"/>
  <c r="E214" i="6" l="1"/>
  <c r="E215" i="6"/>
  <c r="E210" i="6"/>
  <c r="E211" i="6"/>
  <c r="E212" i="6"/>
  <c r="E171" i="6" l="1"/>
  <c r="E170" i="6"/>
  <c r="E169" i="6"/>
  <c r="E168" i="6"/>
  <c r="E156" i="6"/>
  <c r="E160" i="6" s="1"/>
  <c r="D152" i="6"/>
  <c r="E146" i="6"/>
  <c r="E153" i="6" s="1"/>
  <c r="E144" i="6"/>
  <c r="E139" i="6"/>
  <c r="E141" i="6" s="1"/>
  <c r="E135" i="6"/>
  <c r="D133" i="6"/>
  <c r="D130" i="6"/>
  <c r="D129" i="6"/>
  <c r="E128" i="6"/>
  <c r="E132" i="6" s="1"/>
  <c r="D126" i="6"/>
  <c r="E125" i="6"/>
  <c r="E123" i="6"/>
  <c r="E124" i="6" s="1"/>
  <c r="E162" i="6" l="1"/>
  <c r="E165" i="6" s="1"/>
  <c r="E163" i="6"/>
  <c r="E157" i="6"/>
  <c r="E127" i="6"/>
  <c r="E159" i="6"/>
  <c r="E149" i="6"/>
  <c r="E154" i="6"/>
  <c r="E150" i="6"/>
  <c r="E155" i="6"/>
  <c r="E158" i="6"/>
  <c r="E164" i="6"/>
  <c r="E131" i="6"/>
  <c r="E126" i="6"/>
  <c r="E142" i="6"/>
  <c r="E129" i="6"/>
  <c r="E140" i="6"/>
  <c r="E145" i="6"/>
  <c r="E147" i="6"/>
  <c r="E151" i="6"/>
  <c r="E152" i="6"/>
  <c r="E130" i="6"/>
  <c r="E133" i="6"/>
  <c r="E148" i="6"/>
  <c r="E137" i="6" l="1"/>
  <c r="E98" i="6" l="1"/>
  <c r="E51" i="6"/>
  <c r="E44" i="6"/>
  <c r="E9" i="17"/>
  <c r="E60" i="17"/>
  <c r="E53" i="17"/>
  <c r="E52" i="17"/>
  <c r="E51" i="17"/>
  <c r="E50" i="17"/>
  <c r="E49" i="17"/>
  <c r="E48" i="17"/>
  <c r="E42" i="17"/>
  <c r="E38" i="17" s="1"/>
  <c r="E30" i="17"/>
  <c r="E29" i="17"/>
  <c r="E24" i="17"/>
  <c r="E57" i="17" l="1"/>
  <c r="E58" i="17" s="1"/>
  <c r="E46" i="17"/>
  <c r="E22" i="17"/>
  <c r="E27" i="17"/>
  <c r="E61" i="17"/>
  <c r="E59" i="17"/>
  <c r="E186" i="6" l="1"/>
  <c r="E93" i="6"/>
  <c r="E23" i="6"/>
  <c r="E25" i="6" s="1"/>
  <c r="E10" i="6"/>
  <c r="E15" i="6"/>
  <c r="E20" i="6"/>
  <c r="E27" i="6" l="1"/>
  <c r="E24" i="6"/>
  <c r="E29" i="16" l="1"/>
  <c r="E27" i="16"/>
  <c r="E33" i="17"/>
  <c r="E26" i="16" l="1"/>
  <c r="E30" i="16"/>
  <c r="E198" i="6" l="1"/>
  <c r="E34" i="6" l="1"/>
  <c r="E207" i="6"/>
  <c r="E206" i="6"/>
  <c r="E205" i="6"/>
  <c r="D204" i="6"/>
  <c r="E204" i="6" s="1"/>
  <c r="E203" i="6"/>
  <c r="E202" i="6"/>
  <c r="E201" i="6"/>
  <c r="E200" i="6"/>
  <c r="E199" i="6"/>
  <c r="E197" i="6" l="1"/>
  <c r="E216" i="6" l="1"/>
  <c r="E217" i="6"/>
  <c r="E224" i="6" l="1"/>
  <c r="E223" i="6"/>
  <c r="E221" i="6"/>
  <c r="E220" i="6"/>
  <c r="D189" i="6"/>
  <c r="E190" i="6"/>
  <c r="E187" i="6"/>
  <c r="D185" i="6"/>
  <c r="D183" i="6"/>
  <c r="C183" i="6"/>
  <c r="D182" i="6"/>
  <c r="D181" i="6"/>
  <c r="D178" i="6"/>
  <c r="E179" i="6"/>
  <c r="E176" i="6"/>
  <c r="E182" i="6" l="1"/>
  <c r="E178" i="6"/>
  <c r="E189" i="6"/>
  <c r="E183" i="6"/>
  <c r="E185" i="6"/>
  <c r="E192" i="6"/>
  <c r="E222" i="6"/>
  <c r="E181" i="6"/>
  <c r="E21" i="6" l="1"/>
  <c r="D119" i="16"/>
  <c r="E119" i="16" s="1"/>
  <c r="D115" i="16"/>
  <c r="D114" i="16"/>
  <c r="E117" i="16"/>
  <c r="E110" i="16"/>
  <c r="E105" i="16"/>
  <c r="E125" i="16"/>
  <c r="E116" i="16" l="1"/>
  <c r="E118" i="16"/>
  <c r="E114" i="16"/>
  <c r="E115" i="16"/>
  <c r="E109" i="16"/>
  <c r="E111" i="16"/>
  <c r="E108" i="16"/>
  <c r="E102" i="16"/>
  <c r="E104" i="16"/>
  <c r="E106" i="16"/>
  <c r="E101" i="16"/>
  <c r="E103" i="16"/>
  <c r="E122" i="16"/>
  <c r="E124" i="16"/>
  <c r="E126" i="16"/>
  <c r="E121" i="16"/>
  <c r="E123" i="16"/>
  <c r="E40" i="16" l="1"/>
  <c r="E51" i="16"/>
  <c r="E16" i="16"/>
  <c r="E48" i="16" l="1"/>
  <c r="E47" i="16"/>
  <c r="E49" i="16"/>
  <c r="E50" i="16"/>
  <c r="E52" i="16"/>
  <c r="E17" i="16"/>
  <c r="E70" i="16" l="1"/>
  <c r="E43" i="16"/>
  <c r="E41" i="16" l="1"/>
  <c r="E44" i="16"/>
  <c r="E42" i="16"/>
  <c r="E45" i="16"/>
  <c r="E11" i="16" l="1"/>
  <c r="E10" i="16" l="1"/>
  <c r="E14" i="6" l="1"/>
  <c r="E11" i="6" l="1"/>
  <c r="E12" i="6"/>
  <c r="E47" i="17" l="1"/>
  <c r="E54" i="17"/>
  <c r="E97" i="16" l="1"/>
  <c r="E65" i="16"/>
  <c r="E89" i="16"/>
  <c r="E84" i="16"/>
  <c r="D80" i="16"/>
  <c r="D79" i="16"/>
  <c r="D78" i="16"/>
  <c r="D77" i="16"/>
  <c r="E71" i="16"/>
  <c r="D73" i="16"/>
  <c r="D63" i="16"/>
  <c r="D62" i="16"/>
  <c r="D61" i="16"/>
  <c r="D60" i="16"/>
  <c r="E60" i="16" s="1"/>
  <c r="E132" i="16"/>
  <c r="D129" i="16"/>
  <c r="D128" i="16"/>
  <c r="E62" i="16" l="1"/>
  <c r="E67" i="16"/>
  <c r="E74" i="16"/>
  <c r="E72" i="16"/>
  <c r="E73" i="16"/>
  <c r="E78" i="16"/>
  <c r="E54" i="16"/>
  <c r="E75" i="16"/>
  <c r="E91" i="16"/>
  <c r="E92" i="16"/>
  <c r="E130" i="16"/>
  <c r="E131" i="16"/>
  <c r="E68" i="16"/>
  <c r="E80" i="16"/>
  <c r="E79" i="16"/>
  <c r="E129" i="16"/>
  <c r="E63" i="16"/>
  <c r="E96" i="16"/>
  <c r="E95" i="16"/>
  <c r="E99" i="16"/>
  <c r="E94" i="16"/>
  <c r="E98" i="16"/>
  <c r="E90" i="16"/>
  <c r="E83" i="16"/>
  <c r="E87" i="16"/>
  <c r="E82" i="16"/>
  <c r="E86" i="16"/>
  <c r="E85" i="16"/>
  <c r="E77" i="16"/>
  <c r="E61" i="16"/>
  <c r="E66" i="16"/>
  <c r="E128" i="16"/>
  <c r="E29" i="6" l="1"/>
  <c r="D73" i="6" l="1"/>
  <c r="D119" i="6"/>
  <c r="D114" i="6" l="1"/>
  <c r="E114" i="6" s="1"/>
  <c r="E113" i="6"/>
  <c r="E112" i="6"/>
  <c r="E97" i="6"/>
  <c r="E120" i="6" l="1"/>
  <c r="E117" i="6"/>
  <c r="E116" i="6"/>
  <c r="E119" i="6"/>
  <c r="E115" i="6"/>
  <c r="E118" i="6"/>
  <c r="E94" i="6"/>
  <c r="E95" i="6"/>
  <c r="D68" i="6" l="1"/>
  <c r="E68" i="6" s="1"/>
  <c r="E67" i="6"/>
  <c r="E66" i="6"/>
  <c r="E70" i="6" l="1"/>
  <c r="E69" i="6"/>
  <c r="E74" i="6"/>
  <c r="E71" i="6"/>
  <c r="E72" i="6"/>
  <c r="E73" i="6"/>
  <c r="E90" i="6" l="1"/>
  <c r="E20" i="16" l="1"/>
  <c r="E19" i="16"/>
  <c r="E110" i="6" l="1"/>
  <c r="E23" i="16" l="1"/>
  <c r="E22" i="16"/>
  <c r="E35" i="17" l="1"/>
  <c r="E34" i="17"/>
  <c r="E37" i="17"/>
  <c r="D41" i="17" l="1"/>
  <c r="D40" i="17"/>
  <c r="D39" i="17"/>
  <c r="E28" i="17"/>
  <c r="D32" i="17"/>
  <c r="D26" i="17"/>
  <c r="E39" i="17" l="1"/>
  <c r="E40" i="17"/>
  <c r="E41" i="17"/>
  <c r="E44" i="17"/>
  <c r="E23" i="17"/>
  <c r="E26" i="17"/>
  <c r="E32" i="17"/>
  <c r="E77" i="6"/>
  <c r="E78" i="6"/>
  <c r="E79" i="6"/>
  <c r="E76" i="6"/>
  <c r="E11" i="17" l="1"/>
  <c r="E10" i="17"/>
  <c r="D92" i="6"/>
  <c r="E92" i="6" s="1"/>
  <c r="D91" i="6"/>
  <c r="E91" i="6" s="1"/>
  <c r="D89" i="6"/>
  <c r="E89" i="6" s="1"/>
  <c r="D88" i="6"/>
  <c r="E88" i="6" s="1"/>
  <c r="E86" i="6"/>
  <c r="D85" i="6"/>
  <c r="E85" i="6" s="1"/>
  <c r="E84" i="6"/>
  <c r="E83" i="6"/>
  <c r="E82" i="6"/>
  <c r="E100" i="6" l="1"/>
  <c r="E99" i="6"/>
  <c r="E33" i="6" l="1"/>
  <c r="E30" i="6"/>
  <c r="E19" i="6"/>
  <c r="E17" i="6"/>
  <c r="E16" i="6"/>
  <c r="E42" i="6"/>
  <c r="E41" i="6"/>
  <c r="D43" i="6"/>
  <c r="E43" i="6" s="1"/>
  <c r="D40" i="6"/>
  <c r="D39" i="6"/>
  <c r="E39" i="6" s="1"/>
  <c r="E53" i="6" l="1"/>
  <c r="E64" i="6"/>
  <c r="E46" i="6"/>
  <c r="E52" i="6"/>
  <c r="E45" i="6"/>
  <c r="E50" i="6"/>
  <c r="E40" i="6"/>
  <c r="E138" i="16" l="1"/>
  <c r="E136" i="16"/>
  <c r="E135" i="16"/>
  <c r="E137" i="16" l="1"/>
  <c r="D10" i="8" l="1"/>
  <c r="G10" i="8" s="1"/>
  <c r="D9" i="8" l="1"/>
  <c r="G9" i="8" s="1"/>
  <c r="E13" i="16"/>
  <c r="E14" i="16"/>
  <c r="E36" i="16" l="1"/>
  <c r="E33" i="16"/>
  <c r="E34" i="16"/>
  <c r="E35" i="16" l="1"/>
  <c r="D8" i="8" l="1"/>
  <c r="D15" i="8" l="1"/>
  <c r="G8" i="8"/>
  <c r="G15" i="8" s="1"/>
</calcChain>
</file>

<file path=xl/comments1.xml><?xml version="1.0" encoding="utf-8"?>
<comments xmlns="http://schemas.openxmlformats.org/spreadsheetml/2006/main">
  <authors>
    <author>Author</author>
  </authors>
  <commentList>
    <comment ref="D116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6,6</t>
        </r>
      </text>
    </comment>
  </commentList>
</comments>
</file>

<file path=xl/sharedStrings.xml><?xml version="1.0" encoding="utf-8"?>
<sst xmlns="http://schemas.openxmlformats.org/spreadsheetml/2006/main" count="943" uniqueCount="322">
  <si>
    <t>##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</si>
  <si>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</si>
  <si>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</si>
  <si>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</si>
  <si>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</si>
  <si>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</si>
  <si>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</si>
  <si>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</si>
  <si>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</si>
  <si>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</si>
  <si>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</si>
  <si>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gauTvaliswinebeli xarjebi</t>
  </si>
  <si>
    <t xml:space="preserve">გეგმიური დაგროვება  </t>
  </si>
  <si>
    <t xml:space="preserve">ზედნადები ხარჯები  </t>
  </si>
  <si>
    <t>c</t>
  </si>
  <si>
    <t>kbm</t>
  </si>
  <si>
    <t>kvm</t>
  </si>
  <si>
    <t>kg</t>
  </si>
  <si>
    <t>tn</t>
  </si>
  <si>
    <t>sul</t>
  </si>
  <si>
    <t>lari</t>
  </si>
  <si>
    <t>ც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</si>
  <si>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</si>
  <si>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</si>
  <si>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</si>
  <si>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</si>
  <si>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</si>
  <si>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</si>
  <si>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</si>
  <si>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</si>
  <si>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 xml:space="preserve">sxva manqana </t>
  </si>
  <si>
    <t>manqanebi</t>
  </si>
  <si>
    <t>sxva masalebi</t>
  </si>
  <si>
    <t xml:space="preserve">Sromis danaxarjebi  </t>
  </si>
  <si>
    <t>5</t>
  </si>
  <si>
    <t>8</t>
  </si>
  <si>
    <t xml:space="preserve">kafelis fila                </t>
  </si>
  <si>
    <t>webocementi yinvagamZle</t>
  </si>
  <si>
    <t>Senobis el montaJis samuSaoebi</t>
  </si>
  <si>
    <t>მ</t>
  </si>
  <si>
    <t>krebsiTi xarjTaRicxva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</si>
  <si>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</si>
  <si>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</si>
  <si>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</si>
  <si>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</si>
  <si>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</si>
  <si>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</si>
  <si>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</t>
  </si>
  <si>
    <t>sul xarjTaRricxviT</t>
  </si>
  <si>
    <t>jami        lari</t>
  </si>
  <si>
    <t>I</t>
  </si>
  <si>
    <t>9</t>
  </si>
  <si>
    <t>kompl</t>
  </si>
  <si>
    <t>sarke, xelis saSrobi, qaRaldisa da sapnis spenserebi</t>
  </si>
  <si>
    <t>Sromis danaxarji</t>
  </si>
  <si>
    <t>santeqnikuri mowyobilobebis montaJi</t>
  </si>
  <si>
    <t>saerTo samSeneblo samuSaoebi</t>
  </si>
  <si>
    <t>3</t>
  </si>
  <si>
    <t xml:space="preserve">iatakis mopirkeTeba metlaxis filiT </t>
  </si>
  <si>
    <t>keramikuli filis plintusis mowyoba</t>
  </si>
  <si>
    <t>wvrilmarcvlovani         betoni b.25</t>
  </si>
  <si>
    <t>cali</t>
  </si>
  <si>
    <t>amwe saavtomobilo svlaze 6,3t</t>
  </si>
  <si>
    <t>jalambari (libiotka) 3t  eleqtroreversiuli</t>
  </si>
  <si>
    <t>m3</t>
  </si>
  <si>
    <t>cementis xsnari m-200</t>
  </si>
  <si>
    <t>samSeneblo narCenebis Segroveba, gamotana, avtoTviTmclelze dasatvirTavad</t>
  </si>
  <si>
    <t>samSeneblo nagvis datvirTva xeliT avtoTviTmclelze</t>
  </si>
  <si>
    <t>k/sT</t>
  </si>
  <si>
    <t>liTonis profilebi</t>
  </si>
  <si>
    <t>grZ.m.</t>
  </si>
  <si>
    <t>samSeneblo WanWiki</t>
  </si>
  <si>
    <t>kg.</t>
  </si>
  <si>
    <t>metaloplastmasis fanjris rafa 20-30sm</t>
  </si>
  <si>
    <t>შრომის დანახარჯი</t>
  </si>
  <si>
    <t>კაც/სთ</t>
  </si>
  <si>
    <t>ლარი</t>
  </si>
  <si>
    <t>სხვა მასალები</t>
  </si>
  <si>
    <t>გ/მ</t>
  </si>
  <si>
    <t xml:space="preserve"> სხვა მანქანები</t>
  </si>
  <si>
    <t>სხვა მანქანები</t>
  </si>
  <si>
    <t>xvrelebis gamotexva</t>
  </si>
  <si>
    <t>adg.</t>
  </si>
  <si>
    <t xml:space="preserve">sxva manqana  </t>
  </si>
  <si>
    <t>xvrelebis aRdgena cementis xsnariT</t>
  </si>
  <si>
    <t>samSeneblo lursmani</t>
  </si>
  <si>
    <t>plastikati b=25 feradi</t>
  </si>
  <si>
    <t>plastikatis Sekiduli Weris mowyoba (feradi)</t>
  </si>
  <si>
    <t>მილების პლასტმასის სამაგრი დეტალები</t>
  </si>
  <si>
    <t>სფერული ვენტილების მონტაჟი</t>
  </si>
  <si>
    <t xml:space="preserve">პოლიეთილენის  ფასონური ნაწილების მოწყობა </t>
  </si>
  <si>
    <t>სხვა მასალა</t>
  </si>
  <si>
    <t>სფერული ვენტილი დ= 20 მმ</t>
  </si>
  <si>
    <t>man.</t>
  </si>
  <si>
    <t>კომპ</t>
  </si>
  <si>
    <t>ხელსაბანebis montaJi</t>
  </si>
  <si>
    <t>wylis შემრევebიs montaJi</t>
  </si>
  <si>
    <t>trapebis montaJi</t>
  </si>
  <si>
    <t>sakanalizacio plastmasis milebis damontaJeba 50 mm</t>
  </si>
  <si>
    <t>plasmasis mili d=100mm</t>
  </si>
  <si>
    <t>m</t>
  </si>
  <si>
    <t>სამგრი დეტალები</t>
  </si>
  <si>
    <t>კგ</t>
  </si>
  <si>
    <t>sakanalizacio plastmasis milebis damontaJeba 100 mm</t>
  </si>
  <si>
    <t>milsadenis gidravlikuri gamocda</t>
  </si>
  <si>
    <t>100 g/m</t>
  </si>
  <si>
    <t>wyali</t>
  </si>
  <si>
    <t>კ/სთ</t>
  </si>
  <si>
    <t>გრძ.მ.</t>
  </si>
  <si>
    <t>maq/sT</t>
  </si>
  <si>
    <t>SromiTi resursebi</t>
  </si>
  <si>
    <t>saStepselo rozetebis montaJi</t>
  </si>
  <si>
    <t xml:space="preserve">hidravlikuri amwevi </t>
  </si>
  <si>
    <t>amwevi anZuri tvirTamweobiT 0.5 t</t>
  </si>
  <si>
    <t>Senobis el montaJi</t>
  </si>
  <si>
    <t>samSeneblo narCenebis Segroveba, gamotana, avtoTviTmclelze        dasatvirTavad</t>
  </si>
  <si>
    <t>normatiuli resursi</t>
  </si>
  <si>
    <t>erTeulze</t>
  </si>
  <si>
    <t>m/sT</t>
  </si>
  <si>
    <t>RorRi</t>
  </si>
  <si>
    <t>xis masala</t>
  </si>
  <si>
    <t>t</t>
  </si>
  <si>
    <t>kac.sT.</t>
  </si>
  <si>
    <t>alebastri</t>
  </si>
  <si>
    <t xml:space="preserve">Senobis Sida kar fanjrebis ferdoebis Selesva qviSa-cementis xsnariT </t>
  </si>
  <si>
    <t>mavTulis bade</t>
  </si>
  <si>
    <t>wylis შემრევი xelsabanis</t>
  </si>
  <si>
    <t>arsebul kanalizaciis qselSi SeWra (makompleqtebeli nawilebiT)</t>
  </si>
  <si>
    <t>SeWra</t>
  </si>
  <si>
    <t>gazinTuli ZenZi</t>
  </si>
  <si>
    <t>II</t>
  </si>
  <si>
    <t>III</t>
  </si>
  <si>
    <t>qviSa xreSi</t>
  </si>
  <si>
    <t>fuga (Semavsebeli)</t>
  </si>
  <si>
    <t>xsnaris tumbo  1 kbm/sT</t>
  </si>
  <si>
    <t>xsnaris tumbo  3kbm/sT</t>
  </si>
  <si>
    <t>6</t>
  </si>
  <si>
    <t>Senobis Sida wyalsadenisa da kanalizaciis qselis montaJis samuSaoebi</t>
  </si>
  <si>
    <t>10</t>
  </si>
  <si>
    <t>1</t>
  </si>
  <si>
    <t>2</t>
  </si>
  <si>
    <t>4</t>
  </si>
  <si>
    <t>7</t>
  </si>
  <si>
    <t>0,024</t>
  </si>
  <si>
    <t>0,628</t>
  </si>
  <si>
    <t>gamanawilebeli kolofebis montaJi</t>
  </si>
  <si>
    <t>plasmasis mili d=50mm</t>
  </si>
  <si>
    <t>metlaxis fila</t>
  </si>
  <si>
    <t>Senobis Sida da gare wyalsadenisa da kanalizaciis qselis montaJi</t>
  </si>
  <si>
    <t>el.ganaTebis  qselis montaJi</t>
  </si>
  <si>
    <t>zedmeti gruntis transportireba 10km manZilze da gatana</t>
  </si>
  <si>
    <t>ხელსაბამი fexiT qaSanuris,sifoniT, ori drekadi miliT d-15 l=40sm</t>
  </si>
  <si>
    <t>trapi plastmasis d=100mm</t>
  </si>
  <si>
    <t>sul danaxarjebi</t>
  </si>
  <si>
    <t>#2</t>
  </si>
  <si>
    <t>zedmeti gruntis datvirTva xeliT avtoTviTmclelze</t>
  </si>
  <si>
    <t>iatakebis moWimva cementis xsnariT              m-200 30mm</t>
  </si>
  <si>
    <t>Zalovani eleqtro qselis montaJi</t>
  </si>
  <si>
    <t>11</t>
  </si>
  <si>
    <t xml:space="preserve"> Senobis reabilitaciisaTvis saWiro Sida sademontaJi samuSaoebi</t>
  </si>
  <si>
    <r>
      <t>m</t>
    </r>
    <r>
      <rPr>
        <vertAlign val="superscript"/>
        <sz val="10"/>
        <rFont val="AcadNusx"/>
      </rPr>
      <t>3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</si>
  <si>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</si>
  <si>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</si>
  <si>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2</t>
    </r>
  </si>
  <si>
    <t>13</t>
  </si>
  <si>
    <t>15</t>
  </si>
  <si>
    <t>16</t>
  </si>
  <si>
    <t>14</t>
  </si>
  <si>
    <t>Senobis Sida wyalsadenisa da kanalizaciis qselis montaJi</t>
  </si>
  <si>
    <t>lk 1-1</t>
  </si>
  <si>
    <t>lk 1-2</t>
  </si>
  <si>
    <t>lk 1-3</t>
  </si>
  <si>
    <t>სულ ხარჯთაღრიცხვით               #1-1</t>
  </si>
  <si>
    <t xml:space="preserve">samSeneblo nagvis gatana 5 km-ze </t>
  </si>
  <si>
    <t>qviSa-cementis xsnari                                m-100</t>
  </si>
  <si>
    <t>qviSa-cementis xsnari                                 m-100</t>
  </si>
  <si>
    <t>ცივი წყლის პლ polipropilenis მილების მოntaJi d-20</t>
  </si>
  <si>
    <t>მილი პლ. Ppolipropilenis              d-20</t>
  </si>
  <si>
    <t>Sida kedlebis cementis xsnariT lesvis demontaJi</t>
  </si>
  <si>
    <t>keTilmowyobis samuSaoebi</t>
  </si>
  <si>
    <t>Senobis Sida kedlebis Selesva qviSa-cementis xsnariT</t>
  </si>
  <si>
    <r>
      <rPr>
        <b/>
        <sz val="11"/>
        <color theme="1"/>
        <rFont val="Calibri"/>
        <family val="2"/>
        <charset val="204"/>
        <scheme val="minor"/>
      </rPr>
      <t xml:space="preserve"> WC</t>
    </r>
    <r>
      <rPr>
        <b/>
        <sz val="11"/>
        <color theme="1"/>
        <rFont val="AcadNusx"/>
      </rPr>
      <t>-Si kedlebis mopirketeba keramikuli filiT               kafeliT</t>
    </r>
  </si>
  <si>
    <t>Turquli jami</t>
  </si>
  <si>
    <t>Turquli jamis montaJi</t>
  </si>
  <si>
    <t xml:space="preserve">fasonuri nawilebis montaJi </t>
  </si>
  <si>
    <t>xis iatakis demontaJi</t>
  </si>
  <si>
    <t>wvrili samSeneblo bloki 39X19X19</t>
  </si>
  <si>
    <t>cementis xsnari m-100</t>
  </si>
  <si>
    <t>metaloplastmasis karebis blokebis mowyoba (TeTri,   6 sm sisqis,ormagi minapaketi)</t>
  </si>
  <si>
    <t>metaloplastmasis fanjris blokebis mowyoba (TeTri,    6 sm sisqis,ormagi minapaketi)</t>
  </si>
  <si>
    <t>wvrili samSeneblo bloki 39X19X10</t>
  </si>
  <si>
    <r>
      <t xml:space="preserve"> plintusi laminirebuli           </t>
    </r>
    <r>
      <rPr>
        <sz val="10"/>
        <color theme="1"/>
        <rFont val="Calibri"/>
        <family val="2"/>
        <charset val="204"/>
        <scheme val="minor"/>
      </rPr>
      <t>h</t>
    </r>
    <r>
      <rPr>
        <sz val="10"/>
        <color theme="1"/>
        <rFont val="AcadNusx"/>
      </rPr>
      <t xml:space="preserve">=5-7 sm, sisqiT 2,5mm    </t>
    </r>
  </si>
  <si>
    <t>TabaSirmuyaos  Sekiduli Weris damuSaveba da           SeRebva emulsiurio saRebaviT</t>
  </si>
  <si>
    <t xml:space="preserve">TabaSirmuyaos fiTxi </t>
  </si>
  <si>
    <t>zumfara</t>
  </si>
  <si>
    <t>emulsiuri saRebavi</t>
  </si>
  <si>
    <t xml:space="preserve">fiTxi </t>
  </si>
  <si>
    <t>Sida kedlebis damuSaveba da SeRebva emulsiuri saRebaviT</t>
  </si>
  <si>
    <t xml:space="preserve">qafplastis Weris karnizis mowyoba             </t>
  </si>
  <si>
    <t>nestgamZle TabaSirmuyaos Sekiduli Weris mowyoba</t>
  </si>
  <si>
    <t>TabaSir_muyaos fila  nestgamZle</t>
  </si>
  <si>
    <t xml:space="preserve">sxva masalebi  </t>
  </si>
  <si>
    <t>unitazisa da xelsabanis kompleqti SSmp pirTaTvis</t>
  </si>
  <si>
    <t xml:space="preserve">SSmp pirTaTvis unitazisa da xelsabanis kompleqtis montaJi </t>
  </si>
  <si>
    <t>III kategoriis gruntis damuSaveba xeliT, milis montaJisaTvis</t>
  </si>
  <si>
    <t xml:space="preserve">wyalsadenis pl milis qveS qviSis safaris mowyoba  </t>
  </si>
  <si>
    <t>qviSa Savi</t>
  </si>
  <si>
    <t>gruntis ukuCayra</t>
  </si>
  <si>
    <r>
      <t xml:space="preserve">arsebul wylis qselSi SeWra </t>
    </r>
    <r>
      <rPr>
        <sz val="11"/>
        <rFont val="AcadNusx"/>
      </rPr>
      <t>(makompleqtebeli nawilebiT)</t>
    </r>
  </si>
  <si>
    <t>fasonuri nawilebi</t>
  </si>
  <si>
    <t xml:space="preserve">tranSeas mowyoba xeliT milebis montaJisaTvis </t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</si>
  <si>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</si>
  <si>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t>betoni ბ.7,5  (m-100)</t>
  </si>
  <si>
    <t>wyalsadenis Sida qselis montaJi</t>
  </si>
  <si>
    <t>kanalizaciis Sida qselis montaJi</t>
  </si>
  <si>
    <t>1V</t>
  </si>
  <si>
    <t>V</t>
  </si>
  <si>
    <t>sanaTebis montaJi</t>
  </si>
  <si>
    <t>CamrTvelebis montaJi</t>
  </si>
  <si>
    <t>spilenZis sadenis    montaJi</t>
  </si>
  <si>
    <t>5,1</t>
  </si>
  <si>
    <t>anakrebi rk/betonis Wis mosawyobad qvabulis mowyoba</t>
  </si>
  <si>
    <r>
      <t>m</t>
    </r>
    <r>
      <rPr>
        <vertAlign val="superscript"/>
        <sz val="9"/>
        <rFont val="AcadNusx"/>
      </rPr>
      <t>3</t>
    </r>
  </si>
  <si>
    <t>5,2</t>
  </si>
  <si>
    <r>
      <t>anakrebi rk/betonis Wis montaJi</t>
    </r>
    <r>
      <rPr>
        <sz val="10"/>
        <rFont val="AcadNusx"/>
      </rPr>
      <t xml:space="preserve"> </t>
    </r>
  </si>
  <si>
    <r>
      <t>anakrebi Wis rgolebi</t>
    </r>
    <r>
      <rPr>
        <sz val="10"/>
        <rFont val="Calibri"/>
        <family val="2"/>
        <charset val="204"/>
        <scheme val="minor"/>
      </rPr>
      <t xml:space="preserve">               Ø</t>
    </r>
    <r>
      <rPr>
        <sz val="10"/>
        <rFont val="AcadNusx"/>
      </rPr>
      <t>1000mm;</t>
    </r>
    <r>
      <rPr>
        <sz val="10"/>
        <rFont val="Calibri"/>
        <family val="2"/>
        <charset val="204"/>
        <scheme val="minor"/>
      </rPr>
      <t xml:space="preserve"> H</t>
    </r>
    <r>
      <rPr>
        <sz val="10"/>
        <rFont val="AcadNusx"/>
      </rPr>
      <t>=1.0m</t>
    </r>
  </si>
  <si>
    <t>bitumis emulsia</t>
  </si>
  <si>
    <t>gruntis datvirTva xeliT           avtoTviTmclelze</t>
  </si>
  <si>
    <t>kanalizaciis anakrebi rk betonis Webis mowyoba</t>
  </si>
  <si>
    <t>tranSeis Sevseba         RorRiT</t>
  </si>
  <si>
    <t>anakrebi rk/betonis rgoli d=1,0m</t>
  </si>
  <si>
    <t>armatura a-3</t>
  </si>
  <si>
    <r>
      <t xml:space="preserve">wyalsadenis rk/betonis anakrebi wriuli Wis mowyoba  </t>
    </r>
    <r>
      <rPr>
        <b/>
        <sz val="11"/>
        <rFont val="Arial"/>
        <family val="2"/>
      </rPr>
      <t>D</t>
    </r>
    <r>
      <rPr>
        <b/>
        <sz val="11"/>
        <rFont val="AcadNusx"/>
      </rPr>
      <t xml:space="preserve">=1m, </t>
    </r>
  </si>
  <si>
    <t>Wis Ziris rk.bet fila  1,2*1,2*0,18</t>
  </si>
  <si>
    <t>betoni m100-150</t>
  </si>
  <si>
    <t>rk betonis fila Tujis mrgvali xufiT da CarCoTi</t>
  </si>
  <si>
    <t>betoni ბ.15</t>
  </si>
  <si>
    <r>
      <t xml:space="preserve">q.dmanisSi #1 sajaro skolis SenobaSi </t>
    </r>
    <r>
      <rPr>
        <b/>
        <sz val="11"/>
        <color theme="1"/>
        <rFont val="Calibri"/>
        <family val="2"/>
        <charset val="204"/>
        <scheme val="minor"/>
      </rPr>
      <t>WC</t>
    </r>
    <r>
      <rPr>
        <b/>
        <sz val="11"/>
        <color theme="1"/>
        <rFont val="AcadNusx"/>
      </rPr>
      <t>-s reabilitaciis samuSaoebi</t>
    </r>
  </si>
  <si>
    <t>Senobis kedelSi karis Riobis mowyoba</t>
  </si>
  <si>
    <t>karebis blokebis demontaJi</t>
  </si>
  <si>
    <t>fanjris blokebis demontaJi</t>
  </si>
  <si>
    <t>teritoriaze arsebuli gare tualetis Senobis demontaJi</t>
  </si>
  <si>
    <t>Senobis blokis wyobis kedlebis demontaJi</t>
  </si>
  <si>
    <t>Senobis betonis saZirkvlis demontaJi</t>
  </si>
  <si>
    <t>8,1</t>
  </si>
  <si>
    <t>8,2</t>
  </si>
  <si>
    <t>gare da Sida Riobebis Sevseba  metaloplastmasis fanjrisa da karebis    blokebiT</t>
  </si>
  <si>
    <t xml:space="preserve">samSeneblo nagvis gatana 10 km-ze </t>
  </si>
  <si>
    <t xml:space="preserve">I sarTulis tixrebis mowyoba, fanjris Riobebis amoSeneba framokebad, mcire samSeneblo blokiT                                   </t>
  </si>
  <si>
    <r>
      <t xml:space="preserve">Sida tixrebis mowyoba mcire samSeneblo blokiT                                                  </t>
    </r>
    <r>
      <rPr>
        <sz val="10"/>
        <color theme="1"/>
        <rFont val="AcadNusx"/>
      </rPr>
      <t>(I, II da III sarTulebze tixrebi)</t>
    </r>
  </si>
  <si>
    <r>
      <t xml:space="preserve">metaloplastmasis rafebis mowyoba  </t>
    </r>
    <r>
      <rPr>
        <sz val="11"/>
        <rFont val="AcadNusx"/>
      </rPr>
      <t>(arsebul da axal Riobebze)</t>
    </r>
  </si>
  <si>
    <r>
      <t xml:space="preserve">ჭურჭლის სარეცხelი </t>
    </r>
    <r>
      <rPr>
        <sz val="10"/>
        <rFont val="AcadNusx"/>
      </rPr>
      <t>(laminirebuli karadiT )</t>
    </r>
  </si>
  <si>
    <t xml:space="preserve">ჭურჭლის სარეცხelი uJangavi erTseqciani, laminirebuli karadiT </t>
  </si>
  <si>
    <t>kanalizaciis gare qseli              (d-200 pl)</t>
  </si>
  <si>
    <t>m.S. gruntSi</t>
  </si>
  <si>
    <r>
      <t xml:space="preserve">kanalizaciis pl milis montaJi 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200mm (m.S.15,0g/m sardafis Werzwe Sekidva)</t>
    </r>
  </si>
  <si>
    <t>wylis შემრევი samzareulos</t>
  </si>
  <si>
    <t>Zalovani farebisa da qvefarebis montaJi</t>
  </si>
  <si>
    <t>მანქ /სთ</t>
  </si>
  <si>
    <r>
      <t>el.gamanawilebeli karada 6 moduliani 380-220 v; dacvis klasi</t>
    </r>
    <r>
      <rPr>
        <b/>
        <sz val="10"/>
        <color theme="1"/>
        <rFont val="Calibri"/>
        <family val="2"/>
        <charset val="204"/>
        <scheme val="minor"/>
      </rPr>
      <t xml:space="preserve"> IP 31</t>
    </r>
  </si>
  <si>
    <r>
      <t>avtomaturi amomrTveli  
220 v/10 a; el.karada С10</t>
    </r>
    <r>
      <rPr>
        <sz val="10"/>
        <color theme="1"/>
        <rFont val="Calibri"/>
        <family val="2"/>
        <charset val="204"/>
        <scheme val="minor"/>
      </rPr>
      <t xml:space="preserve">            C/10A</t>
    </r>
  </si>
  <si>
    <r>
      <rPr>
        <sz val="10"/>
        <rFont val="AcadNusx"/>
      </rPr>
      <t xml:space="preserve">saStefselo rozeti damiwebiT </t>
    </r>
    <r>
      <rPr>
        <sz val="10"/>
        <rFont val="Calibri"/>
        <family val="2"/>
        <charset val="204"/>
        <scheme val="minor"/>
      </rPr>
      <t>250v/16a;</t>
    </r>
    <r>
      <rPr>
        <sz val="10"/>
        <rFont val="AcadNusx"/>
      </rPr>
      <t xml:space="preserve"> dacvis klasi</t>
    </r>
    <r>
      <rPr>
        <sz val="10"/>
        <rFont val="Calibri"/>
        <family val="2"/>
        <charset val="204"/>
        <scheme val="minor"/>
      </rPr>
      <t xml:space="preserve"> IP 44</t>
    </r>
  </si>
  <si>
    <r>
      <rPr>
        <sz val="10"/>
        <rFont val="AcadNusx"/>
      </rPr>
      <t>saSrefselo komutaciis kolofi dacvis klasi</t>
    </r>
    <r>
      <rPr>
        <sz val="10"/>
        <rFont val="Calibri"/>
        <family val="2"/>
        <charset val="204"/>
        <scheme val="minor"/>
      </rPr>
      <t xml:space="preserve"> IP 44</t>
    </r>
  </si>
  <si>
    <r>
      <t>erTklaviSiani CamrTveli
250v/10a; dacvis klasi</t>
    </r>
    <r>
      <rPr>
        <sz val="10"/>
        <rFont val="Calibri"/>
        <family val="2"/>
        <charset val="204"/>
        <scheme val="minor"/>
      </rPr>
      <t xml:space="preserve"> IP 44</t>
    </r>
  </si>
  <si>
    <r>
      <t>orklaviSiani CamrTveli
250v/10a; dacvis klasi</t>
    </r>
    <r>
      <rPr>
        <sz val="10"/>
        <rFont val="Calibri"/>
        <family val="2"/>
        <charset val="204"/>
        <scheme val="minor"/>
      </rPr>
      <t xml:space="preserve"> IP 45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</si>
  <si>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0"/>
        <rFont val="AcadNusx"/>
      </rPr>
      <t xml:space="preserve">nest-gaumtari dioduri wertilovani
wriuli sanaTi 15 vat
dacvis klasi </t>
    </r>
    <r>
      <rPr>
        <sz val="10"/>
        <rFont val="Calibri"/>
        <family val="2"/>
        <charset val="204"/>
        <scheme val="minor"/>
      </rPr>
      <t>IP 55</t>
    </r>
  </si>
  <si>
    <r>
      <rPr>
        <sz val="10"/>
        <rFont val="AcadNusx"/>
      </rPr>
      <t>nest-gaumtari dioduri bra gareganaTebis
wriuli san 25 vat
dacvis klasi</t>
    </r>
    <r>
      <rPr>
        <sz val="10"/>
        <rFont val="Calibri"/>
        <family val="2"/>
        <charset val="204"/>
        <scheme val="minor"/>
      </rPr>
      <t xml:space="preserve"> IP 65</t>
    </r>
  </si>
  <si>
    <t>kabeli spilenZis ZarRviani uwvadi aratoqsikuri saizolacio masaliT                     ВВГ НГ 3*4 mm2</t>
  </si>
  <si>
    <t>kabeli spilenZis ZarRviani uwvadi aratoqsikuri saizolacio masaliT                     ВВГ НГ 3*2,5 mm2</t>
  </si>
  <si>
    <t>kabeli spilenZis ZarRviani uwvadi aratoqsikuri saizolacio masaliT                     ВВГ НГ 3*1,5 mm3</t>
  </si>
  <si>
    <t>golfrirebuli saizolacio mili ∅32 mm</t>
  </si>
  <si>
    <t>golfrirebuli saizolacio mili ∅20 mm</t>
  </si>
  <si>
    <t>golfrirebuli saizolacio mili ∅16 mm</t>
  </si>
  <si>
    <t>haeris gamwovis montaJi</t>
  </si>
  <si>
    <r>
      <t>haeris gamwovi 220v/25 vat
250m3/sT;dacvis klasi</t>
    </r>
    <r>
      <rPr>
        <sz val="10"/>
        <rFont val="Calibri"/>
        <family val="2"/>
        <charset val="204"/>
        <scheme val="minor"/>
      </rPr>
      <t xml:space="preserve"> IP 44</t>
    </r>
  </si>
  <si>
    <r>
      <t xml:space="preserve">amomrTveli avtomati  
250v/25 a; el.karada                  </t>
    </r>
    <r>
      <rPr>
        <sz val="10"/>
        <color theme="1"/>
        <rFont val="Calibri"/>
        <family val="2"/>
        <charset val="204"/>
        <scheme val="minor"/>
      </rPr>
      <t>250 v  2 P C25A</t>
    </r>
  </si>
  <si>
    <r>
      <t>diferencirebuli avtomaturi amomrTveli  
220 v/16 a; el.karada С16</t>
    </r>
    <r>
      <rPr>
        <sz val="10"/>
        <color theme="1"/>
        <rFont val="Calibri"/>
        <family val="2"/>
        <charset val="204"/>
        <scheme val="minor"/>
      </rPr>
      <t xml:space="preserve">   30мА           QDS 16/ 30mA</t>
    </r>
  </si>
  <si>
    <r>
      <t>diferencirebuli avtomaturi amomrTveli  
220 v/16 a; el.karada С16</t>
    </r>
    <r>
      <rPr>
        <sz val="10"/>
        <color theme="1"/>
        <rFont val="Calibri"/>
        <family val="2"/>
        <charset val="204"/>
        <scheme val="minor"/>
      </rPr>
      <t xml:space="preserve">    30мА         QDS 16/ 30mA</t>
    </r>
  </si>
  <si>
    <t>ცივი წყლის პლ polipropilenis მილების მოntaJi d-32</t>
  </si>
  <si>
    <t>მილი პლ. Ppolipropilenis              d-32</t>
  </si>
  <si>
    <t>სფერული ვენტილი დ= 32 მმ</t>
  </si>
  <si>
    <t>ventili 3/8 "</t>
  </si>
  <si>
    <r>
      <t xml:space="preserve">polipropilenis muxli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-20 90</t>
    </r>
    <r>
      <rPr>
        <vertAlign val="superscript"/>
        <sz val="11"/>
        <rFont val="AcadNusx"/>
      </rPr>
      <t>0</t>
    </r>
  </si>
  <si>
    <r>
      <t xml:space="preserve">polipropilenis muxli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-32 90</t>
    </r>
    <r>
      <rPr>
        <vertAlign val="superscript"/>
        <sz val="11"/>
        <rFont val="AcadNusx"/>
      </rPr>
      <t>0</t>
    </r>
  </si>
  <si>
    <r>
      <t xml:space="preserve">polipropilenis samkapi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-20*20*20</t>
    </r>
  </si>
  <si>
    <r>
      <t xml:space="preserve">polipropilenis samkapi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-32*32*32</t>
    </r>
  </si>
  <si>
    <r>
      <t xml:space="preserve">polipropilenis gadamyvani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-32*20</t>
    </r>
  </si>
  <si>
    <r>
      <t xml:space="preserve">polipropilenis quro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-20 milisaTvis</t>
    </r>
  </si>
  <si>
    <r>
      <t xml:space="preserve">polipropilenis quro         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-32 milisaTvis</t>
    </r>
  </si>
  <si>
    <r>
      <t xml:space="preserve">quro polipropilenis metali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-20/ 1/2"  milisaTvis</t>
    </r>
  </si>
  <si>
    <t>fumi didi</t>
  </si>
  <si>
    <t>gamwmendi d-100</t>
  </si>
  <si>
    <t>gadamyvani pl.kan d-100*50</t>
  </si>
  <si>
    <r>
      <t>samkapi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             d-100*50*100</t>
    </r>
  </si>
  <si>
    <r>
      <t>samkapi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             d-100*100*100</t>
    </r>
  </si>
  <si>
    <r>
      <t>samkapi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d-50*50*50 </t>
    </r>
  </si>
  <si>
    <r>
      <t>muxli 45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d-50 milebisaTvis</t>
    </r>
  </si>
  <si>
    <r>
      <t>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d-100 milebisaTvis</t>
    </r>
  </si>
  <si>
    <r>
      <t>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pl.kan d-50 milebisaTvis</t>
    </r>
  </si>
  <si>
    <r>
      <t>gamanawilebeli kolofi
dacvis klasi</t>
    </r>
    <r>
      <rPr>
        <sz val="10"/>
        <rFont val="Calibri"/>
        <family val="2"/>
        <charset val="204"/>
        <scheme val="minor"/>
      </rPr>
      <t xml:space="preserve"> IP 44</t>
    </r>
  </si>
  <si>
    <t>satransporto xarjebi (masalis Rirebulebidan)</t>
  </si>
  <si>
    <t>სულ ხარჯთაღრიცხვით               #1-2</t>
  </si>
  <si>
    <t>სულ ხარჯთაღრიცხვით    #1-3                                            sul  I--V Tavebi</t>
  </si>
  <si>
    <t>მილის gadamyvani d-200</t>
  </si>
  <si>
    <r>
      <t xml:space="preserve">kanalizaciis pl gofrirebuli mili                         d-200 </t>
    </r>
    <r>
      <rPr>
        <sz val="11"/>
        <rFont val="Calibri"/>
        <family val="2"/>
        <charset val="204"/>
        <scheme val="minor"/>
      </rPr>
      <t xml:space="preserve">PN </t>
    </r>
    <r>
      <rPr>
        <sz val="11"/>
        <rFont val="AcadNusx"/>
      </rPr>
      <t>8</t>
    </r>
  </si>
  <si>
    <r>
      <t xml:space="preserve">q.dmanisSi #1 sajaro skolis SenobaSi </t>
    </r>
    <r>
      <rPr>
        <b/>
        <sz val="10"/>
        <color theme="1"/>
        <rFont val="Calibri"/>
        <family val="2"/>
        <charset val="204"/>
        <scheme val="minor"/>
      </rPr>
      <t>WC</t>
    </r>
    <r>
      <rPr>
        <b/>
        <sz val="10"/>
        <color theme="1"/>
        <rFont val="AcadNusx"/>
      </rPr>
      <t>-s reabilitaciis samuSaoebi</t>
    </r>
  </si>
  <si>
    <r>
      <t xml:space="preserve">q.dmanisSi #1 sajaro skolis SenobaSi </t>
    </r>
    <r>
      <rPr>
        <b/>
        <sz val="12"/>
        <color theme="1"/>
        <rFont val="Calibri"/>
        <family val="2"/>
        <charset val="204"/>
        <scheme val="minor"/>
      </rPr>
      <t>WC</t>
    </r>
    <r>
      <rPr>
        <b/>
        <sz val="12"/>
        <color theme="1"/>
        <rFont val="AcadNusx"/>
      </rPr>
      <t>-s reabilitaciis samuSaoebi</t>
    </r>
  </si>
  <si>
    <t>wyalmomaragebis gare qseli  (d-32)</t>
  </si>
  <si>
    <t>anakrebi rk.betonis Webis gidroizolacia bitumis emulsiiT</t>
  </si>
  <si>
    <t>anakrebi rk betonis Webis mowyoba</t>
  </si>
  <si>
    <t xml:space="preserve">gruntis gatana 10km-ze </t>
  </si>
  <si>
    <t>zednadebi xarjebi                 (muSa mosamsaxureTa ZiriTadi xelfasidan)</t>
  </si>
  <si>
    <t>gegmiuri dagroveba</t>
  </si>
  <si>
    <t>8,4</t>
  </si>
  <si>
    <t>4,1</t>
  </si>
  <si>
    <t>4,2</t>
  </si>
  <si>
    <t>6,1</t>
  </si>
  <si>
    <t>6,2</t>
  </si>
  <si>
    <t>12</t>
  </si>
  <si>
    <t>%</t>
  </si>
  <si>
    <t>დანართი 2</t>
  </si>
  <si>
    <t>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</si>
</sst>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_-* #,##0.00\ _L_a_r_i_-;\-* #,##0.00\ _L_a_r_i_-;_-* &quot;-&quot;??\ _L_a_r_i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0.0000"/>
  </numFmts>
  <fonts count="8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vertAlign val="superscript"/>
      <sz val="10"/>
      <name val="AcadNusx"/>
    </font>
    <font>
      <sz val="10"/>
      <color rgb="FF000000"/>
      <name val="AcadNusx"/>
    </font>
    <font>
      <sz val="11"/>
      <color rgb="FF000000"/>
      <name val="AcadNusx"/>
    </font>
    <font>
      <sz val="10"/>
      <name val="Calibri"/>
      <family val="2"/>
      <charset val="204"/>
      <scheme val="minor"/>
    </font>
    <font>
      <sz val="9"/>
      <color theme="1"/>
      <name val="AcadNusx"/>
    </font>
    <font>
      <b/>
      <sz val="10"/>
      <color rgb="FF000000"/>
      <name val="AcadNusx"/>
    </font>
    <font>
      <b/>
      <sz val="10"/>
      <color theme="1"/>
      <name val="Calibri"/>
      <family val="2"/>
      <charset val="204"/>
      <scheme val="minor"/>
    </font>
    <font>
      <sz val="9"/>
      <name val="AcadNusx"/>
    </font>
    <font>
      <b/>
      <sz val="9"/>
      <name val="AcadNusx"/>
    </font>
    <font>
      <b/>
      <vertAlign val="superscript"/>
      <sz val="10"/>
      <name val="AcadNusx"/>
    </font>
    <font>
      <b/>
      <sz val="10"/>
      <color theme="0"/>
      <name val="AcadNusx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</font>
    <font>
      <vertAlign val="superscript"/>
      <sz val="9"/>
      <name val="AcadNusx"/>
    </font>
    <font>
      <b/>
      <sz val="11"/>
      <name val="Arial"/>
      <family val="2"/>
    </font>
    <font>
      <sz val="11"/>
      <name val="Grigolia"/>
    </font>
    <font>
      <b/>
      <sz val="10"/>
      <name val="Arial"/>
      <family val="2"/>
      <charset val="204"/>
    </font>
    <font>
      <vertAlign val="superscript"/>
      <sz val="11"/>
      <name val="AcadNusx"/>
    </font>
    <font>
      <b/>
      <sz val="12"/>
      <color theme="1"/>
      <name val="Calibri"/>
      <family val="2"/>
      <charset val="204"/>
      <scheme val="minor"/>
    </font>
    <font>
      <sz val="12"/>
      <name val="AcadNusx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8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0" fontId="15" fillId="0" borderId="0"/>
    <xf numFmtId="0" fontId="16" fillId="0" borderId="0"/>
    <xf numFmtId="0" fontId="17" fillId="0" borderId="0"/>
    <xf numFmtId="0" fontId="21" fillId="0" borderId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2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2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43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4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26" fillId="27" borderId="8" applyNumberFormat="0" applyAlignment="0" applyProtection="0"/>
    <xf numFmtId="0" fontId="45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0" fontId="27" fillId="28" borderId="9" applyNumberFormat="0" applyAlignment="0" applyProtection="0"/>
    <xf numFmtId="43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58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1" fillId="0" borderId="0" applyFont="0" applyFill="0" applyBorder="0" applyAlignment="0" applyProtection="0"/>
    <xf numFmtId="166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8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49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50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33" fillId="14" borderId="8" applyNumberFormat="0" applyAlignment="0" applyProtection="0"/>
    <xf numFmtId="0" fontId="52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3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36" fillId="0" borderId="0"/>
    <xf numFmtId="0" fontId="21" fillId="0" borderId="0"/>
    <xf numFmtId="0" fontId="60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61" fillId="0" borderId="0"/>
    <xf numFmtId="0" fontId="15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5" fillId="0" borderId="0"/>
    <xf numFmtId="0" fontId="59" fillId="0" borderId="0"/>
    <xf numFmtId="0" fontId="15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15" fillId="30" borderId="14" applyNumberFormat="0" applyFont="0" applyAlignment="0" applyProtection="0"/>
    <xf numFmtId="0" fontId="54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8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9" fillId="0" borderId="0"/>
    <xf numFmtId="0" fontId="21" fillId="0" borderId="0"/>
    <xf numFmtId="0" fontId="15" fillId="0" borderId="0"/>
    <xf numFmtId="0" fontId="15" fillId="0" borderId="0"/>
    <xf numFmtId="0" fontId="59" fillId="0" borderId="0"/>
    <xf numFmtId="0" fontId="3" fillId="0" borderId="0"/>
    <xf numFmtId="0" fontId="3" fillId="0" borderId="0"/>
    <xf numFmtId="0" fontId="15" fillId="0" borderId="0"/>
    <xf numFmtId="0" fontId="63" fillId="8" borderId="0" applyNumberFormat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0" fontId="59" fillId="0" borderId="0"/>
  </cellStyleXfs>
  <cellXfs count="496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66" fillId="0" borderId="6" xfId="0" applyNumberFormat="1" applyFont="1" applyBorder="1" applyAlignment="1">
      <alignment horizontal="center" vertical="center" wrapText="1"/>
    </xf>
    <xf numFmtId="49" fontId="66" fillId="0" borderId="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4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4" fillId="0" borderId="1" xfId="635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Fill="1"/>
    <xf numFmtId="49" fontId="68" fillId="0" borderId="0" xfId="0" applyNumberFormat="1" applyFont="1" applyFill="1"/>
    <xf numFmtId="49" fontId="64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4" fillId="5" borderId="3" xfId="4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49" fontId="68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9" fontId="66" fillId="0" borderId="1" xfId="0" applyNumberFormat="1" applyFont="1" applyBorder="1" applyAlignment="1">
      <alignment horizontal="center" vertical="center" wrapText="1"/>
    </xf>
    <xf numFmtId="49" fontId="6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64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7" fillId="0" borderId="1" xfId="648" applyNumberFormat="1" applyFont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/>
    </xf>
    <xf numFmtId="0" fontId="7" fillId="0" borderId="1" xfId="88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8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6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4" fillId="2" borderId="3" xfId="0" applyNumberFormat="1" applyFont="1" applyFill="1" applyBorder="1" applyAlignment="1">
      <alignment horizontal="center" vertical="center" wrapText="1"/>
    </xf>
    <xf numFmtId="2" fontId="7" fillId="0" borderId="1" xfId="648" applyNumberFormat="1" applyFont="1" applyFill="1" applyBorder="1" applyAlignment="1">
      <alignment horizontal="center" vertical="center" wrapText="1"/>
    </xf>
    <xf numFmtId="2" fontId="64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64" fillId="2" borderId="1" xfId="648" applyNumberFormat="1" applyFont="1" applyFill="1" applyBorder="1" applyAlignment="1">
      <alignment horizontal="center" vertical="center" wrapText="1"/>
    </xf>
    <xf numFmtId="2" fontId="7" fillId="0" borderId="1" xfId="796" applyNumberFormat="1" applyFont="1" applyFill="1" applyBorder="1" applyAlignment="1">
      <alignment horizontal="center" vertical="center" wrapText="1"/>
    </xf>
    <xf numFmtId="2" fontId="7" fillId="0" borderId="1" xfId="904" applyNumberFormat="1" applyFont="1" applyBorder="1" applyAlignment="1">
      <alignment horizontal="center" vertical="center" wrapText="1"/>
    </xf>
    <xf numFmtId="0" fontId="64" fillId="5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2" fontId="7" fillId="0" borderId="1" xfId="797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4" fillId="0" borderId="1" xfId="0" applyNumberFormat="1" applyFont="1" applyFill="1" applyBorder="1" applyAlignment="1">
      <alignment horizontal="left" vertical="center" wrapText="1"/>
    </xf>
    <xf numFmtId="0" fontId="7" fillId="32" borderId="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66" fillId="0" borderId="7" xfId="0" applyNumberFormat="1" applyFont="1" applyBorder="1" applyAlignment="1">
      <alignment horizontal="center" vertical="center" wrapText="1"/>
    </xf>
    <xf numFmtId="0" fontId="0" fillId="4" borderId="0" xfId="0" applyNumberFormat="1" applyFill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68" fillId="0" borderId="0" xfId="0" applyNumberFormat="1" applyFont="1" applyFill="1" applyAlignment="1">
      <alignment wrapText="1"/>
    </xf>
    <xf numFmtId="0" fontId="7" fillId="0" borderId="1" xfId="635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66" fillId="5" borderId="3" xfId="0" applyNumberFormat="1" applyFont="1" applyFill="1" applyBorder="1" applyAlignment="1">
      <alignment horizontal="center" vertical="center" wrapText="1"/>
    </xf>
    <xf numFmtId="0" fontId="66" fillId="5" borderId="7" xfId="0" applyNumberFormat="1" applyFont="1" applyFill="1" applyBorder="1" applyAlignment="1">
      <alignment horizontal="center" vertical="center" wrapText="1"/>
    </xf>
    <xf numFmtId="2" fontId="70" fillId="33" borderId="7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 applyProtection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72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 applyProtection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49" fontId="64" fillId="6" borderId="1" xfId="0" applyNumberFormat="1" applyFont="1" applyFill="1" applyBorder="1" applyAlignment="1">
      <alignment vertical="center" wrapText="1"/>
    </xf>
    <xf numFmtId="49" fontId="7" fillId="0" borderId="1" xfId="648" applyNumberFormat="1" applyFont="1" applyBorder="1" applyAlignment="1">
      <alignment horizontal="left" vertical="center" wrapText="1"/>
    </xf>
    <xf numFmtId="49" fontId="71" fillId="0" borderId="0" xfId="0" applyNumberFormat="1" applyFont="1"/>
    <xf numFmtId="0" fontId="19" fillId="0" borderId="1" xfId="0" applyNumberFormat="1" applyFont="1" applyBorder="1" applyAlignment="1">
      <alignment horizontal="center" vertical="center" wrapText="1"/>
    </xf>
    <xf numFmtId="0" fontId="68" fillId="0" borderId="4" xfId="0" applyNumberFormat="1" applyFont="1" applyFill="1" applyBorder="1" applyAlignment="1">
      <alignment horizontal="center" vertical="center" wrapText="1"/>
    </xf>
    <xf numFmtId="49" fontId="7" fillId="0" borderId="1" xfId="635" applyNumberFormat="1" applyFont="1" applyFill="1" applyBorder="1" applyAlignment="1">
      <alignment vertical="center" wrapText="1"/>
    </xf>
    <xf numFmtId="49" fontId="73" fillId="0" borderId="1" xfId="635" applyNumberFormat="1" applyFont="1" applyFill="1" applyBorder="1" applyAlignment="1">
      <alignment horizontal="center" vertical="center" wrapText="1"/>
    </xf>
    <xf numFmtId="49" fontId="72" fillId="0" borderId="1" xfId="635" applyNumberFormat="1" applyFont="1" applyFill="1" applyBorder="1" applyAlignment="1">
      <alignment horizontal="center" vertical="center" wrapText="1"/>
    </xf>
    <xf numFmtId="0" fontId="64" fillId="0" borderId="1" xfId="4" applyNumberFormat="1" applyFont="1" applyFill="1" applyBorder="1" applyAlignment="1">
      <alignment horizontal="center" vertical="center" wrapText="1"/>
    </xf>
    <xf numFmtId="2" fontId="7" fillId="0" borderId="1" xfId="798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Alignment="1">
      <alignment horizontal="center" vertical="center" wrapText="1"/>
    </xf>
    <xf numFmtId="49" fontId="7" fillId="0" borderId="1" xfId="635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9" fontId="64" fillId="0" borderId="1" xfId="683" applyNumberFormat="1" applyFont="1" applyFill="1" applyBorder="1" applyAlignment="1">
      <alignment horizontal="center" vertical="center" wrapText="1"/>
    </xf>
    <xf numFmtId="49" fontId="64" fillId="0" borderId="1" xfId="635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66" fillId="5" borderId="7" xfId="0" applyNumberFormat="1" applyFont="1" applyFill="1" applyBorder="1" applyAlignment="1">
      <alignment horizontal="center" vertical="center" wrapText="1"/>
    </xf>
    <xf numFmtId="49" fontId="7" fillId="32" borderId="6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32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6" fillId="0" borderId="6" xfId="0" applyNumberFormat="1" applyFont="1" applyBorder="1" applyAlignment="1">
      <alignment horizontal="center" vertical="center" wrapText="1"/>
    </xf>
    <xf numFmtId="49" fontId="7" fillId="0" borderId="1" xfId="648" applyNumberFormat="1" applyFont="1" applyBorder="1" applyAlignment="1">
      <alignment horizontal="center" vertical="center" wrapText="1"/>
    </xf>
    <xf numFmtId="49" fontId="64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/>
    </xf>
    <xf numFmtId="49" fontId="7" fillId="0" borderId="1" xfId="880" applyNumberFormat="1" applyFont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5" fillId="0" borderId="2" xfId="4" applyNumberFormat="1" applyFont="1" applyFill="1" applyBorder="1" applyAlignment="1">
      <alignment horizontal="center" vertical="center" wrapText="1"/>
    </xf>
    <xf numFmtId="49" fontId="68" fillId="0" borderId="4" xfId="0" applyNumberFormat="1" applyFont="1" applyFill="1" applyBorder="1" applyAlignment="1">
      <alignment horizontal="center" vertical="center" wrapText="1"/>
    </xf>
    <xf numFmtId="0" fontId="75" fillId="0" borderId="1" xfId="4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Alignment="1">
      <alignment wrapText="1"/>
    </xf>
    <xf numFmtId="49" fontId="68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0" fillId="32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 applyProtection="1">
      <alignment vertical="center" wrapText="1"/>
    </xf>
    <xf numFmtId="49" fontId="10" fillId="32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49" fontId="10" fillId="0" borderId="1" xfId="2" applyNumberFormat="1" applyFont="1" applyFill="1" applyBorder="1" applyAlignment="1" applyProtection="1">
      <alignment vertical="center" wrapText="1"/>
    </xf>
    <xf numFmtId="49" fontId="20" fillId="0" borderId="1" xfId="2" applyNumberFormat="1" applyFont="1" applyFill="1" applyBorder="1" applyAlignment="1" applyProtection="1">
      <alignment vertical="center" wrapText="1"/>
    </xf>
    <xf numFmtId="49" fontId="20" fillId="0" borderId="1" xfId="0" applyNumberFormat="1" applyFont="1" applyFill="1" applyBorder="1" applyAlignment="1" applyProtection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20" fillId="7" borderId="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7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49" fontId="67" fillId="0" borderId="1" xfId="0" applyNumberFormat="1" applyFont="1" applyBorder="1" applyAlignment="1">
      <alignment horizontal="left" vertical="center" wrapText="1"/>
    </xf>
    <xf numFmtId="49" fontId="10" fillId="32" borderId="3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2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7" borderId="1" xfId="0" applyNumberFormat="1" applyFont="1" applyFill="1" applyBorder="1" applyAlignment="1">
      <alignment vertical="center" wrapText="1"/>
    </xf>
    <xf numFmtId="0" fontId="10" fillId="32" borderId="7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2" fontId="67" fillId="0" borderId="6" xfId="0" applyNumberFormat="1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20" fillId="2" borderId="1" xfId="4" applyNumberFormat="1" applyFont="1" applyFill="1" applyBorder="1" applyAlignment="1">
      <alignment horizontal="center" vertical="center" wrapText="1"/>
    </xf>
    <xf numFmtId="2" fontId="77" fillId="0" borderId="1" xfId="0" applyNumberFormat="1" applyFont="1" applyFill="1" applyBorder="1" applyAlignment="1">
      <alignment horizontal="center" vertical="center" wrapText="1"/>
    </xf>
    <xf numFmtId="2" fontId="76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20" fillId="2" borderId="2" xfId="4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20" fillId="0" borderId="1" xfId="683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49" fontId="20" fillId="0" borderId="1" xfId="4" applyNumberFormat="1" applyFont="1" applyFill="1" applyBorder="1" applyAlignment="1">
      <alignment vertical="center" wrapText="1"/>
    </xf>
    <xf numFmtId="49" fontId="20" fillId="0" borderId="1" xfId="4" applyNumberFormat="1" applyFont="1" applyFill="1" applyBorder="1" applyAlignment="1">
      <alignment horizontal="left" vertical="center" wrapText="1"/>
    </xf>
    <xf numFmtId="49" fontId="20" fillId="0" borderId="2" xfId="4" applyNumberFormat="1" applyFont="1" applyFill="1" applyBorder="1" applyAlignment="1">
      <alignment horizontal="left" vertical="center" wrapText="1"/>
    </xf>
    <xf numFmtId="49" fontId="20" fillId="0" borderId="3" xfId="0" applyNumberFormat="1" applyFont="1" applyFill="1" applyBorder="1" applyAlignment="1">
      <alignment horizontal="left" vertical="center" wrapText="1"/>
    </xf>
    <xf numFmtId="49" fontId="64" fillId="0" borderId="1" xfId="648" applyNumberFormat="1" applyFont="1" applyBorder="1" applyAlignment="1">
      <alignment horizontal="left" vertical="center" wrapText="1"/>
    </xf>
    <xf numFmtId="49" fontId="64" fillId="5" borderId="1" xfId="0" applyNumberFormat="1" applyFont="1" applyFill="1" applyBorder="1" applyAlignment="1">
      <alignment horizontal="left" vertical="center" wrapText="1"/>
    </xf>
    <xf numFmtId="49" fontId="64" fillId="0" borderId="1" xfId="648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2" fontId="7" fillId="0" borderId="1" xfId="904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7" fontId="20" fillId="5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49" fontId="20" fillId="0" borderId="1" xfId="905" applyNumberFormat="1" applyFont="1" applyFill="1" applyBorder="1" applyAlignment="1">
      <alignment horizontal="left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20" fillId="0" borderId="1" xfId="683" applyNumberFormat="1" applyFont="1" applyFill="1" applyBorder="1" applyAlignment="1">
      <alignment horizontal="left" vertical="center" wrapText="1"/>
    </xf>
    <xf numFmtId="0" fontId="20" fillId="0" borderId="1" xfId="683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 applyProtection="1">
      <alignment vertical="center" wrapText="1"/>
    </xf>
    <xf numFmtId="0" fontId="73" fillId="0" borderId="1" xfId="0" applyNumberFormat="1" applyFont="1" applyFill="1" applyBorder="1" applyAlignment="1" applyProtection="1">
      <alignment horizontal="center" vertical="center" wrapText="1"/>
    </xf>
    <xf numFmtId="0" fontId="72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vertical="center" wrapText="1"/>
    </xf>
    <xf numFmtId="0" fontId="73" fillId="0" borderId="2" xfId="0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635" applyNumberFormat="1" applyFont="1" applyFill="1" applyBorder="1" applyAlignment="1">
      <alignment horizontal="center" vertical="center" wrapText="1"/>
    </xf>
    <xf numFmtId="49" fontId="10" fillId="0" borderId="1" xfId="635" applyNumberFormat="1" applyFont="1" applyFill="1" applyBorder="1" applyAlignment="1">
      <alignment horizontal="left" vertical="center" wrapText="1"/>
    </xf>
    <xf numFmtId="0" fontId="10" fillId="0" borderId="1" xfId="635" applyNumberFormat="1" applyFont="1" applyFill="1" applyBorder="1" applyAlignment="1">
      <alignment horizontal="center" vertical="center" wrapText="1"/>
    </xf>
    <xf numFmtId="167" fontId="10" fillId="0" borderId="1" xfId="635" applyNumberFormat="1" applyFont="1" applyFill="1" applyBorder="1" applyAlignment="1">
      <alignment horizontal="center" vertical="center" wrapText="1"/>
    </xf>
    <xf numFmtId="167" fontId="10" fillId="0" borderId="3" xfId="635" applyNumberFormat="1" applyFont="1" applyFill="1" applyBorder="1" applyAlignment="1">
      <alignment horizontal="center" vertical="center" wrapText="1"/>
    </xf>
    <xf numFmtId="2" fontId="20" fillId="0" borderId="3" xfId="1" applyNumberFormat="1" applyFont="1" applyFill="1" applyBorder="1" applyAlignment="1">
      <alignment horizontal="center" vertical="center" wrapText="1"/>
    </xf>
    <xf numFmtId="49" fontId="20" fillId="0" borderId="1" xfId="635" applyNumberFormat="1" applyFont="1" applyFill="1" applyBorder="1" applyAlignment="1">
      <alignment horizontal="left" vertical="center" wrapText="1"/>
    </xf>
    <xf numFmtId="0" fontId="10" fillId="0" borderId="3" xfId="635" applyNumberFormat="1" applyFont="1" applyFill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1" xfId="506" applyNumberFormat="1" applyFont="1" applyFill="1" applyBorder="1" applyAlignment="1">
      <alignment horizontal="center" vertical="center" wrapText="1"/>
    </xf>
    <xf numFmtId="49" fontId="7" fillId="7" borderId="4" xfId="635" applyNumberFormat="1" applyFont="1" applyFill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center" vertical="center" wrapText="1"/>
    </xf>
    <xf numFmtId="0" fontId="64" fillId="2" borderId="1" xfId="4" applyNumberFormat="1" applyFont="1" applyFill="1" applyBorder="1" applyAlignment="1">
      <alignment horizontal="center" vertical="center" wrapText="1"/>
    </xf>
    <xf numFmtId="2" fontId="64" fillId="7" borderId="1" xfId="1" applyNumberFormat="1" applyFont="1" applyFill="1" applyBorder="1" applyAlignment="1">
      <alignment horizontal="center" vertical="center" wrapText="1"/>
    </xf>
    <xf numFmtId="0" fontId="72" fillId="0" borderId="1" xfId="635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2" fillId="0" borderId="3" xfId="635" applyNumberFormat="1" applyFont="1" applyFill="1" applyBorder="1" applyAlignment="1">
      <alignment horizontal="center" vertical="center" wrapText="1"/>
    </xf>
    <xf numFmtId="0" fontId="7" fillId="0" borderId="3" xfId="635" applyNumberFormat="1" applyFont="1" applyFill="1" applyBorder="1" applyAlignment="1">
      <alignment horizontal="center" vertical="center" wrapText="1"/>
    </xf>
    <xf numFmtId="0" fontId="73" fillId="0" borderId="1" xfId="635" applyNumberFormat="1" applyFont="1" applyFill="1" applyBorder="1" applyAlignment="1">
      <alignment horizontal="center" vertical="center" wrapText="1"/>
    </xf>
    <xf numFmtId="2" fontId="64" fillId="0" borderId="1" xfId="635" applyNumberFormat="1" applyFont="1" applyFill="1" applyBorder="1" applyAlignment="1">
      <alignment horizontal="center" vertical="center" wrapText="1"/>
    </xf>
    <xf numFmtId="2" fontId="7" fillId="0" borderId="1" xfId="635" applyNumberFormat="1" applyFont="1" applyFill="1" applyBorder="1" applyAlignment="1">
      <alignment horizontal="center" vertical="center" wrapText="1"/>
    </xf>
    <xf numFmtId="2" fontId="7" fillId="0" borderId="1" xfId="684" applyNumberFormat="1" applyFont="1" applyFill="1" applyBorder="1" applyAlignment="1">
      <alignment horizontal="center" vertical="center" wrapText="1"/>
    </xf>
    <xf numFmtId="0" fontId="72" fillId="0" borderId="1" xfId="2" applyNumberFormat="1" applyFont="1" applyFill="1" applyBorder="1" applyAlignment="1" applyProtection="1">
      <alignment horizontal="center" vertical="center" wrapText="1"/>
    </xf>
    <xf numFmtId="49" fontId="72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2" fontId="83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4" fillId="0" borderId="1" xfId="905" applyNumberFormat="1" applyFont="1" applyFill="1" applyBorder="1" applyAlignment="1">
      <alignment vertical="center" wrapText="1"/>
    </xf>
    <xf numFmtId="49" fontId="64" fillId="0" borderId="2" xfId="2" applyNumberFormat="1" applyFont="1" applyFill="1" applyBorder="1" applyAlignment="1" applyProtection="1">
      <alignment vertical="center" wrapText="1"/>
    </xf>
    <xf numFmtId="49" fontId="64" fillId="0" borderId="3" xfId="2" applyNumberFormat="1" applyFont="1" applyFill="1" applyBorder="1" applyAlignment="1" applyProtection="1">
      <alignment vertical="center" wrapText="1"/>
    </xf>
    <xf numFmtId="49" fontId="7" fillId="0" borderId="1" xfId="2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84" fillId="0" borderId="1" xfId="0" applyNumberFormat="1" applyFont="1" applyFill="1" applyBorder="1" applyAlignment="1">
      <alignment horizontal="center" vertical="center" wrapText="1"/>
    </xf>
    <xf numFmtId="49" fontId="64" fillId="0" borderId="1" xfId="4" applyNumberFormat="1" applyFont="1" applyFill="1" applyBorder="1" applyAlignment="1">
      <alignment horizontal="left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73" fillId="0" borderId="1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/>
    </xf>
    <xf numFmtId="49" fontId="68" fillId="0" borderId="1" xfId="0" applyNumberFormat="1" applyFont="1" applyBorder="1" applyAlignment="1">
      <alignment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4" fillId="0" borderId="1" xfId="0" applyNumberFormat="1" applyFont="1" applyBorder="1" applyAlignment="1">
      <alignment horizontal="center" vertical="center" wrapText="1"/>
    </xf>
    <xf numFmtId="49" fontId="72" fillId="0" borderId="1" xfId="0" applyNumberFormat="1" applyFont="1" applyBorder="1" applyAlignment="1">
      <alignment horizontal="center" vertical="center" wrapText="1"/>
    </xf>
    <xf numFmtId="0" fontId="72" fillId="0" borderId="1" xfId="0" applyNumberFormat="1" applyFont="1" applyBorder="1" applyAlignment="1">
      <alignment horizontal="center" vertical="center" wrapText="1"/>
    </xf>
    <xf numFmtId="49" fontId="72" fillId="7" borderId="1" xfId="635" applyNumberFormat="1" applyFont="1" applyFill="1" applyBorder="1" applyAlignment="1">
      <alignment horizontal="center"/>
    </xf>
    <xf numFmtId="49" fontId="7" fillId="7" borderId="1" xfId="635" applyNumberFormat="1" applyFont="1" applyFill="1" applyBorder="1" applyAlignment="1">
      <alignment horizontal="left" wrapText="1"/>
    </xf>
    <xf numFmtId="0" fontId="72" fillId="7" borderId="1" xfId="635" applyNumberFormat="1" applyFont="1" applyFill="1" applyBorder="1" applyAlignment="1">
      <alignment horizontal="center"/>
    </xf>
    <xf numFmtId="0" fontId="7" fillId="7" borderId="1" xfId="635" applyNumberFormat="1" applyFont="1" applyFill="1" applyBorder="1" applyAlignment="1">
      <alignment horizontal="center"/>
    </xf>
    <xf numFmtId="49" fontId="72" fillId="7" borderId="1" xfId="635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left" vertical="center" wrapText="1"/>
    </xf>
    <xf numFmtId="0" fontId="72" fillId="7" borderId="1" xfId="635" applyNumberFormat="1" applyFont="1" applyFill="1" applyBorder="1" applyAlignment="1">
      <alignment horizontal="center" vertical="center"/>
    </xf>
    <xf numFmtId="0" fontId="7" fillId="7" borderId="1" xfId="635" applyNumberFormat="1" applyFont="1" applyFill="1" applyBorder="1" applyAlignment="1">
      <alignment horizontal="center" vertical="center"/>
    </xf>
    <xf numFmtId="2" fontId="7" fillId="0" borderId="1" xfId="635" applyNumberFormat="1" applyFont="1" applyFill="1" applyBorder="1" applyAlignment="1">
      <alignment horizontal="center" vertical="center"/>
    </xf>
    <xf numFmtId="49" fontId="7" fillId="7" borderId="1" xfId="635" applyNumberFormat="1" applyFont="1" applyFill="1" applyBorder="1" applyAlignment="1">
      <alignment horizontal="left" vertical="center" wrapText="1"/>
    </xf>
    <xf numFmtId="2" fontId="7" fillId="0" borderId="1" xfId="635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0" borderId="1" xfId="88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9" fontId="66" fillId="31" borderId="6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66" fillId="31" borderId="6" xfId="0" applyNumberFormat="1" applyFont="1" applyFill="1" applyBorder="1" applyAlignment="1">
      <alignment horizontal="center" vertical="center" wrapText="1"/>
    </xf>
    <xf numFmtId="2" fontId="66" fillId="0" borderId="6" xfId="0" applyNumberFormat="1" applyFont="1" applyBorder="1" applyAlignment="1">
      <alignment horizontal="center" vertical="center" wrapText="1"/>
    </xf>
    <xf numFmtId="2" fontId="66" fillId="0" borderId="7" xfId="0" applyNumberFormat="1" applyFont="1" applyBorder="1" applyAlignment="1">
      <alignment horizontal="center" vertical="center" wrapText="1"/>
    </xf>
    <xf numFmtId="0" fontId="66" fillId="31" borderId="7" xfId="0" applyNumberFormat="1" applyFont="1" applyFill="1" applyBorder="1" applyAlignment="1">
      <alignment horizontal="center" vertical="center" wrapText="1"/>
    </xf>
    <xf numFmtId="2" fontId="66" fillId="5" borderId="7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635" applyNumberFormat="1" applyFont="1" applyFill="1" applyBorder="1" applyAlignment="1">
      <alignment horizontal="center" vertical="center" wrapText="1"/>
    </xf>
    <xf numFmtId="49" fontId="7" fillId="0" borderId="1" xfId="635" applyNumberFormat="1" applyFont="1" applyFill="1" applyBorder="1" applyAlignment="1">
      <alignment horizontal="center" vertical="center" wrapText="1"/>
    </xf>
    <xf numFmtId="0" fontId="10" fillId="0" borderId="1" xfId="717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7" fillId="7" borderId="1" xfId="635" applyNumberFormat="1" applyFont="1" applyFill="1" applyBorder="1" applyAlignment="1">
      <alignment horizontal="center" vertical="center" wrapText="1"/>
    </xf>
    <xf numFmtId="0" fontId="10" fillId="7" borderId="1" xfId="635" applyNumberFormat="1" applyFont="1" applyFill="1" applyBorder="1" applyAlignment="1">
      <alignment horizontal="center" vertical="center" wrapText="1"/>
    </xf>
    <xf numFmtId="0" fontId="20" fillId="2" borderId="1" xfId="635" applyNumberFormat="1" applyFont="1" applyFill="1" applyBorder="1" applyAlignment="1">
      <alignment horizontal="center" vertical="center" wrapText="1"/>
    </xf>
    <xf numFmtId="2" fontId="10" fillId="7" borderId="1" xfId="635" applyNumberFormat="1" applyFont="1" applyFill="1" applyBorder="1" applyAlignment="1">
      <alignment horizontal="center" vertical="center" wrapText="1"/>
    </xf>
    <xf numFmtId="0" fontId="87" fillId="7" borderId="1" xfId="635" applyNumberFormat="1" applyFont="1" applyFill="1" applyBorder="1" applyAlignment="1">
      <alignment horizontal="left" vertical="center" wrapText="1"/>
    </xf>
    <xf numFmtId="49" fontId="7" fillId="0" borderId="2" xfId="635" applyNumberFormat="1" applyFont="1" applyFill="1" applyBorder="1" applyAlignment="1">
      <alignment vertical="center" wrapText="1"/>
    </xf>
    <xf numFmtId="167" fontId="64" fillId="2" borderId="1" xfId="0" applyNumberFormat="1" applyFont="1" applyFill="1" applyBorder="1" applyAlignment="1">
      <alignment horizontal="center" vertical="center" wrapText="1"/>
    </xf>
    <xf numFmtId="2" fontId="10" fillId="0" borderId="1" xfId="684" applyNumberFormat="1" applyFont="1" applyFill="1" applyBorder="1" applyAlignment="1">
      <alignment horizontal="center" vertical="center" wrapText="1"/>
    </xf>
    <xf numFmtId="2" fontId="10" fillId="0" borderId="1" xfId="635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2" fontId="64" fillId="5" borderId="1" xfId="0" applyNumberFormat="1" applyFont="1" applyFill="1" applyBorder="1" applyAlignment="1">
      <alignment horizontal="center" vertical="center" wrapText="1"/>
    </xf>
    <xf numFmtId="9" fontId="10" fillId="31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10" fillId="0" borderId="2" xfId="717" applyFont="1" applyFill="1" applyBorder="1" applyAlignment="1" applyProtection="1">
      <alignment horizontal="center" vertical="center" wrapText="1"/>
    </xf>
    <xf numFmtId="0" fontId="10" fillId="0" borderId="4" xfId="717" applyFont="1" applyFill="1" applyBorder="1" applyAlignment="1" applyProtection="1">
      <alignment horizontal="center" vertical="center" wrapText="1"/>
    </xf>
    <xf numFmtId="0" fontId="10" fillId="0" borderId="3" xfId="717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49" fontId="70" fillId="0" borderId="6" xfId="0" applyNumberFormat="1" applyFont="1" applyBorder="1" applyAlignment="1">
      <alignment horizontal="center" vertical="center" wrapText="1"/>
    </xf>
    <xf numFmtId="49" fontId="70" fillId="0" borderId="7" xfId="0" applyNumberFormat="1" applyFont="1" applyBorder="1" applyAlignment="1">
      <alignment horizontal="center" vertical="center" wrapText="1"/>
    </xf>
    <xf numFmtId="0" fontId="14" fillId="34" borderId="1" xfId="0" applyNumberFormat="1" applyFont="1" applyFill="1" applyBorder="1" applyAlignment="1">
      <alignment horizontal="center" vertical="center" wrapText="1"/>
    </xf>
    <xf numFmtId="0" fontId="12" fillId="34" borderId="1" xfId="0" applyNumberFormat="1" applyFont="1" applyFill="1" applyBorder="1" applyAlignment="1">
      <alignment horizontal="center" vertical="center" wrapText="1"/>
    </xf>
    <xf numFmtId="2" fontId="12" fillId="34" borderId="1" xfId="0" applyNumberFormat="1" applyFont="1" applyFill="1" applyBorder="1" applyAlignment="1">
      <alignment horizontal="center" vertical="center" wrapText="1"/>
    </xf>
    <xf numFmtId="49" fontId="14" fillId="34" borderId="1" xfId="0" applyNumberFormat="1" applyFont="1" applyFill="1" applyBorder="1" applyAlignment="1">
      <alignment horizontal="center" vertical="center" wrapText="1"/>
    </xf>
    <xf numFmtId="49" fontId="12" fillId="34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2" fontId="14" fillId="34" borderId="1" xfId="0" applyNumberFormat="1" applyFont="1" applyFill="1" applyBorder="1" applyAlignment="1">
      <alignment horizontal="center" vertical="center" wrapText="1"/>
    </xf>
    <xf numFmtId="0" fontId="64" fillId="34" borderId="1" xfId="0" applyNumberFormat="1" applyFont="1" applyFill="1" applyBorder="1" applyAlignment="1">
      <alignment horizontal="center" vertical="center" wrapText="1"/>
    </xf>
    <xf numFmtId="0" fontId="20" fillId="34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49" fontId="12" fillId="34" borderId="1" xfId="0" applyNumberFormat="1" applyFont="1" applyFill="1" applyBorder="1" applyAlignment="1">
      <alignment horizontal="center" vertical="center" wrapText="1"/>
    </xf>
    <xf numFmtId="2" fontId="12" fillId="34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49" fontId="14" fillId="34" borderId="1" xfId="0" applyNumberFormat="1" applyFont="1" applyFill="1" applyBorder="1" applyAlignment="1">
      <alignment horizontal="center" vertical="center" wrapText="1"/>
    </xf>
    <xf numFmtId="2" fontId="12" fillId="34" borderId="5" xfId="0" applyNumberFormat="1" applyFont="1" applyFill="1" applyBorder="1" applyAlignment="1">
      <alignment horizontal="center" vertical="center" wrapText="1"/>
    </xf>
    <xf numFmtId="2" fontId="12" fillId="34" borderId="6" xfId="0" applyNumberFormat="1" applyFont="1" applyFill="1" applyBorder="1" applyAlignment="1">
      <alignment horizontal="center" vertical="center" wrapText="1"/>
    </xf>
    <xf numFmtId="0" fontId="14" fillId="34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34" borderId="2" xfId="0" applyNumberFormat="1" applyFont="1" applyFill="1" applyBorder="1" applyAlignment="1">
      <alignment horizontal="center" vertical="center" wrapText="1"/>
    </xf>
    <xf numFmtId="49" fontId="14" fillId="34" borderId="3" xfId="0" applyNumberFormat="1" applyFont="1" applyFill="1" applyBorder="1" applyAlignment="1">
      <alignment horizontal="center" vertical="center" wrapText="1"/>
    </xf>
    <xf numFmtId="0" fontId="64" fillId="34" borderId="2" xfId="0" applyNumberFormat="1" applyFont="1" applyFill="1" applyBorder="1" applyAlignment="1">
      <alignment horizontal="center" vertical="center" wrapText="1"/>
    </xf>
    <xf numFmtId="0" fontId="64" fillId="34" borderId="3" xfId="0" applyNumberFormat="1" applyFont="1" applyFill="1" applyBorder="1" applyAlignment="1">
      <alignment horizontal="center" vertical="center" wrapText="1"/>
    </xf>
    <xf numFmtId="2" fontId="14" fillId="34" borderId="5" xfId="0" applyNumberFormat="1" applyFont="1" applyFill="1" applyBorder="1" applyAlignment="1">
      <alignment horizontal="center" vertical="center" wrapText="1"/>
    </xf>
    <xf numFmtId="2" fontId="14" fillId="34" borderId="6" xfId="0" applyNumberFormat="1" applyFont="1" applyFill="1" applyBorder="1" applyAlignment="1">
      <alignment horizontal="center" vertical="center" wrapText="1"/>
    </xf>
    <xf numFmtId="2" fontId="14" fillId="34" borderId="2" xfId="0" applyNumberFormat="1" applyFont="1" applyFill="1" applyBorder="1" applyAlignment="1">
      <alignment horizontal="center" vertical="center" wrapText="1"/>
    </xf>
    <xf numFmtId="2" fontId="14" fillId="3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9" fontId="7" fillId="0" borderId="2" xfId="635" applyNumberFormat="1" applyFont="1" applyFill="1" applyBorder="1" applyAlignment="1">
      <alignment horizontal="center" vertical="center" wrapText="1"/>
    </xf>
    <xf numFmtId="49" fontId="7" fillId="0" borderId="4" xfId="635" applyNumberFormat="1" applyFont="1" applyFill="1" applyBorder="1" applyAlignment="1">
      <alignment horizontal="center" vertical="center" wrapText="1"/>
    </xf>
    <xf numFmtId="49" fontId="7" fillId="0" borderId="3" xfId="635" applyNumberFormat="1" applyFont="1" applyFill="1" applyBorder="1" applyAlignment="1">
      <alignment horizontal="center" vertical="center" wrapText="1"/>
    </xf>
    <xf numFmtId="49" fontId="7" fillId="0" borderId="2" xfId="683" applyNumberFormat="1" applyFont="1" applyFill="1" applyBorder="1" applyAlignment="1">
      <alignment horizontal="center" vertical="center" wrapText="1"/>
    </xf>
    <xf numFmtId="49" fontId="7" fillId="0" borderId="4" xfId="683" applyNumberFormat="1" applyFont="1" applyFill="1" applyBorder="1" applyAlignment="1">
      <alignment horizontal="center" vertical="center" wrapText="1"/>
    </xf>
    <xf numFmtId="49" fontId="7" fillId="0" borderId="3" xfId="683" applyNumberFormat="1" applyFont="1" applyFill="1" applyBorder="1" applyAlignment="1">
      <alignment horizontal="center" vertical="center" wrapText="1"/>
    </xf>
    <xf numFmtId="49" fontId="7" fillId="0" borderId="1" xfId="635" applyNumberFormat="1" applyFont="1" applyFill="1" applyBorder="1" applyAlignment="1">
      <alignment horizontal="center" vertical="center" wrapText="1"/>
    </xf>
    <xf numFmtId="0" fontId="10" fillId="7" borderId="2" xfId="635" applyNumberFormat="1" applyFont="1" applyFill="1" applyBorder="1" applyAlignment="1">
      <alignment horizontal="center" vertical="center" wrapText="1"/>
    </xf>
    <xf numFmtId="0" fontId="10" fillId="7" borderId="4" xfId="635" applyNumberFormat="1" applyFont="1" applyFill="1" applyBorder="1" applyAlignment="1">
      <alignment horizontal="center" vertical="center" wrapText="1"/>
    </xf>
    <xf numFmtId="0" fontId="10" fillId="7" borderId="3" xfId="635" applyNumberFormat="1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0" fillId="34" borderId="1" xfId="0" applyNumberFormat="1" applyFont="1" applyFill="1" applyBorder="1" applyAlignment="1">
      <alignment horizontal="center" vertical="center" wrapText="1"/>
    </xf>
    <xf numFmtId="49" fontId="64" fillId="5" borderId="2" xfId="0" applyNumberFormat="1" applyFont="1" applyFill="1" applyBorder="1" applyAlignment="1">
      <alignment horizontal="center" vertical="center" wrapText="1"/>
    </xf>
    <xf numFmtId="49" fontId="64" fillId="5" borderId="3" xfId="0" applyNumberFormat="1" applyFont="1" applyFill="1" applyBorder="1" applyAlignment="1">
      <alignment horizontal="center" vertical="center" wrapText="1"/>
    </xf>
    <xf numFmtId="49" fontId="80" fillId="0" borderId="2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center" vertical="center" wrapText="1"/>
    </xf>
  </cellXfs>
  <cellStyles count="908">
    <cellStyle name="20% - Accent1" xfId="7"/>
    <cellStyle name="20% - Accent1 2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1_Q.W. ADMINISTRACIULI SENOBA" xfId="30"/>
    <cellStyle name="20% - Accent2" xfId="31"/>
    <cellStyle name="20% - Accent2 2" xfId="32"/>
    <cellStyle name="20% - Accent2 2 2" xfId="33"/>
    <cellStyle name="20% - Accent2 2 2 2" xfId="34"/>
    <cellStyle name="20% - Accent2 2 3" xfId="35"/>
    <cellStyle name="20% - Accent2 2 3 2" xfId="36"/>
    <cellStyle name="20% - Accent2 2 4" xfId="37"/>
    <cellStyle name="20% - Accent2 2 4 2" xfId="38"/>
    <cellStyle name="20% - Accent2 2 5" xfId="39"/>
    <cellStyle name="20% - Accent2 2 5 2" xfId="40"/>
    <cellStyle name="20% - Accent2 2 6" xfId="41"/>
    <cellStyle name="20% - Accent2 3" xfId="42"/>
    <cellStyle name="20% - Accent2 3 2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6" xfId="50"/>
    <cellStyle name="20% - Accent2 6 2" xfId="51"/>
    <cellStyle name="20% - Accent2 7" xfId="52"/>
    <cellStyle name="20% - Accent2 7 2" xfId="53"/>
    <cellStyle name="20% - Accent2_Q.W. ADMINISTRACIULI SENOBA" xfId="54"/>
    <cellStyle name="20% - Accent3" xfId="55"/>
    <cellStyle name="20% - Accent3 2" xfId="56"/>
    <cellStyle name="20% - Accent3 2 2" xfId="57"/>
    <cellStyle name="20% - Accent3 2 2 2" xfId="58"/>
    <cellStyle name="20% - Accent3 2 3" xfId="59"/>
    <cellStyle name="20% - Accent3 2 3 2" xfId="60"/>
    <cellStyle name="20% - Accent3 2 4" xfId="61"/>
    <cellStyle name="20% - Accent3 2 4 2" xfId="62"/>
    <cellStyle name="20% - Accent3 2 5" xfId="63"/>
    <cellStyle name="20% - Accent3 2 5 2" xfId="64"/>
    <cellStyle name="20% - Accent3 2 6" xfId="65"/>
    <cellStyle name="20% - Accent3 3" xfId="66"/>
    <cellStyle name="20% - Accent3 3 2" xfId="67"/>
    <cellStyle name="20% - Accent3 4" xfId="68"/>
    <cellStyle name="20% - Accent3 4 2" xfId="69"/>
    <cellStyle name="20% - Accent3 4 2 2" xfId="70"/>
    <cellStyle name="20% - Accent3 4 3" xfId="71"/>
    <cellStyle name="20% - Accent3 5" xfId="72"/>
    <cellStyle name="20% - Accent3 5 2" xfId="73"/>
    <cellStyle name="20% - Accent3 6" xfId="74"/>
    <cellStyle name="20% - Accent3 6 2" xfId="75"/>
    <cellStyle name="20% - Accent3 7" xfId="76"/>
    <cellStyle name="20% - Accent3 7 2" xfId="77"/>
    <cellStyle name="20% - Accent3_Q.W. ADMINISTRACIULI SENOBA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2 3 2" xfId="84"/>
    <cellStyle name="20% - Accent4 2 4" xfId="85"/>
    <cellStyle name="20% - Accent4 2 4 2" xfId="86"/>
    <cellStyle name="20% - Accent4 2 5" xfId="87"/>
    <cellStyle name="20% - Accent4 2 5 2" xfId="88"/>
    <cellStyle name="20% - Accent4 2 6" xfId="89"/>
    <cellStyle name="20% - Accent4 3" xfId="90"/>
    <cellStyle name="20% - Accent4 3 2" xfId="91"/>
    <cellStyle name="20% - Accent4 4" xfId="92"/>
    <cellStyle name="20% - Accent4 4 2" xfId="93"/>
    <cellStyle name="20% - Accent4 4 2 2" xfId="94"/>
    <cellStyle name="20% - Accent4 4 3" xfId="95"/>
    <cellStyle name="20% - Accent4 5" xfId="96"/>
    <cellStyle name="20% - Accent4 5 2" xfId="97"/>
    <cellStyle name="20% - Accent4 6" xfId="98"/>
    <cellStyle name="20% - Accent4 6 2" xfId="99"/>
    <cellStyle name="20% - Accent4 7" xfId="100"/>
    <cellStyle name="20% - Accent4 7 2" xfId="101"/>
    <cellStyle name="20% - Accent4_Q.W. ADMINISTRACIULI SENOBA" xfId="102"/>
    <cellStyle name="20% - Accent5" xfId="103"/>
    <cellStyle name="20% - Accent5 2" xfId="104"/>
    <cellStyle name="20% - Accent5 2 2" xfId="105"/>
    <cellStyle name="20% - Accent5 2 2 2" xfId="106"/>
    <cellStyle name="20% - Accent5 2 3" xfId="107"/>
    <cellStyle name="20% - Accent5 2 3 2" xfId="108"/>
    <cellStyle name="20% - Accent5 2 4" xfId="109"/>
    <cellStyle name="20% - Accent5 2 4 2" xfId="110"/>
    <cellStyle name="20% - Accent5 2 5" xfId="111"/>
    <cellStyle name="20% - Accent5 2 5 2" xfId="112"/>
    <cellStyle name="20% - Accent5 2 6" xfId="113"/>
    <cellStyle name="20% - Accent5 3" xfId="114"/>
    <cellStyle name="20% - Accent5 3 2" xfId="115"/>
    <cellStyle name="20% - Accent5 4" xfId="116"/>
    <cellStyle name="20% - Accent5 4 2" xfId="117"/>
    <cellStyle name="20% - Accent5 4 2 2" xfId="118"/>
    <cellStyle name="20% - Accent5 4 3" xfId="119"/>
    <cellStyle name="20% - Accent5 5" xfId="120"/>
    <cellStyle name="20% - Accent5 5 2" xfId="121"/>
    <cellStyle name="20% - Accent5 6" xfId="122"/>
    <cellStyle name="20% - Accent5 6 2" xfId="123"/>
    <cellStyle name="20% - Accent5 7" xfId="124"/>
    <cellStyle name="20% - Accent5 7 2" xfId="125"/>
    <cellStyle name="20% - Accent5_Q.W. ADMINISTRACIULI SENOBA" xfId="126"/>
    <cellStyle name="20% - Accent6" xfId="127"/>
    <cellStyle name="20% - Accent6 2" xfId="128"/>
    <cellStyle name="20% - Accent6 2 2" xfId="129"/>
    <cellStyle name="20% - Accent6 2 2 2" xfId="130"/>
    <cellStyle name="20% - Accent6 2 3" xfId="131"/>
    <cellStyle name="20% - Accent6 2 3 2" xfId="132"/>
    <cellStyle name="20% - Accent6 2 4" xfId="133"/>
    <cellStyle name="20% - Accent6 2 4 2" xfId="134"/>
    <cellStyle name="20% - Accent6 2 5" xfId="135"/>
    <cellStyle name="20% - Accent6 2 5 2" xfId="136"/>
    <cellStyle name="20% - Accent6 2 6" xfId="137"/>
    <cellStyle name="20% - Accent6 3" xfId="138"/>
    <cellStyle name="20% - Accent6 3 2" xfId="139"/>
    <cellStyle name="20% - Accent6 4" xfId="140"/>
    <cellStyle name="20% - Accent6 4 2" xfId="141"/>
    <cellStyle name="20% - Accent6 4 2 2" xfId="142"/>
    <cellStyle name="20% - Accent6 4 3" xfId="143"/>
    <cellStyle name="20% - Accent6 5" xfId="144"/>
    <cellStyle name="20% - Accent6 5 2" xfId="145"/>
    <cellStyle name="20% - Accent6 6" xfId="146"/>
    <cellStyle name="20% - Accent6 6 2" xfId="147"/>
    <cellStyle name="20% - Accent6 7" xfId="148"/>
    <cellStyle name="20% - Accent6 7 2" xfId="149"/>
    <cellStyle name="20% - Accent6_Q.W. ADMINISTRACIULI SENOBA" xfId="150"/>
    <cellStyle name="40% - Accent1" xfId="151"/>
    <cellStyle name="40% - Accent1 2" xfId="152"/>
    <cellStyle name="40% - Accent1 2 2" xfId="153"/>
    <cellStyle name="40% - Accent1 2 2 2" xfId="154"/>
    <cellStyle name="40% - Accent1 2 3" xfId="155"/>
    <cellStyle name="40% - Accent1 2 3 2" xfId="156"/>
    <cellStyle name="40% - Accent1 2 4" xfId="157"/>
    <cellStyle name="40% - Accent1 2 4 2" xfId="158"/>
    <cellStyle name="40% - Accent1 2 5" xfId="159"/>
    <cellStyle name="40% - Accent1 2 5 2" xfId="160"/>
    <cellStyle name="40% - Accent1 2 6" xfId="161"/>
    <cellStyle name="40% - Accent1 3" xfId="162"/>
    <cellStyle name="40% - Accent1 3 2" xfId="163"/>
    <cellStyle name="40% - Accent1 4" xfId="164"/>
    <cellStyle name="40% - Accent1 4 2" xfId="165"/>
    <cellStyle name="40% - Accent1 4 2 2" xfId="166"/>
    <cellStyle name="40% - Accent1 4 3" xfId="167"/>
    <cellStyle name="40% - Accent1 5" xfId="168"/>
    <cellStyle name="40% - Accent1 5 2" xfId="169"/>
    <cellStyle name="40% - Accent1 6" xfId="170"/>
    <cellStyle name="40% - Accent1 6 2" xfId="171"/>
    <cellStyle name="40% - Accent1 7" xfId="172"/>
    <cellStyle name="40% - Accent1 7 2" xfId="173"/>
    <cellStyle name="40% - Accent1_Q.W. ADMINISTRACIULI SENOBA" xfId="174"/>
    <cellStyle name="40% - Accent2" xfId="175"/>
    <cellStyle name="40% - Accent2 2" xfId="176"/>
    <cellStyle name="40% - Accent2 2 2" xfId="177"/>
    <cellStyle name="40% - Accent2 2 2 2" xfId="178"/>
    <cellStyle name="40% - Accent2 2 3" xfId="179"/>
    <cellStyle name="40% - Accent2 2 3 2" xfId="180"/>
    <cellStyle name="40% - Accent2 2 4" xfId="181"/>
    <cellStyle name="40% - Accent2 2 4 2" xfId="182"/>
    <cellStyle name="40% - Accent2 2 5" xfId="183"/>
    <cellStyle name="40% - Accent2 2 5 2" xfId="184"/>
    <cellStyle name="40% - Accent2 2 6" xfId="185"/>
    <cellStyle name="40% - Accent2 3" xfId="186"/>
    <cellStyle name="40% - Accent2 3 2" xfId="187"/>
    <cellStyle name="40% - Accent2 4" xfId="188"/>
    <cellStyle name="40% - Accent2 4 2" xfId="189"/>
    <cellStyle name="40% - Accent2 4 2 2" xfId="190"/>
    <cellStyle name="40% - Accent2 4 3" xfId="191"/>
    <cellStyle name="40% - Accent2 5" xfId="192"/>
    <cellStyle name="40% - Accent2 5 2" xfId="193"/>
    <cellStyle name="40% - Accent2 6" xfId="194"/>
    <cellStyle name="40% - Accent2 6 2" xfId="195"/>
    <cellStyle name="40% - Accent2 7" xfId="196"/>
    <cellStyle name="40% - Accent2 7 2" xfId="197"/>
    <cellStyle name="40% - Accent2_Q.W. ADMINISTRACIULI SENOBA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3_Q.W. ADMINISTRACIULI SENOBA" xfId="222"/>
    <cellStyle name="40% - Accent4" xfId="223"/>
    <cellStyle name="40% - Accent4 2" xfId="224"/>
    <cellStyle name="40% - Accent4 2 2" xfId="225"/>
    <cellStyle name="40% - Accent4 2 2 2" xfId="226"/>
    <cellStyle name="40% - Accent4 2 3" xfId="227"/>
    <cellStyle name="40% - Accent4 2 3 2" xfId="228"/>
    <cellStyle name="40% - Accent4 2 4" xfId="229"/>
    <cellStyle name="40% - Accent4 2 4 2" xfId="230"/>
    <cellStyle name="40% - Accent4 2 5" xfId="231"/>
    <cellStyle name="40% - Accent4 2 5 2" xfId="232"/>
    <cellStyle name="40% - Accent4 2 6" xfId="233"/>
    <cellStyle name="40% - Accent4 3" xfId="234"/>
    <cellStyle name="40% - Accent4 3 2" xfId="235"/>
    <cellStyle name="40% - Accent4 4" xfId="236"/>
    <cellStyle name="40% - Accent4 4 2" xfId="237"/>
    <cellStyle name="40% - Accent4 4 2 2" xfId="238"/>
    <cellStyle name="40% - Accent4 4 3" xfId="239"/>
    <cellStyle name="40% - Accent4 5" xfId="240"/>
    <cellStyle name="40% - Accent4 5 2" xfId="241"/>
    <cellStyle name="40% - Accent4 6" xfId="242"/>
    <cellStyle name="40% - Accent4 6 2" xfId="243"/>
    <cellStyle name="40% - Accent4 7" xfId="244"/>
    <cellStyle name="40% - Accent4 7 2" xfId="245"/>
    <cellStyle name="40% - Accent4_Q.W. ADMINISTRACIULI SENOBA" xfId="246"/>
    <cellStyle name="40% - Accent5" xfId="247"/>
    <cellStyle name="40% - Accent5 2" xfId="248"/>
    <cellStyle name="40% - Accent5 2 2" xfId="249"/>
    <cellStyle name="40% - Accent5 2 2 2" xfId="250"/>
    <cellStyle name="40% - Accent5 2 3" xfId="251"/>
    <cellStyle name="40% - Accent5 2 3 2" xfId="252"/>
    <cellStyle name="40% - Accent5 2 4" xfId="253"/>
    <cellStyle name="40% - Accent5 2 4 2" xfId="254"/>
    <cellStyle name="40% - Accent5 2 5" xfId="255"/>
    <cellStyle name="40% - Accent5 2 5 2" xfId="256"/>
    <cellStyle name="40% - Accent5 2 6" xfId="257"/>
    <cellStyle name="40% - Accent5 3" xfId="258"/>
    <cellStyle name="40% - Accent5 3 2" xfId="259"/>
    <cellStyle name="40% - Accent5 4" xfId="260"/>
    <cellStyle name="40% - Accent5 4 2" xfId="261"/>
    <cellStyle name="40% - Accent5 4 2 2" xfId="262"/>
    <cellStyle name="40% - Accent5 4 3" xfId="263"/>
    <cellStyle name="40% - Accent5 5" xfId="264"/>
    <cellStyle name="40% - Accent5 5 2" xfId="265"/>
    <cellStyle name="40% - Accent5 6" xfId="266"/>
    <cellStyle name="40% - Accent5 6 2" xfId="267"/>
    <cellStyle name="40% - Accent5 7" xfId="268"/>
    <cellStyle name="40% - Accent5 7 2" xfId="269"/>
    <cellStyle name="40% - Accent5_Q.W. ADMINISTRACIULI SENOBA" xfId="270"/>
    <cellStyle name="40% - Accent6" xfId="271"/>
    <cellStyle name="40% - Accent6 2" xfId="272"/>
    <cellStyle name="40% - Accent6 2 2" xfId="273"/>
    <cellStyle name="40% - Accent6 2 2 2" xfId="274"/>
    <cellStyle name="40% - Accent6 2 3" xfId="275"/>
    <cellStyle name="40% - Accent6 2 3 2" xfId="276"/>
    <cellStyle name="40% - Accent6 2 4" xfId="277"/>
    <cellStyle name="40% - Accent6 2 4 2" xfId="278"/>
    <cellStyle name="40% - Accent6 2 5" xfId="279"/>
    <cellStyle name="40% - Accent6 2 5 2" xfId="280"/>
    <cellStyle name="40% - Accent6 2 6" xfId="281"/>
    <cellStyle name="40% - Accent6 3" xfId="282"/>
    <cellStyle name="40% - Accent6 3 2" xfId="283"/>
    <cellStyle name="40% - Accent6 4" xfId="284"/>
    <cellStyle name="40% - Accent6 4 2" xfId="285"/>
    <cellStyle name="40% - Accent6 4 2 2" xfId="286"/>
    <cellStyle name="40% - Accent6 4 3" xfId="287"/>
    <cellStyle name="40% - Accent6 5" xfId="288"/>
    <cellStyle name="40% - Accent6 5 2" xfId="289"/>
    <cellStyle name="40% - Accent6 6" xfId="290"/>
    <cellStyle name="40% - Accent6 6 2" xfId="291"/>
    <cellStyle name="40% - Accent6 7" xfId="292"/>
    <cellStyle name="40% - Accent6 7 2" xfId="293"/>
    <cellStyle name="40% - Accent6_Q.W. ADMINISTRACIULI SENOBA" xfId="294"/>
    <cellStyle name="60% - Accent1" xfId="295"/>
    <cellStyle name="60% - Accent1 2" xfId="296"/>
    <cellStyle name="60% - Accent1 2 2" xfId="297"/>
    <cellStyle name="60% - Accent1 2 3" xfId="298"/>
    <cellStyle name="60% - Accent1 2 4" xfId="299"/>
    <cellStyle name="60% - Accent1 2 5" xfId="300"/>
    <cellStyle name="60% - Accent1 3" xfId="301"/>
    <cellStyle name="60% - Accent1 4" xfId="302"/>
    <cellStyle name="60% - Accent1 4 2" xfId="303"/>
    <cellStyle name="60% - Accent1 5" xfId="304"/>
    <cellStyle name="60% - Accent1 6" xfId="305"/>
    <cellStyle name="60% - Accent1 7" xfId="306"/>
    <cellStyle name="60% - Accent2" xfId="307"/>
    <cellStyle name="60% - Accent2 2" xfId="308"/>
    <cellStyle name="60% - Accent2 2 2" xfId="309"/>
    <cellStyle name="60% - Accent2 2 3" xfId="310"/>
    <cellStyle name="60% - Accent2 2 4" xfId="311"/>
    <cellStyle name="60% - Accent2 2 5" xfId="312"/>
    <cellStyle name="60% - Accent2 3" xfId="313"/>
    <cellStyle name="60% - Accent2 4" xfId="314"/>
    <cellStyle name="60% - Accent2 4 2" xfId="315"/>
    <cellStyle name="60% - Accent2 5" xfId="316"/>
    <cellStyle name="60% - Accent2 6" xfId="317"/>
    <cellStyle name="60% - Accent2 7" xfId="318"/>
    <cellStyle name="60% - Accent3" xfId="319"/>
    <cellStyle name="60% - Accent3 2" xfId="320"/>
    <cellStyle name="60% - Accent3 2 2" xfId="321"/>
    <cellStyle name="60% - Accent3 2 3" xfId="322"/>
    <cellStyle name="60% - Accent3 2 4" xfId="323"/>
    <cellStyle name="60% - Accent3 2 5" xfId="324"/>
    <cellStyle name="60% - Accent3 3" xfId="325"/>
    <cellStyle name="60% - Accent3 4" xfId="326"/>
    <cellStyle name="60% - Accent3 4 2" xfId="327"/>
    <cellStyle name="60% - Accent3 5" xfId="328"/>
    <cellStyle name="60% - Accent3 6" xfId="329"/>
    <cellStyle name="60% - Accent3 7" xfId="330"/>
    <cellStyle name="60% - Accent4" xfId="331"/>
    <cellStyle name="60% - Accent4 2" xfId="332"/>
    <cellStyle name="60% - Accent4 2 2" xfId="333"/>
    <cellStyle name="60% - Accent4 2 3" xfId="334"/>
    <cellStyle name="60% - Accent4 2 4" xfId="335"/>
    <cellStyle name="60% - Accent4 2 5" xfId="336"/>
    <cellStyle name="60% - Accent4 3" xfId="337"/>
    <cellStyle name="60% - Accent4 4" xfId="338"/>
    <cellStyle name="60% - Accent4 4 2" xfId="339"/>
    <cellStyle name="60% - Accent4 5" xfId="340"/>
    <cellStyle name="60% - Accent4 6" xfId="341"/>
    <cellStyle name="60% - Accent4 7" xfId="342"/>
    <cellStyle name="60% - Accent5" xfId="343"/>
    <cellStyle name="60% - Accent5 2" xfId="344"/>
    <cellStyle name="60% - Accent5 2 2" xfId="345"/>
    <cellStyle name="60% - Accent5 2 3" xfId="346"/>
    <cellStyle name="60% - Accent5 2 4" xfId="347"/>
    <cellStyle name="60% - Accent5 2 5" xfId="348"/>
    <cellStyle name="60% - Accent5 3" xfId="349"/>
    <cellStyle name="60% - Accent5 4" xfId="350"/>
    <cellStyle name="60% - Accent5 4 2" xfId="351"/>
    <cellStyle name="60% - Accent5 5" xfId="352"/>
    <cellStyle name="60% - Accent5 6" xfId="353"/>
    <cellStyle name="60% - Accent5 7" xfId="354"/>
    <cellStyle name="60% - Accent6" xfId="355"/>
    <cellStyle name="60% - Accent6 2" xfId="356"/>
    <cellStyle name="60% - Accent6 2 2" xfId="357"/>
    <cellStyle name="60% - Accent6 2 3" xfId="358"/>
    <cellStyle name="60% - Accent6 2 4" xfId="359"/>
    <cellStyle name="60% - Accent6 2 5" xfId="360"/>
    <cellStyle name="60% - Accent6 3" xfId="361"/>
    <cellStyle name="60% - Accent6 4" xfId="362"/>
    <cellStyle name="60% - Accent6 4 2" xfId="363"/>
    <cellStyle name="60% - Accent6 5" xfId="364"/>
    <cellStyle name="60% - Accent6 6" xfId="365"/>
    <cellStyle name="60% - Accent6 7" xfId="366"/>
    <cellStyle name="Accent1" xfId="367"/>
    <cellStyle name="Accent1 2" xfId="368"/>
    <cellStyle name="Accent1 2 2" xfId="369"/>
    <cellStyle name="Accent1 2 3" xfId="370"/>
    <cellStyle name="Accent1 2 4" xfId="371"/>
    <cellStyle name="Accent1 2 5" xfId="372"/>
    <cellStyle name="Accent1 3" xfId="373"/>
    <cellStyle name="Accent1 4" xfId="374"/>
    <cellStyle name="Accent1 4 2" xfId="375"/>
    <cellStyle name="Accent1 5" xfId="376"/>
    <cellStyle name="Accent1 6" xfId="377"/>
    <cellStyle name="Accent1 7" xfId="378"/>
    <cellStyle name="Accent2" xfId="379"/>
    <cellStyle name="Accent2 2" xfId="380"/>
    <cellStyle name="Accent2 2 2" xfId="381"/>
    <cellStyle name="Accent2 2 3" xfId="382"/>
    <cellStyle name="Accent2 2 4" xfId="383"/>
    <cellStyle name="Accent2 2 5" xfId="384"/>
    <cellStyle name="Accent2 3" xfId="385"/>
    <cellStyle name="Accent2 4" xfId="386"/>
    <cellStyle name="Accent2 4 2" xfId="387"/>
    <cellStyle name="Accent2 5" xfId="388"/>
    <cellStyle name="Accent2 6" xfId="389"/>
    <cellStyle name="Accent2 7" xfId="390"/>
    <cellStyle name="Accent3" xfId="391"/>
    <cellStyle name="Accent3 2" xfId="392"/>
    <cellStyle name="Accent3 2 2" xfId="393"/>
    <cellStyle name="Accent3 2 3" xfId="394"/>
    <cellStyle name="Accent3 2 4" xfId="395"/>
    <cellStyle name="Accent3 2 5" xfId="396"/>
    <cellStyle name="Accent3 3" xfId="397"/>
    <cellStyle name="Accent3 4" xfId="398"/>
    <cellStyle name="Accent3 4 2" xfId="399"/>
    <cellStyle name="Accent3 5" xfId="400"/>
    <cellStyle name="Accent3 6" xfId="401"/>
    <cellStyle name="Accent3 7" xfId="402"/>
    <cellStyle name="Accent4" xfId="403"/>
    <cellStyle name="Accent4 2" xfId="404"/>
    <cellStyle name="Accent4 2 2" xfId="405"/>
    <cellStyle name="Accent4 2 3" xfId="406"/>
    <cellStyle name="Accent4 2 4" xfId="407"/>
    <cellStyle name="Accent4 2 5" xfId="408"/>
    <cellStyle name="Accent4 3" xfId="409"/>
    <cellStyle name="Accent4 4" xfId="410"/>
    <cellStyle name="Accent4 4 2" xfId="411"/>
    <cellStyle name="Accent4 5" xfId="412"/>
    <cellStyle name="Accent4 6" xfId="413"/>
    <cellStyle name="Accent4 7" xfId="414"/>
    <cellStyle name="Accent5" xfId="415"/>
    <cellStyle name="Accent5 2" xfId="416"/>
    <cellStyle name="Accent5 2 2" xfId="417"/>
    <cellStyle name="Accent5 2 3" xfId="418"/>
    <cellStyle name="Accent5 2 4" xfId="419"/>
    <cellStyle name="Accent5 2 5" xfId="420"/>
    <cellStyle name="Accent5 3" xfId="421"/>
    <cellStyle name="Accent5 4" xfId="422"/>
    <cellStyle name="Accent5 4 2" xfId="423"/>
    <cellStyle name="Accent5 5" xfId="424"/>
    <cellStyle name="Accent5 6" xfId="425"/>
    <cellStyle name="Accent5 7" xfId="426"/>
    <cellStyle name="Accent6" xfId="427"/>
    <cellStyle name="Accent6 2" xfId="428"/>
    <cellStyle name="Accent6 2 2" xfId="429"/>
    <cellStyle name="Accent6 2 3" xfId="430"/>
    <cellStyle name="Accent6 2 4" xfId="431"/>
    <cellStyle name="Accent6 2 5" xfId="432"/>
    <cellStyle name="Accent6 3" xfId="433"/>
    <cellStyle name="Accent6 4" xfId="434"/>
    <cellStyle name="Accent6 4 2" xfId="435"/>
    <cellStyle name="Accent6 5" xfId="436"/>
    <cellStyle name="Accent6 6" xfId="437"/>
    <cellStyle name="Accent6 7" xfId="438"/>
    <cellStyle name="Bad" xfId="439"/>
    <cellStyle name="Bad 2" xfId="440"/>
    <cellStyle name="Bad 2 2" xfId="441"/>
    <cellStyle name="Bad 2 3" xfId="442"/>
    <cellStyle name="Bad 2 4" xfId="443"/>
    <cellStyle name="Bad 2 5" xfId="444"/>
    <cellStyle name="Bad 3" xfId="445"/>
    <cellStyle name="Bad 4" xfId="446"/>
    <cellStyle name="Bad 4 2" xfId="447"/>
    <cellStyle name="Bad 5" xfId="448"/>
    <cellStyle name="Bad 6" xfId="449"/>
    <cellStyle name="Bad 7" xfId="450"/>
    <cellStyle name="Calculation" xfId="451"/>
    <cellStyle name="Calculation 2" xfId="452"/>
    <cellStyle name="Calculation 2 2" xfId="453"/>
    <cellStyle name="Calculation 2 3" xfId="454"/>
    <cellStyle name="Calculation 2 4" xfId="455"/>
    <cellStyle name="Calculation 2 5" xfId="456"/>
    <cellStyle name="Calculation 2_anakia II etapi.xls sm. defeqturi" xfId="457"/>
    <cellStyle name="Calculation 3" xfId="458"/>
    <cellStyle name="Calculation 4" xfId="459"/>
    <cellStyle name="Calculation 4 2" xfId="460"/>
    <cellStyle name="Calculation 4_anakia II etapi.xls sm. defeqturi" xfId="461"/>
    <cellStyle name="Calculation 5" xfId="462"/>
    <cellStyle name="Calculation 6" xfId="463"/>
    <cellStyle name="Calculation 7" xfId="464"/>
    <cellStyle name="Check Cell" xfId="465"/>
    <cellStyle name="Check Cell 2" xfId="466"/>
    <cellStyle name="Check Cell 2 2" xfId="467"/>
    <cellStyle name="Check Cell 2 3" xfId="468"/>
    <cellStyle name="Check Cell 2 4" xfId="469"/>
    <cellStyle name="Check Cell 2 5" xfId="470"/>
    <cellStyle name="Check Cell 2_anakia II etapi.xls sm. defeqturi" xfId="471"/>
    <cellStyle name="Check Cell 3" xfId="472"/>
    <cellStyle name="Check Cell 4" xfId="473"/>
    <cellStyle name="Check Cell 4 2" xfId="474"/>
    <cellStyle name="Check Cell 4_anakia II etapi.xls sm. defeqturi" xfId="475"/>
    <cellStyle name="Check Cell 5" xfId="476"/>
    <cellStyle name="Check Cell 6" xfId="477"/>
    <cellStyle name="Check Cell 7" xfId="478"/>
    <cellStyle name="Comma" xfId="1" builtinId="3"/>
    <cellStyle name="Comma 10" xfId="480"/>
    <cellStyle name="Comma 10 2" xfId="481"/>
    <cellStyle name="Comma 11" xfId="482"/>
    <cellStyle name="Comma 12" xfId="483"/>
    <cellStyle name="Comma 12 2" xfId="484"/>
    <cellStyle name="Comma 12 3" xfId="485"/>
    <cellStyle name="Comma 12 4" xfId="486"/>
    <cellStyle name="Comma 12 5" xfId="487"/>
    <cellStyle name="Comma 12 6" xfId="488"/>
    <cellStyle name="Comma 12 7" xfId="489"/>
    <cellStyle name="Comma 12 8" xfId="490"/>
    <cellStyle name="Comma 13" xfId="491"/>
    <cellStyle name="Comma 14" xfId="492"/>
    <cellStyle name="Comma 15" xfId="493"/>
    <cellStyle name="Comma 15 2" xfId="494"/>
    <cellStyle name="Comma 16" xfId="495"/>
    <cellStyle name="Comma 17" xfId="496"/>
    <cellStyle name="Comma 17 2" xfId="497"/>
    <cellStyle name="Comma 18" xfId="498"/>
    <cellStyle name="Comma 19" xfId="499"/>
    <cellStyle name="Comma 2" xfId="500"/>
    <cellStyle name="Comma 2 2" xfId="501"/>
    <cellStyle name="Comma 2 2 2" xfId="502"/>
    <cellStyle name="Comma 2 2 3" xfId="503"/>
    <cellStyle name="Comma 2 3" xfId="504"/>
    <cellStyle name="Comma 20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Explanatory Text" xfId="513"/>
    <cellStyle name="Explanatory Text 2" xfId="514"/>
    <cellStyle name="Explanatory Text 2 2" xfId="515"/>
    <cellStyle name="Explanatory Text 2 3" xfId="516"/>
    <cellStyle name="Explanatory Text 2 4" xfId="517"/>
    <cellStyle name="Explanatory Text 2 5" xfId="518"/>
    <cellStyle name="Explanatory Text 3" xfId="519"/>
    <cellStyle name="Explanatory Text 4" xfId="520"/>
    <cellStyle name="Explanatory Text 4 2" xfId="521"/>
    <cellStyle name="Explanatory Text 5" xfId="522"/>
    <cellStyle name="Explanatory Text 6" xfId="523"/>
    <cellStyle name="Explanatory Text 7" xfId="524"/>
    <cellStyle name="Good" xfId="525"/>
    <cellStyle name="Good 2" xfId="526"/>
    <cellStyle name="Good 2 2" xfId="527"/>
    <cellStyle name="Good 2 3" xfId="528"/>
    <cellStyle name="Good 2 4" xfId="529"/>
    <cellStyle name="Good 2 5" xfId="530"/>
    <cellStyle name="Good 3" xfId="531"/>
    <cellStyle name="Good 4" xfId="532"/>
    <cellStyle name="Good 4 2" xfId="533"/>
    <cellStyle name="Good 5" xfId="534"/>
    <cellStyle name="Good 6" xfId="535"/>
    <cellStyle name="Good 7" xfId="536"/>
    <cellStyle name="Heading 1" xfId="537"/>
    <cellStyle name="Heading 1 2" xfId="538"/>
    <cellStyle name="Heading 1 2 2" xfId="539"/>
    <cellStyle name="Heading 1 2 3" xfId="540"/>
    <cellStyle name="Heading 1 2 4" xfId="541"/>
    <cellStyle name="Heading 1 2 5" xfId="542"/>
    <cellStyle name="Heading 1 2_anakia II etapi.xls sm. defeqturi" xfId="543"/>
    <cellStyle name="Heading 1 3" xfId="544"/>
    <cellStyle name="Heading 1 4" xfId="545"/>
    <cellStyle name="Heading 1 4 2" xfId="546"/>
    <cellStyle name="Heading 1 4_anakia II etapi.xls sm. defeqturi" xfId="547"/>
    <cellStyle name="Heading 1 5" xfId="548"/>
    <cellStyle name="Heading 1 6" xfId="549"/>
    <cellStyle name="Heading 1 7" xfId="550"/>
    <cellStyle name="Heading 2" xfId="551"/>
    <cellStyle name="Heading 2 2" xfId="552"/>
    <cellStyle name="Heading 2 2 2" xfId="553"/>
    <cellStyle name="Heading 2 2 3" xfId="554"/>
    <cellStyle name="Heading 2 2 4" xfId="555"/>
    <cellStyle name="Heading 2 2 5" xfId="556"/>
    <cellStyle name="Heading 2 2_anakia II etapi.xls sm. defeqturi" xfId="557"/>
    <cellStyle name="Heading 2 3" xfId="558"/>
    <cellStyle name="Heading 2 4" xfId="559"/>
    <cellStyle name="Heading 2 4 2" xfId="560"/>
    <cellStyle name="Heading 2 4_anakia II etapi.xls sm. defeqturi" xfId="561"/>
    <cellStyle name="Heading 2 5" xfId="562"/>
    <cellStyle name="Heading 2 6" xfId="563"/>
    <cellStyle name="Heading 2 7" xfId="564"/>
    <cellStyle name="Heading 3" xfId="565"/>
    <cellStyle name="Heading 3 2" xfId="566"/>
    <cellStyle name="Heading 3 2 2" xfId="567"/>
    <cellStyle name="Heading 3 2 3" xfId="568"/>
    <cellStyle name="Heading 3 2 4" xfId="569"/>
    <cellStyle name="Heading 3 2 5" xfId="570"/>
    <cellStyle name="Heading 3 2_anakia II etapi.xls sm. defeqturi" xfId="571"/>
    <cellStyle name="Heading 3 3" xfId="572"/>
    <cellStyle name="Heading 3 4" xfId="573"/>
    <cellStyle name="Heading 3 4 2" xfId="574"/>
    <cellStyle name="Heading 3 4_anakia II etapi.xls sm. defeqturi" xfId="575"/>
    <cellStyle name="Heading 3 5" xfId="576"/>
    <cellStyle name="Heading 3 6" xfId="577"/>
    <cellStyle name="Heading 3 7" xfId="578"/>
    <cellStyle name="Heading 4" xfId="579"/>
    <cellStyle name="Heading 4 2" xfId="580"/>
    <cellStyle name="Heading 4 2 2" xfId="581"/>
    <cellStyle name="Heading 4 2 3" xfId="582"/>
    <cellStyle name="Heading 4 2 4" xfId="583"/>
    <cellStyle name="Heading 4 2 5" xfId="584"/>
    <cellStyle name="Heading 4 3" xfId="585"/>
    <cellStyle name="Heading 4 4" xfId="586"/>
    <cellStyle name="Heading 4 4 2" xfId="587"/>
    <cellStyle name="Heading 4 5" xfId="588"/>
    <cellStyle name="Heading 4 6" xfId="589"/>
    <cellStyle name="Heading 4 7" xfId="590"/>
    <cellStyle name="Hyperlink 2" xfId="591"/>
    <cellStyle name="Input" xfId="592"/>
    <cellStyle name="Input 2" xfId="593"/>
    <cellStyle name="Input 2 2" xfId="594"/>
    <cellStyle name="Input 2 3" xfId="595"/>
    <cellStyle name="Input 2 4" xfId="596"/>
    <cellStyle name="Input 2 5" xfId="597"/>
    <cellStyle name="Input 2_anakia II etapi.xls sm. defeqturi" xfId="598"/>
    <cellStyle name="Input 3" xfId="599"/>
    <cellStyle name="Input 4" xfId="600"/>
    <cellStyle name="Input 4 2" xfId="601"/>
    <cellStyle name="Input 4_anakia II etapi.xls sm. defeqturi" xfId="602"/>
    <cellStyle name="Input 5" xfId="603"/>
    <cellStyle name="Input 6" xfId="604"/>
    <cellStyle name="Input 7" xfId="605"/>
    <cellStyle name="Linked Cell" xfId="606"/>
    <cellStyle name="Linked Cell 2" xfId="607"/>
    <cellStyle name="Linked Cell 2 2" xfId="608"/>
    <cellStyle name="Linked Cell 2 3" xfId="609"/>
    <cellStyle name="Linked Cell 2 4" xfId="610"/>
    <cellStyle name="Linked Cell 2 5" xfId="611"/>
    <cellStyle name="Linked Cell 2_anakia II etapi.xls sm. defeqturi" xfId="612"/>
    <cellStyle name="Linked Cell 3" xfId="613"/>
    <cellStyle name="Linked Cell 4" xfId="614"/>
    <cellStyle name="Linked Cell 4 2" xfId="615"/>
    <cellStyle name="Linked Cell 4_anakia II etapi.xls sm. defeqturi" xfId="616"/>
    <cellStyle name="Linked Cell 5" xfId="617"/>
    <cellStyle name="Linked Cell 6" xfId="618"/>
    <cellStyle name="Linked Cell 7" xfId="619"/>
    <cellStyle name="Neutral" xfId="620"/>
    <cellStyle name="Neutral 2" xfId="621"/>
    <cellStyle name="Neutral 2 2" xfId="622"/>
    <cellStyle name="Neutral 2 3" xfId="623"/>
    <cellStyle name="Neutral 2 4" xfId="624"/>
    <cellStyle name="Neutral 2 5" xfId="625"/>
    <cellStyle name="Neutral 3" xfId="626"/>
    <cellStyle name="Neutral 4" xfId="627"/>
    <cellStyle name="Neutral 4 2" xfId="628"/>
    <cellStyle name="Neutral 5" xfId="629"/>
    <cellStyle name="Neutral 6" xfId="630"/>
    <cellStyle name="Neutral 7" xfId="631"/>
    <cellStyle name="Normal" xfId="0" builtinId="0"/>
    <cellStyle name="Normal 10" xfId="632"/>
    <cellStyle name="Normal 10 2" xfId="633"/>
    <cellStyle name="Normal 11" xfId="634"/>
    <cellStyle name="Normal 11 2" xfId="635"/>
    <cellStyle name="Normal 11 2 2" xfId="636"/>
    <cellStyle name="Normal 11 3" xfId="637"/>
    <cellStyle name="Normal 11_GAZI-2010" xfId="638"/>
    <cellStyle name="Normal 12" xfId="639"/>
    <cellStyle name="Normal 12 2" xfId="640"/>
    <cellStyle name="Normal 12_gazis gare qseli" xfId="641"/>
    <cellStyle name="Normal 13" xfId="642"/>
    <cellStyle name="Normal 13 2" xfId="643"/>
    <cellStyle name="Normal 13 2 2" xfId="644"/>
    <cellStyle name="Normal 13 2 3" xfId="645"/>
    <cellStyle name="Normal 13 3" xfId="646"/>
    <cellStyle name="Normal 13 3 2" xfId="647"/>
    <cellStyle name="Normal 13 3 3" xfId="648"/>
    <cellStyle name="Normal 13 3 3 2" xfId="649"/>
    <cellStyle name="Normal 13 3 3 3" xfId="650"/>
    <cellStyle name="Normal 13 3 4" xfId="651"/>
    <cellStyle name="Normal 13 3 5" xfId="652"/>
    <cellStyle name="Normal 13 4" xfId="653"/>
    <cellStyle name="Normal 13 5" xfId="654"/>
    <cellStyle name="Normal 13 5 2" xfId="655"/>
    <cellStyle name="Normal 13 5 3" xfId="656"/>
    <cellStyle name="Normal 13 5 3 2" xfId="657"/>
    <cellStyle name="Normal 13 5 3 3" xfId="658"/>
    <cellStyle name="Normal 13 5 3 4" xfId="659"/>
    <cellStyle name="Normal 13 5 4" xfId="660"/>
    <cellStyle name="Normal 13 6" xfId="661"/>
    <cellStyle name="Normal 13 7" xfId="662"/>
    <cellStyle name="Normal 13 8" xfId="663"/>
    <cellStyle name="Normal 13_# 6-1 27.01.12 - копия (1)" xfId="664"/>
    <cellStyle name="Normal 14" xfId="665"/>
    <cellStyle name="Normal 14 2" xfId="666"/>
    <cellStyle name="Normal 14 3" xfId="667"/>
    <cellStyle name="Normal 14 3 2" xfId="668"/>
    <cellStyle name="Normal 14 4" xfId="669"/>
    <cellStyle name="Normal 14 5" xfId="670"/>
    <cellStyle name="Normal 14 6" xfId="671"/>
    <cellStyle name="Normal 14_anakia II etapi.xls sm. defeqturi" xfId="672"/>
    <cellStyle name="Normal 15" xfId="673"/>
    <cellStyle name="Normal 16" xfId="674"/>
    <cellStyle name="Normal 16 2" xfId="675"/>
    <cellStyle name="Normal 16 3" xfId="676"/>
    <cellStyle name="Normal 16 4" xfId="677"/>
    <cellStyle name="Normal 16_# 6-1 27.01.12 - копия (1)" xfId="678"/>
    <cellStyle name="Normal 17" xfId="679"/>
    <cellStyle name="Normal 18" xfId="680"/>
    <cellStyle name="Normal 19" xfId="681"/>
    <cellStyle name="Normal 2" xfId="5"/>
    <cellStyle name="Normal 2 10" xfId="683"/>
    <cellStyle name="Normal 2 11" xfId="684"/>
    <cellStyle name="Normal 2 12" xfId="682"/>
    <cellStyle name="Normal 2 2" xfId="685"/>
    <cellStyle name="Normal 2 2 2" xfId="686"/>
    <cellStyle name="Normal 2 2 3" xfId="687"/>
    <cellStyle name="Normal 2 2 4" xfId="688"/>
    <cellStyle name="Normal 2 2 5" xfId="689"/>
    <cellStyle name="Normal 2 2 6" xfId="690"/>
    <cellStyle name="Normal 2 2 7" xfId="691"/>
    <cellStyle name="Normal 2 2_2D4CD000" xfId="692"/>
    <cellStyle name="Normal 2 3" xfId="693"/>
    <cellStyle name="Normal 2 4" xfId="694"/>
    <cellStyle name="Normal 2 5" xfId="695"/>
    <cellStyle name="Normal 2 6" xfId="696"/>
    <cellStyle name="Normal 2 7" xfId="697"/>
    <cellStyle name="Normal 2 7 2" xfId="698"/>
    <cellStyle name="Normal 2 7 3" xfId="699"/>
    <cellStyle name="Normal 2 7_anakia II etapi.xls sm. defeqturi" xfId="700"/>
    <cellStyle name="Normal 2 8" xfId="701"/>
    <cellStyle name="Normal 2 9" xfId="702"/>
    <cellStyle name="Normal 2_anakia II etapi.xls sm. defeqturi" xfId="703"/>
    <cellStyle name="Normal 20" xfId="704"/>
    <cellStyle name="Normal 21" xfId="705"/>
    <cellStyle name="Normal 22" xfId="706"/>
    <cellStyle name="Normal 23" xfId="707"/>
    <cellStyle name="Normal 24" xfId="708"/>
    <cellStyle name="Normal 25" xfId="709"/>
    <cellStyle name="Normal 26" xfId="710"/>
    <cellStyle name="Normal 27" xfId="711"/>
    <cellStyle name="Normal 28" xfId="712"/>
    <cellStyle name="Normal 29" xfId="713"/>
    <cellStyle name="Normal 29 2" xfId="714"/>
    <cellStyle name="Normal 3" xfId="2"/>
    <cellStyle name="Normal 3 2" xfId="715"/>
    <cellStyle name="Normal 3 2 2" xfId="716"/>
    <cellStyle name="Normal 3 2_anakia II etapi.xls sm. defeqturi" xfId="717"/>
    <cellStyle name="Normal 3 3" xfId="718"/>
    <cellStyle name="Normal 30" xfId="719"/>
    <cellStyle name="Normal 30 2" xfId="720"/>
    <cellStyle name="Normal 31" xfId="721"/>
    <cellStyle name="Normal 32" xfId="722"/>
    <cellStyle name="Normal 32 2" xfId="723"/>
    <cellStyle name="Normal 32 2 2" xfId="724"/>
    <cellStyle name="Normal 32 3" xfId="725"/>
    <cellStyle name="Normal 32 3 2" xfId="726"/>
    <cellStyle name="Normal 32 3 2 2" xfId="727"/>
    <cellStyle name="Normal 32 4" xfId="728"/>
    <cellStyle name="Normal 32_# 6-1 27.01.12 - копия (1)" xfId="729"/>
    <cellStyle name="Normal 33" xfId="730"/>
    <cellStyle name="Normal 33 2" xfId="731"/>
    <cellStyle name="Normal 34" xfId="732"/>
    <cellStyle name="Normal 35" xfId="733"/>
    <cellStyle name="Normal 35 2" xfId="734"/>
    <cellStyle name="Normal 35 3" xfId="735"/>
    <cellStyle name="Normal 36" xfId="736"/>
    <cellStyle name="Normal 36 2" xfId="737"/>
    <cellStyle name="Normal 36 2 2" xfId="738"/>
    <cellStyle name="Normal 36 2 2 2" xfId="906"/>
    <cellStyle name="Normal 36 2 3" xfId="739"/>
    <cellStyle name="Normal 36 2 4" xfId="740"/>
    <cellStyle name="Normal 36 3" xfId="741"/>
    <cellStyle name="Normal 36 4" xfId="742"/>
    <cellStyle name="Normal 37" xfId="743"/>
    <cellStyle name="Normal 37 2" xfId="744"/>
    <cellStyle name="Normal 38" xfId="745"/>
    <cellStyle name="Normal 38 2" xfId="746"/>
    <cellStyle name="Normal 38 2 2" xfId="747"/>
    <cellStyle name="Normal 38 3" xfId="748"/>
    <cellStyle name="Normal 38 3 2" xfId="749"/>
    <cellStyle name="Normal 38 4" xfId="750"/>
    <cellStyle name="Normal 39" xfId="751"/>
    <cellStyle name="Normal 39 2" xfId="752"/>
    <cellStyle name="Normal 4" xfId="753"/>
    <cellStyle name="Normal 4 2" xfId="754"/>
    <cellStyle name="Normal 4 3" xfId="755"/>
    <cellStyle name="Normal 40" xfId="756"/>
    <cellStyle name="Normal 40 2" xfId="757"/>
    <cellStyle name="Normal 40 3" xfId="758"/>
    <cellStyle name="Normal 41" xfId="759"/>
    <cellStyle name="Normal 41 2" xfId="760"/>
    <cellStyle name="Normal 42" xfId="761"/>
    <cellStyle name="Normal 42 2" xfId="762"/>
    <cellStyle name="Normal 42 3" xfId="763"/>
    <cellStyle name="Normal 43" xfId="764"/>
    <cellStyle name="Normal 44" xfId="765"/>
    <cellStyle name="Normal 45" xfId="766"/>
    <cellStyle name="Normal 46" xfId="767"/>
    <cellStyle name="Normal 47" xfId="768"/>
    <cellStyle name="Normal 47 2" xfId="769"/>
    <cellStyle name="Normal 47 3" xfId="770"/>
    <cellStyle name="Normal 47 3 2" xfId="771"/>
    <cellStyle name="Normal 47 3 3" xfId="772"/>
    <cellStyle name="Normal 47 4" xfId="773"/>
    <cellStyle name="Normal 5" xfId="774"/>
    <cellStyle name="Normal 5 2" xfId="775"/>
    <cellStyle name="Normal 5 2 2" xfId="776"/>
    <cellStyle name="Normal 5 3" xfId="777"/>
    <cellStyle name="Normal 5 4" xfId="778"/>
    <cellStyle name="Normal 5 4 2" xfId="779"/>
    <cellStyle name="Normal 5 4 3" xfId="780"/>
    <cellStyle name="Normal 5 5" xfId="781"/>
    <cellStyle name="Normal 5_Copy of SAN2010" xfId="782"/>
    <cellStyle name="Normal 50" xfId="907"/>
    <cellStyle name="Normal 6" xfId="783"/>
    <cellStyle name="Normal 7" xfId="784"/>
    <cellStyle name="Normal 75" xfId="785"/>
    <cellStyle name="Normal 8" xfId="786"/>
    <cellStyle name="Normal 8 2" xfId="787"/>
    <cellStyle name="Normal 8_2D4CD000" xfId="788"/>
    <cellStyle name="Normal 9" xfId="789"/>
    <cellStyle name="Normal 9 2" xfId="790"/>
    <cellStyle name="Normal 9 2 2" xfId="791"/>
    <cellStyle name="Normal 9 2 3" xfId="792"/>
    <cellStyle name="Normal 9 2 4" xfId="793"/>
    <cellStyle name="Normal 9 2_anakia II etapi.xls sm. defeqturi" xfId="794"/>
    <cellStyle name="Normal 9_2D4CD000" xfId="795"/>
    <cellStyle name="Normal_Book1 2" xfId="796"/>
    <cellStyle name="Normal_gare wyalsadfenigagarini 10" xfId="797"/>
    <cellStyle name="Normal_gare wyalsadfenigagarini 2 2" xfId="798"/>
    <cellStyle name="Normal_qavtarazis mravalfunqciuri kompleqsis xarjTaRricxva" xfId="4"/>
    <cellStyle name="Normal_SUSTI DENEBI" xfId="904"/>
    <cellStyle name="Note" xfId="799"/>
    <cellStyle name="Note 2" xfId="800"/>
    <cellStyle name="Note 2 2" xfId="801"/>
    <cellStyle name="Note 2 3" xfId="802"/>
    <cellStyle name="Note 2 4" xfId="803"/>
    <cellStyle name="Note 2 5" xfId="804"/>
    <cellStyle name="Note 2_anakia II etapi.xls sm. defeqturi" xfId="805"/>
    <cellStyle name="Note 3" xfId="806"/>
    <cellStyle name="Note 4" xfId="807"/>
    <cellStyle name="Note 4 2" xfId="808"/>
    <cellStyle name="Note 4_anakia II etapi.xls sm. defeqturi" xfId="809"/>
    <cellStyle name="Note 5" xfId="810"/>
    <cellStyle name="Note 6" xfId="811"/>
    <cellStyle name="Note 7" xfId="812"/>
    <cellStyle name="Output" xfId="813"/>
    <cellStyle name="Output 2" xfId="814"/>
    <cellStyle name="Output 2 2" xfId="815"/>
    <cellStyle name="Output 2 3" xfId="816"/>
    <cellStyle name="Output 2 4" xfId="817"/>
    <cellStyle name="Output 2 5" xfId="818"/>
    <cellStyle name="Output 2_anakia II etapi.xls sm. defeqturi" xfId="819"/>
    <cellStyle name="Output 3" xfId="820"/>
    <cellStyle name="Output 4" xfId="821"/>
    <cellStyle name="Output 4 2" xfId="822"/>
    <cellStyle name="Output 4_anakia II etapi.xls sm. defeqturi" xfId="823"/>
    <cellStyle name="Output 5" xfId="824"/>
    <cellStyle name="Output 6" xfId="825"/>
    <cellStyle name="Output 7" xfId="826"/>
    <cellStyle name="Percent 2" xfId="827"/>
    <cellStyle name="Percent 3" xfId="828"/>
    <cellStyle name="Percent 3 2" xfId="829"/>
    <cellStyle name="Percent 4" xfId="830"/>
    <cellStyle name="Percent 5" xfId="831"/>
    <cellStyle name="Percent 6" xfId="832"/>
    <cellStyle name="Style 1" xfId="833"/>
    <cellStyle name="Title" xfId="834"/>
    <cellStyle name="Title 2" xfId="835"/>
    <cellStyle name="Title 2 2" xfId="836"/>
    <cellStyle name="Title 2 3" xfId="837"/>
    <cellStyle name="Title 2 4" xfId="838"/>
    <cellStyle name="Title 2 5" xfId="839"/>
    <cellStyle name="Title 3" xfId="840"/>
    <cellStyle name="Title 4" xfId="841"/>
    <cellStyle name="Title 4 2" xfId="842"/>
    <cellStyle name="Title 5" xfId="843"/>
    <cellStyle name="Title 6" xfId="844"/>
    <cellStyle name="Title 7" xfId="845"/>
    <cellStyle name="Total" xfId="846"/>
    <cellStyle name="Total 2" xfId="847"/>
    <cellStyle name="Total 2 2" xfId="848"/>
    <cellStyle name="Total 2 3" xfId="849"/>
    <cellStyle name="Total 2 4" xfId="850"/>
    <cellStyle name="Total 2 5" xfId="851"/>
    <cellStyle name="Total 2_anakia II etapi.xls sm. defeqturi" xfId="852"/>
    <cellStyle name="Total 3" xfId="853"/>
    <cellStyle name="Total 4" xfId="854"/>
    <cellStyle name="Total 4 2" xfId="855"/>
    <cellStyle name="Total 4_anakia II etapi.xls sm. defeqturi" xfId="856"/>
    <cellStyle name="Total 5" xfId="857"/>
    <cellStyle name="Total 6" xfId="858"/>
    <cellStyle name="Total 7" xfId="859"/>
    <cellStyle name="Warning Text" xfId="860"/>
    <cellStyle name="Warning Text 2" xfId="861"/>
    <cellStyle name="Warning Text 2 2" xfId="862"/>
    <cellStyle name="Warning Text 2 3" xfId="863"/>
    <cellStyle name="Warning Text 2 4" xfId="864"/>
    <cellStyle name="Warning Text 2 5" xfId="865"/>
    <cellStyle name="Warning Text 3" xfId="866"/>
    <cellStyle name="Warning Text 4" xfId="867"/>
    <cellStyle name="Warning Text 4 2" xfId="868"/>
    <cellStyle name="Warning Text 5" xfId="869"/>
    <cellStyle name="Warning Text 6" xfId="870"/>
    <cellStyle name="Warning Text 7" xfId="871"/>
    <cellStyle name="Обычный 10" xfId="872"/>
    <cellStyle name="Обычный 10 2" xfId="873"/>
    <cellStyle name="Обычный 11" xfId="6"/>
    <cellStyle name="Обычный 2" xfId="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Лист1" xfId="905"/>
    <cellStyle name="Плохой 2" xfId="895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3" xfId="901"/>
    <cellStyle name="Финансовый 4" xfId="902"/>
    <cellStyle name="Финансовый 5" xfId="903"/>
    <cellStyle name="Финансовый 6" xfId="479"/>
  </cellStyles>
  <dxfs count="0"/>
  <tableStyles count="0" defaultTableStyle="TableStyleMedium9" defaultPivotStyle="PivotStyleLight16"/>
  <colors>
    <mruColors>
      <color rgb="FFFFCCFF"/>
      <color rgb="FF00FF99"/>
      <color rgb="FFFF66FF"/>
      <color rgb="FF66FFCC"/>
      <color rgb="FFFED2A2"/>
      <color rgb="FF0000FF"/>
      <color rgb="FFFF00FF"/>
      <color rgb="FFFF99FF"/>
      <color rgb="FF9900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zoomScale="90" zoomScaleNormal="90" workbookViewId="0">
      <selection activeCell="H5" sqref="H5"/>
    </sheetView>
  </sheetViews>
  <sheetFormatPr defaultColWidth="8.85546875" defaultRowHeight="15" x14ac:dyDescent="0.25"/>
  <cols>
    <col min="1" max="1" width="5.85546875" style="15" customWidth="1"/>
    <col min="2" max="2" width="18.28515625" style="15" customWidth="1"/>
    <col min="3" max="3" width="42.28515625" style="15" customWidth="1"/>
    <col min="4" max="4" width="17.5703125" style="17" customWidth="1"/>
    <col min="5" max="5" width="14" style="17" customWidth="1"/>
    <col min="6" max="6" width="14.28515625" style="17" customWidth="1"/>
    <col min="7" max="7" width="17.5703125" style="17" customWidth="1"/>
    <col min="8" max="8" width="37.140625" style="1" customWidth="1"/>
    <col min="9" max="16384" width="8.85546875" style="1"/>
  </cols>
  <sheetData>
    <row r="1" spans="1:7" ht="24.6" customHeight="1" x14ac:dyDescent="0.25">
      <c r="A1" s="434" t="s">
        <v>40</v>
      </c>
      <c r="B1" s="434"/>
      <c r="C1" s="434"/>
      <c r="D1" s="434"/>
      <c r="E1" s="434"/>
      <c r="F1" s="434"/>
      <c r="G1" s="434"/>
    </row>
    <row r="2" spans="1:7" ht="9.75" customHeight="1" x14ac:dyDescent="0.25">
      <c r="A2" s="24"/>
      <c r="B2" s="24"/>
      <c r="C2" s="24"/>
      <c r="D2" s="26"/>
      <c r="E2" s="26"/>
      <c r="F2" s="26"/>
      <c r="G2" s="26"/>
    </row>
    <row r="3" spans="1:7" ht="33.75" customHeight="1" x14ac:dyDescent="0.25">
      <c r="A3" s="434" t="s">
        <v>237</v>
      </c>
      <c r="B3" s="434"/>
      <c r="C3" s="434"/>
      <c r="D3" s="434"/>
      <c r="E3" s="434"/>
      <c r="F3" s="434"/>
      <c r="G3" s="434"/>
    </row>
    <row r="4" spans="1:7" ht="11.45" customHeight="1" x14ac:dyDescent="0.25">
      <c r="A4" s="24"/>
      <c r="B4" s="24"/>
      <c r="C4" s="24"/>
      <c r="D4" s="26"/>
      <c r="E4" s="26"/>
      <c r="F4" s="26"/>
      <c r="G4" s="26"/>
    </row>
    <row r="5" spans="1:7" ht="31.15" customHeight="1" x14ac:dyDescent="0.25">
      <c r="A5" s="435" t="s">
        <v>0</v>
      </c>
      <c r="B5" s="435" t="s">
        <v>41</v>
      </c>
      <c r="C5" s="435" t="s">
        <v>42</v>
      </c>
      <c r="D5" s="436" t="s">
        <v>43</v>
      </c>
      <c r="E5" s="436"/>
      <c r="F5" s="436"/>
      <c r="G5" s="436"/>
    </row>
    <row r="6" spans="1:7" ht="47.25" x14ac:dyDescent="0.25">
      <c r="A6" s="435"/>
      <c r="B6" s="435"/>
      <c r="C6" s="435"/>
      <c r="D6" s="426" t="s">
        <v>44</v>
      </c>
      <c r="E6" s="426" t="s">
        <v>45</v>
      </c>
      <c r="F6" s="426" t="s">
        <v>46</v>
      </c>
      <c r="G6" s="426" t="s">
        <v>49</v>
      </c>
    </row>
    <row r="7" spans="1:7" ht="15.75" x14ac:dyDescent="0.25">
      <c r="A7" s="428">
        <v>1</v>
      </c>
      <c r="B7" s="428">
        <v>2</v>
      </c>
      <c r="C7" s="428">
        <v>3</v>
      </c>
      <c r="D7" s="428">
        <v>4</v>
      </c>
      <c r="E7" s="428">
        <v>5</v>
      </c>
      <c r="F7" s="428">
        <v>6</v>
      </c>
      <c r="G7" s="428">
        <v>7</v>
      </c>
    </row>
    <row r="8" spans="1:7" ht="15.75" x14ac:dyDescent="0.25">
      <c r="A8" s="88">
        <v>1</v>
      </c>
      <c r="B8" s="88" t="s">
        <v>169</v>
      </c>
      <c r="C8" s="88" t="s">
        <v>56</v>
      </c>
      <c r="D8" s="89">
        <f>'#1-1'!L146</f>
        <v>0</v>
      </c>
      <c r="E8" s="89"/>
      <c r="F8" s="89"/>
      <c r="G8" s="89">
        <f t="shared" ref="G8:G9" si="0">D8</f>
        <v>0</v>
      </c>
    </row>
    <row r="9" spans="1:7" ht="15.75" x14ac:dyDescent="0.25">
      <c r="A9" s="88">
        <v>2</v>
      </c>
      <c r="B9" s="131" t="s">
        <v>170</v>
      </c>
      <c r="C9" s="88" t="s">
        <v>38</v>
      </c>
      <c r="D9" s="89">
        <f>'#1-2'!L70</f>
        <v>0</v>
      </c>
      <c r="E9" s="89"/>
      <c r="F9" s="89"/>
      <c r="G9" s="89">
        <f t="shared" si="0"/>
        <v>0</v>
      </c>
    </row>
    <row r="10" spans="1:7" ht="47.25" x14ac:dyDescent="0.25">
      <c r="A10" s="131">
        <v>3</v>
      </c>
      <c r="B10" s="131" t="s">
        <v>171</v>
      </c>
      <c r="C10" s="88" t="s">
        <v>137</v>
      </c>
      <c r="D10" s="89">
        <f>'#1-3'!L234</f>
        <v>0</v>
      </c>
      <c r="E10" s="89"/>
      <c r="F10" s="89"/>
      <c r="G10" s="89">
        <f>SUM(D10:F10)</f>
        <v>0</v>
      </c>
    </row>
    <row r="11" spans="1:7" ht="15.75" x14ac:dyDescent="0.25">
      <c r="A11" s="131"/>
      <c r="B11" s="131"/>
      <c r="C11" s="88"/>
      <c r="D11" s="89"/>
      <c r="E11" s="89"/>
      <c r="F11" s="89"/>
      <c r="G11" s="166"/>
    </row>
    <row r="12" spans="1:7" ht="15.75" x14ac:dyDescent="0.25">
      <c r="A12" s="131"/>
      <c r="B12" s="131"/>
      <c r="C12" s="88"/>
      <c r="D12" s="89"/>
      <c r="E12" s="89"/>
      <c r="F12" s="89"/>
      <c r="G12" s="166"/>
    </row>
    <row r="13" spans="1:7" ht="15.75" x14ac:dyDescent="0.25">
      <c r="A13" s="131"/>
      <c r="B13" s="131"/>
      <c r="C13" s="131"/>
      <c r="D13" s="132"/>
      <c r="E13" s="132"/>
      <c r="F13" s="132"/>
      <c r="G13" s="132"/>
    </row>
    <row r="14" spans="1:7" ht="15.75" x14ac:dyDescent="0.25">
      <c r="A14" s="131"/>
      <c r="B14" s="131"/>
      <c r="C14" s="131"/>
      <c r="D14" s="132"/>
      <c r="E14" s="132"/>
      <c r="F14" s="132"/>
      <c r="G14" s="132"/>
    </row>
    <row r="15" spans="1:7" ht="15.75" x14ac:dyDescent="0.25">
      <c r="A15" s="20"/>
      <c r="B15" s="20"/>
      <c r="C15" s="22" t="s">
        <v>47</v>
      </c>
      <c r="D15" s="19">
        <f>SUM(D8:D9)</f>
        <v>0</v>
      </c>
      <c r="E15" s="18"/>
      <c r="F15" s="18"/>
      <c r="G15" s="19">
        <f>SUM(G8:G14)</f>
        <v>0</v>
      </c>
    </row>
    <row r="16" spans="1:7" ht="15.75" x14ac:dyDescent="0.25">
      <c r="A16" s="88"/>
      <c r="B16" s="88"/>
      <c r="C16" s="88" t="s">
        <v>11</v>
      </c>
      <c r="D16" s="94" t="s">
        <v>321</v>
      </c>
      <c r="E16" s="89"/>
      <c r="F16" s="89"/>
      <c r="G16" s="89"/>
    </row>
    <row r="17" spans="1:7" ht="15.75" x14ac:dyDescent="0.25">
      <c r="A17" s="88"/>
      <c r="B17" s="88"/>
      <c r="C17" s="88"/>
      <c r="D17" s="91"/>
      <c r="E17" s="89"/>
      <c r="F17" s="89"/>
      <c r="G17" s="89"/>
    </row>
    <row r="18" spans="1:7" ht="15.75" x14ac:dyDescent="0.25">
      <c r="A18" s="20"/>
      <c r="B18" s="20"/>
      <c r="C18" s="22" t="s">
        <v>48</v>
      </c>
      <c r="D18" s="18"/>
      <c r="E18" s="18"/>
      <c r="F18" s="18"/>
      <c r="G18" s="19"/>
    </row>
    <row r="19" spans="1:7" ht="10.9" customHeight="1" x14ac:dyDescent="0.25">
      <c r="A19" s="24"/>
      <c r="B19" s="24"/>
      <c r="C19" s="24"/>
      <c r="D19" s="26"/>
      <c r="E19" s="26"/>
      <c r="F19" s="26"/>
      <c r="G19" s="26"/>
    </row>
    <row r="20" spans="1:7" ht="15.75" x14ac:dyDescent="0.25">
      <c r="A20" s="24"/>
      <c r="B20" s="24"/>
      <c r="C20" s="90"/>
      <c r="D20" s="37"/>
      <c r="E20" s="35"/>
      <c r="F20" s="26"/>
      <c r="G20" s="26"/>
    </row>
    <row r="21" spans="1:7" ht="15.75" x14ac:dyDescent="0.25">
      <c r="C21" s="433"/>
      <c r="D21" s="433"/>
      <c r="E21" s="433"/>
    </row>
  </sheetData>
  <mergeCells count="7">
    <mergeCell ref="C21:E21"/>
    <mergeCell ref="A1:G1"/>
    <mergeCell ref="A3:G3"/>
    <mergeCell ref="A5:A6"/>
    <mergeCell ref="B5:B6"/>
    <mergeCell ref="C5:C6"/>
    <mergeCell ref="D5:G5"/>
  </mergeCells>
  <pageMargins left="0.70866141732283472" right="0.39" top="0.2" bottom="0.23" header="0.19685039370078741" footer="0.16"/>
  <pageSetup paperSize="9" orientation="landscape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M162"/>
  <sheetViews>
    <sheetView topLeftCell="A133" zoomScaleNormal="100" workbookViewId="0">
      <selection activeCell="N7" sqref="N7"/>
    </sheetView>
  </sheetViews>
  <sheetFormatPr defaultColWidth="8.85546875" defaultRowHeight="16.5" x14ac:dyDescent="0.25"/>
  <cols>
    <col min="1" max="1" width="6" style="12" customWidth="1"/>
    <col min="2" max="2" width="29.85546875" style="24" customWidth="1"/>
    <col min="3" max="3" width="9" style="12" customWidth="1"/>
    <col min="4" max="4" width="9.85546875" style="43" customWidth="1"/>
    <col min="5" max="5" width="10.85546875" style="32" customWidth="1"/>
    <col min="6" max="6" width="9.140625" style="26" customWidth="1"/>
    <col min="7" max="7" width="11.140625" style="26" customWidth="1"/>
    <col min="8" max="8" width="6" style="26" customWidth="1"/>
    <col min="9" max="9" width="12.5703125" style="26" customWidth="1"/>
    <col min="10" max="10" width="6.5703125" style="26" customWidth="1"/>
    <col min="11" max="11" width="10.85546875" style="26" customWidth="1"/>
    <col min="12" max="12" width="16" style="26" customWidth="1"/>
    <col min="13" max="13" width="50.42578125" style="3" customWidth="1"/>
    <col min="14" max="14" width="18.140625" style="2" customWidth="1"/>
    <col min="15" max="16384" width="8.85546875" style="2"/>
  </cols>
  <sheetData>
    <row r="1" spans="1:13" s="3" customFormat="1" x14ac:dyDescent="0.25">
      <c r="A1" s="12"/>
      <c r="B1" s="24"/>
      <c r="C1" s="12"/>
      <c r="D1" s="43"/>
      <c r="E1" s="32"/>
      <c r="F1" s="26"/>
      <c r="G1" s="26"/>
      <c r="H1" s="26"/>
      <c r="I1" s="26"/>
      <c r="J1" s="437" t="s">
        <v>320</v>
      </c>
      <c r="K1" s="437"/>
      <c r="L1" s="437"/>
    </row>
    <row r="2" spans="1:13" ht="53.45" customHeight="1" x14ac:dyDescent="0.25">
      <c r="A2" s="441" t="s">
        <v>306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29"/>
    </row>
    <row r="3" spans="1:13" x14ac:dyDescent="0.25">
      <c r="A3" s="442" t="s">
        <v>56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3" x14ac:dyDescent="0.25">
      <c r="B4" s="190"/>
      <c r="C4" s="5"/>
      <c r="D4" s="173"/>
      <c r="E4" s="167"/>
      <c r="F4" s="222"/>
      <c r="G4" s="222"/>
      <c r="H4" s="222"/>
      <c r="I4" s="222"/>
      <c r="J4" s="222"/>
      <c r="K4" s="222"/>
      <c r="L4" s="222"/>
    </row>
    <row r="5" spans="1:13" ht="35.450000000000003" customHeight="1" x14ac:dyDescent="0.25">
      <c r="A5" s="443" t="s">
        <v>0</v>
      </c>
      <c r="B5" s="435" t="s">
        <v>1</v>
      </c>
      <c r="C5" s="443" t="s">
        <v>2</v>
      </c>
      <c r="D5" s="446" t="s">
        <v>116</v>
      </c>
      <c r="E5" s="446"/>
      <c r="F5" s="436" t="s">
        <v>5</v>
      </c>
      <c r="G5" s="436"/>
      <c r="H5" s="436" t="s">
        <v>6</v>
      </c>
      <c r="I5" s="436"/>
      <c r="J5" s="444" t="s">
        <v>26</v>
      </c>
      <c r="K5" s="445"/>
      <c r="L5" s="436" t="s">
        <v>7</v>
      </c>
    </row>
    <row r="6" spans="1:13" ht="47.25" x14ac:dyDescent="0.25">
      <c r="A6" s="443"/>
      <c r="B6" s="435"/>
      <c r="C6" s="443"/>
      <c r="D6" s="424" t="s">
        <v>117</v>
      </c>
      <c r="E6" s="425" t="s">
        <v>19</v>
      </c>
      <c r="F6" s="426" t="s">
        <v>8</v>
      </c>
      <c r="G6" s="426" t="s">
        <v>9</v>
      </c>
      <c r="H6" s="426" t="s">
        <v>8</v>
      </c>
      <c r="I6" s="426" t="s">
        <v>9</v>
      </c>
      <c r="J6" s="426" t="s">
        <v>8</v>
      </c>
      <c r="K6" s="426" t="s">
        <v>9</v>
      </c>
      <c r="L6" s="436"/>
    </row>
    <row r="7" spans="1:13" x14ac:dyDescent="0.25">
      <c r="A7" s="427">
        <v>1</v>
      </c>
      <c r="B7" s="428" t="s">
        <v>140</v>
      </c>
      <c r="C7" s="427" t="s">
        <v>57</v>
      </c>
      <c r="D7" s="424">
        <v>4</v>
      </c>
      <c r="E7" s="425">
        <v>5</v>
      </c>
      <c r="F7" s="424">
        <v>6</v>
      </c>
      <c r="G7" s="425">
        <v>7</v>
      </c>
      <c r="H7" s="424">
        <v>8</v>
      </c>
      <c r="I7" s="425">
        <v>9</v>
      </c>
      <c r="J7" s="424">
        <v>10</v>
      </c>
      <c r="K7" s="425">
        <v>11</v>
      </c>
      <c r="L7" s="424">
        <v>12</v>
      </c>
    </row>
    <row r="8" spans="1:13" s="4" customFormat="1" ht="54" x14ac:dyDescent="0.25">
      <c r="A8" s="95" t="s">
        <v>139</v>
      </c>
      <c r="B8" s="95" t="s">
        <v>159</v>
      </c>
      <c r="C8" s="8"/>
      <c r="D8" s="8"/>
      <c r="E8" s="39"/>
      <c r="F8" s="118"/>
      <c r="G8" s="118"/>
      <c r="H8" s="118"/>
      <c r="I8" s="118"/>
      <c r="J8" s="118"/>
      <c r="K8" s="118"/>
      <c r="L8" s="168"/>
    </row>
    <row r="9" spans="1:13" s="54" customFormat="1" ht="15.75" x14ac:dyDescent="0.25">
      <c r="A9" s="438" t="s">
        <v>139</v>
      </c>
      <c r="B9" s="214" t="s">
        <v>185</v>
      </c>
      <c r="C9" s="269" t="s">
        <v>16</v>
      </c>
      <c r="D9" s="152"/>
      <c r="E9" s="223">
        <v>57.18</v>
      </c>
      <c r="F9" s="118"/>
      <c r="G9" s="118"/>
      <c r="H9" s="118"/>
      <c r="I9" s="118"/>
      <c r="J9" s="118"/>
      <c r="K9" s="118"/>
      <c r="L9" s="260"/>
    </row>
    <row r="10" spans="1:13" s="54" customFormat="1" ht="15.75" x14ac:dyDescent="0.25">
      <c r="A10" s="439"/>
      <c r="B10" s="212" t="s">
        <v>22</v>
      </c>
      <c r="C10" s="269" t="s">
        <v>24</v>
      </c>
      <c r="D10" s="152">
        <v>0.28899999999999998</v>
      </c>
      <c r="E10" s="129">
        <f>E9*D10</f>
        <v>16.525019999999998</v>
      </c>
      <c r="F10" s="118"/>
      <c r="G10" s="118"/>
      <c r="H10" s="118"/>
      <c r="I10" s="118"/>
      <c r="J10" s="118"/>
      <c r="K10" s="118"/>
      <c r="L10" s="118"/>
    </row>
    <row r="11" spans="1:13" s="54" customFormat="1" ht="15.75" x14ac:dyDescent="0.25">
      <c r="A11" s="440"/>
      <c r="B11" s="193" t="s">
        <v>23</v>
      </c>
      <c r="C11" s="145" t="s">
        <v>20</v>
      </c>
      <c r="D11" s="150">
        <v>6.2799999999999995E-2</v>
      </c>
      <c r="E11" s="267">
        <f>E9*D11</f>
        <v>3.5909039999999997</v>
      </c>
      <c r="F11" s="118"/>
      <c r="G11" s="118"/>
      <c r="H11" s="118"/>
      <c r="I11" s="118"/>
      <c r="J11" s="118"/>
      <c r="K11" s="118"/>
      <c r="L11" s="260"/>
    </row>
    <row r="12" spans="1:13" s="4" customFormat="1" ht="47.25" x14ac:dyDescent="0.25">
      <c r="A12" s="438" t="s">
        <v>140</v>
      </c>
      <c r="B12" s="191" t="s">
        <v>178</v>
      </c>
      <c r="C12" s="145" t="s">
        <v>16</v>
      </c>
      <c r="D12" s="150"/>
      <c r="E12" s="223">
        <v>105.77999999999999</v>
      </c>
      <c r="F12" s="118"/>
      <c r="G12" s="118"/>
      <c r="H12" s="118"/>
      <c r="I12" s="118"/>
      <c r="J12" s="118"/>
      <c r="K12" s="118"/>
      <c r="L12" s="168"/>
    </row>
    <row r="13" spans="1:13" s="4" customFormat="1" ht="15.75" x14ac:dyDescent="0.25">
      <c r="A13" s="439"/>
      <c r="B13" s="192" t="s">
        <v>28</v>
      </c>
      <c r="C13" s="16" t="s">
        <v>24</v>
      </c>
      <c r="D13" s="150">
        <v>0.186</v>
      </c>
      <c r="E13" s="188">
        <f>E12*D13</f>
        <v>19.675079999999998</v>
      </c>
      <c r="F13" s="118"/>
      <c r="G13" s="118"/>
      <c r="H13" s="118"/>
      <c r="I13" s="118"/>
      <c r="J13" s="118"/>
      <c r="K13" s="118"/>
      <c r="L13" s="168"/>
    </row>
    <row r="14" spans="1:13" s="4" customFormat="1" ht="15.75" x14ac:dyDescent="0.25">
      <c r="A14" s="440"/>
      <c r="B14" s="193" t="s">
        <v>23</v>
      </c>
      <c r="C14" s="145" t="s">
        <v>20</v>
      </c>
      <c r="D14" s="150">
        <v>1.6000000000000001E-3</v>
      </c>
      <c r="E14" s="188">
        <f>E12*D14</f>
        <v>0.16924799999999998</v>
      </c>
      <c r="F14" s="118"/>
      <c r="G14" s="118"/>
      <c r="H14" s="118"/>
      <c r="I14" s="118"/>
      <c r="J14" s="118"/>
      <c r="K14" s="118"/>
      <c r="L14" s="168"/>
    </row>
    <row r="15" spans="1:13" s="4" customFormat="1" ht="31.5" x14ac:dyDescent="0.25">
      <c r="A15" s="447" t="s">
        <v>57</v>
      </c>
      <c r="B15" s="191" t="s">
        <v>238</v>
      </c>
      <c r="C15" s="145" t="s">
        <v>15</v>
      </c>
      <c r="D15" s="150"/>
      <c r="E15" s="223">
        <v>0.42000000000000004</v>
      </c>
      <c r="F15" s="118"/>
      <c r="G15" s="118"/>
      <c r="H15" s="118"/>
      <c r="I15" s="118"/>
      <c r="J15" s="118"/>
      <c r="K15" s="118"/>
      <c r="L15" s="275"/>
    </row>
    <row r="16" spans="1:13" s="4" customFormat="1" ht="15.75" x14ac:dyDescent="0.25">
      <c r="A16" s="447"/>
      <c r="B16" s="192" t="s">
        <v>28</v>
      </c>
      <c r="C16" s="16" t="s">
        <v>24</v>
      </c>
      <c r="D16" s="150">
        <v>8.26</v>
      </c>
      <c r="E16" s="282">
        <f>E15*D16</f>
        <v>3.4692000000000003</v>
      </c>
      <c r="F16" s="118"/>
      <c r="G16" s="118"/>
      <c r="H16" s="118"/>
      <c r="I16" s="118"/>
      <c r="J16" s="118"/>
      <c r="K16" s="118"/>
      <c r="L16" s="275"/>
    </row>
    <row r="17" spans="1:12" s="4" customFormat="1" ht="15.75" x14ac:dyDescent="0.25">
      <c r="A17" s="447"/>
      <c r="B17" s="193" t="s">
        <v>23</v>
      </c>
      <c r="C17" s="145" t="s">
        <v>20</v>
      </c>
      <c r="D17" s="150">
        <v>2.61</v>
      </c>
      <c r="E17" s="282">
        <f>E15*D17</f>
        <v>1.0962000000000001</v>
      </c>
      <c r="F17" s="118"/>
      <c r="G17" s="118"/>
      <c r="H17" s="118"/>
      <c r="I17" s="118"/>
      <c r="J17" s="118"/>
      <c r="K17" s="118"/>
      <c r="L17" s="275"/>
    </row>
    <row r="18" spans="1:12" s="4" customFormat="1" ht="31.5" x14ac:dyDescent="0.25">
      <c r="A18" s="438" t="s">
        <v>141</v>
      </c>
      <c r="B18" s="191" t="s">
        <v>239</v>
      </c>
      <c r="C18" s="145" t="s">
        <v>16</v>
      </c>
      <c r="D18" s="150"/>
      <c r="E18" s="223">
        <v>9.870000000000001</v>
      </c>
      <c r="F18" s="118"/>
      <c r="G18" s="118"/>
      <c r="H18" s="118"/>
      <c r="I18" s="118"/>
      <c r="J18" s="118"/>
      <c r="K18" s="118"/>
      <c r="L18" s="168"/>
    </row>
    <row r="19" spans="1:12" s="4" customFormat="1" ht="15.75" x14ac:dyDescent="0.25">
      <c r="A19" s="439"/>
      <c r="B19" s="192" t="s">
        <v>28</v>
      </c>
      <c r="C19" s="16" t="s">
        <v>24</v>
      </c>
      <c r="D19" s="150">
        <v>0.88700000000000001</v>
      </c>
      <c r="E19" s="188">
        <f>E18*D19</f>
        <v>8.7546900000000019</v>
      </c>
      <c r="F19" s="118"/>
      <c r="G19" s="118"/>
      <c r="H19" s="118"/>
      <c r="I19" s="118"/>
      <c r="J19" s="118"/>
      <c r="K19" s="118"/>
      <c r="L19" s="168"/>
    </row>
    <row r="20" spans="1:12" s="4" customFormat="1" ht="15.75" x14ac:dyDescent="0.25">
      <c r="A20" s="440"/>
      <c r="B20" s="193" t="s">
        <v>23</v>
      </c>
      <c r="C20" s="145" t="s">
        <v>20</v>
      </c>
      <c r="D20" s="150">
        <v>9.8400000000000001E-2</v>
      </c>
      <c r="E20" s="188">
        <f>E18*D20</f>
        <v>0.97120800000000007</v>
      </c>
      <c r="F20" s="118"/>
      <c r="G20" s="118"/>
      <c r="H20" s="118"/>
      <c r="I20" s="118"/>
      <c r="J20" s="118"/>
      <c r="K20" s="118"/>
      <c r="L20" s="168"/>
    </row>
    <row r="21" spans="1:12" s="4" customFormat="1" ht="31.5" x14ac:dyDescent="0.25">
      <c r="A21" s="438" t="s">
        <v>34</v>
      </c>
      <c r="B21" s="191" t="s">
        <v>240</v>
      </c>
      <c r="C21" s="145" t="s">
        <v>16</v>
      </c>
      <c r="D21" s="150"/>
      <c r="E21" s="223">
        <v>5.6</v>
      </c>
      <c r="F21" s="118"/>
      <c r="G21" s="118"/>
      <c r="H21" s="118"/>
      <c r="I21" s="118"/>
      <c r="J21" s="118"/>
      <c r="K21" s="118"/>
      <c r="L21" s="168"/>
    </row>
    <row r="22" spans="1:12" s="4" customFormat="1" ht="15.75" x14ac:dyDescent="0.25">
      <c r="A22" s="439"/>
      <c r="B22" s="192" t="s">
        <v>28</v>
      </c>
      <c r="C22" s="16" t="s">
        <v>24</v>
      </c>
      <c r="D22" s="150">
        <v>1.7</v>
      </c>
      <c r="E22" s="188">
        <f>E21*D22</f>
        <v>9.52</v>
      </c>
      <c r="F22" s="118"/>
      <c r="G22" s="118"/>
      <c r="H22" s="118"/>
      <c r="I22" s="118"/>
      <c r="J22" s="118"/>
      <c r="K22" s="118"/>
      <c r="L22" s="168"/>
    </row>
    <row r="23" spans="1:12" s="4" customFormat="1" ht="15.75" x14ac:dyDescent="0.25">
      <c r="A23" s="440"/>
      <c r="B23" s="193" t="s">
        <v>23</v>
      </c>
      <c r="C23" s="145" t="s">
        <v>20</v>
      </c>
      <c r="D23" s="150">
        <v>9.8400000000000001E-2</v>
      </c>
      <c r="E23" s="188">
        <f>E21*D23</f>
        <v>0.55103999999999997</v>
      </c>
      <c r="F23" s="118"/>
      <c r="G23" s="118"/>
      <c r="H23" s="118"/>
      <c r="I23" s="118"/>
      <c r="J23" s="118"/>
      <c r="K23" s="118"/>
      <c r="L23" s="168"/>
    </row>
    <row r="24" spans="1:12" s="4" customFormat="1" ht="63" x14ac:dyDescent="0.25">
      <c r="A24" s="409" t="s">
        <v>136</v>
      </c>
      <c r="B24" s="191" t="s">
        <v>241</v>
      </c>
      <c r="C24" s="145"/>
      <c r="D24" s="150"/>
      <c r="E24" s="284"/>
      <c r="F24" s="118"/>
      <c r="G24" s="118"/>
      <c r="H24" s="118"/>
      <c r="I24" s="118"/>
      <c r="J24" s="118"/>
      <c r="K24" s="118"/>
      <c r="L24" s="283"/>
    </row>
    <row r="25" spans="1:12" s="4" customFormat="1" ht="47.25" x14ac:dyDescent="0.25">
      <c r="A25" s="438" t="s">
        <v>316</v>
      </c>
      <c r="B25" s="191" t="s">
        <v>242</v>
      </c>
      <c r="C25" s="145" t="s">
        <v>15</v>
      </c>
      <c r="D25" s="150"/>
      <c r="E25" s="223">
        <v>8.32</v>
      </c>
      <c r="F25" s="118"/>
      <c r="G25" s="118"/>
      <c r="H25" s="118"/>
      <c r="I25" s="118"/>
      <c r="J25" s="118"/>
      <c r="K25" s="118"/>
      <c r="L25" s="283"/>
    </row>
    <row r="26" spans="1:12" s="4" customFormat="1" ht="15.75" x14ac:dyDescent="0.25">
      <c r="A26" s="439"/>
      <c r="B26" s="192" t="s">
        <v>28</v>
      </c>
      <c r="C26" s="16" t="s">
        <v>24</v>
      </c>
      <c r="D26" s="150">
        <v>4.8</v>
      </c>
      <c r="E26" s="284">
        <f>E25*D26</f>
        <v>39.936</v>
      </c>
      <c r="F26" s="118"/>
      <c r="G26" s="118"/>
      <c r="H26" s="118"/>
      <c r="I26" s="118"/>
      <c r="J26" s="118"/>
      <c r="K26" s="118"/>
      <c r="L26" s="283"/>
    </row>
    <row r="27" spans="1:12" s="4" customFormat="1" ht="15.75" x14ac:dyDescent="0.25">
      <c r="A27" s="440"/>
      <c r="B27" s="193" t="s">
        <v>23</v>
      </c>
      <c r="C27" s="145" t="s">
        <v>20</v>
      </c>
      <c r="D27" s="150">
        <v>1.1000000000000001</v>
      </c>
      <c r="E27" s="284">
        <f>E25*D27</f>
        <v>9.152000000000001</v>
      </c>
      <c r="F27" s="118"/>
      <c r="G27" s="118"/>
      <c r="H27" s="118"/>
      <c r="I27" s="118"/>
      <c r="J27" s="118"/>
      <c r="K27" s="118"/>
      <c r="L27" s="283"/>
    </row>
    <row r="28" spans="1:12" s="4" customFormat="1" ht="31.5" x14ac:dyDescent="0.25">
      <c r="A28" s="447" t="s">
        <v>317</v>
      </c>
      <c r="B28" s="191" t="s">
        <v>243</v>
      </c>
      <c r="C28" s="145" t="s">
        <v>15</v>
      </c>
      <c r="D28" s="150"/>
      <c r="E28" s="223">
        <v>4.3</v>
      </c>
      <c r="F28" s="118"/>
      <c r="G28" s="118"/>
      <c r="H28" s="118"/>
      <c r="I28" s="118"/>
      <c r="J28" s="118"/>
      <c r="K28" s="118"/>
      <c r="L28" s="283"/>
    </row>
    <row r="29" spans="1:12" s="4" customFormat="1" ht="15.75" x14ac:dyDescent="0.25">
      <c r="A29" s="447"/>
      <c r="B29" s="192" t="s">
        <v>28</v>
      </c>
      <c r="C29" s="16" t="s">
        <v>24</v>
      </c>
      <c r="D29" s="150">
        <v>13.2</v>
      </c>
      <c r="E29" s="284">
        <f>E28*D29</f>
        <v>56.76</v>
      </c>
      <c r="F29" s="118"/>
      <c r="G29" s="118"/>
      <c r="H29" s="118"/>
      <c r="I29" s="118"/>
      <c r="J29" s="118"/>
      <c r="K29" s="118"/>
      <c r="L29" s="283"/>
    </row>
    <row r="30" spans="1:12" s="4" customFormat="1" ht="15.75" x14ac:dyDescent="0.25">
      <c r="A30" s="447"/>
      <c r="B30" s="193" t="s">
        <v>23</v>
      </c>
      <c r="C30" s="145" t="s">
        <v>20</v>
      </c>
      <c r="D30" s="150">
        <v>9.6300000000000008</v>
      </c>
      <c r="E30" s="284">
        <f>E28*D30</f>
        <v>41.408999999999999</v>
      </c>
      <c r="F30" s="118"/>
      <c r="G30" s="118"/>
      <c r="H30" s="118"/>
      <c r="I30" s="118"/>
      <c r="J30" s="118"/>
      <c r="K30" s="118"/>
      <c r="L30" s="283"/>
    </row>
    <row r="31" spans="1:12" s="4" customFormat="1" ht="15.75" x14ac:dyDescent="0.25">
      <c r="A31" s="341"/>
      <c r="B31" s="193"/>
      <c r="C31" s="145"/>
      <c r="D31" s="150"/>
      <c r="E31" s="284"/>
      <c r="F31" s="118"/>
      <c r="G31" s="118"/>
      <c r="H31" s="118"/>
      <c r="I31" s="118"/>
      <c r="J31" s="118"/>
      <c r="K31" s="118"/>
      <c r="L31" s="283"/>
    </row>
    <row r="32" spans="1:12" s="4" customFormat="1" ht="63" x14ac:dyDescent="0.25">
      <c r="A32" s="449" t="s">
        <v>142</v>
      </c>
      <c r="B32" s="195" t="s">
        <v>115</v>
      </c>
      <c r="C32" s="172" t="s">
        <v>18</v>
      </c>
      <c r="D32" s="184"/>
      <c r="E32" s="223">
        <v>39.237339999999996</v>
      </c>
      <c r="F32" s="118"/>
      <c r="G32" s="118"/>
      <c r="H32" s="118"/>
      <c r="I32" s="118"/>
      <c r="J32" s="118"/>
      <c r="K32" s="118"/>
      <c r="L32" s="168"/>
    </row>
    <row r="33" spans="1:13" s="4" customFormat="1" ht="15.75" x14ac:dyDescent="0.25">
      <c r="A33" s="449"/>
      <c r="B33" s="196" t="s">
        <v>28</v>
      </c>
      <c r="C33" s="146" t="s">
        <v>24</v>
      </c>
      <c r="D33" s="151">
        <v>1.85</v>
      </c>
      <c r="E33" s="188">
        <f>E32*D33</f>
        <v>72.589078999999998</v>
      </c>
      <c r="F33" s="224"/>
      <c r="G33" s="118"/>
      <c r="H33" s="224"/>
      <c r="I33" s="118"/>
      <c r="J33" s="118"/>
      <c r="K33" s="118"/>
      <c r="L33" s="168"/>
      <c r="M33" s="32"/>
    </row>
    <row r="34" spans="1:13" s="4" customFormat="1" ht="47.25" x14ac:dyDescent="0.25">
      <c r="A34" s="449"/>
      <c r="B34" s="197" t="s">
        <v>67</v>
      </c>
      <c r="C34" s="172" t="s">
        <v>18</v>
      </c>
      <c r="D34" s="151"/>
      <c r="E34" s="223">
        <f>E32</f>
        <v>39.237339999999996</v>
      </c>
      <c r="F34" s="224"/>
      <c r="G34" s="118"/>
      <c r="H34" s="224"/>
      <c r="I34" s="118"/>
      <c r="J34" s="224"/>
      <c r="K34" s="118"/>
      <c r="L34" s="168"/>
    </row>
    <row r="35" spans="1:13" s="4" customFormat="1" ht="15.75" x14ac:dyDescent="0.25">
      <c r="A35" s="449"/>
      <c r="B35" s="196" t="s">
        <v>33</v>
      </c>
      <c r="C35" s="146" t="s">
        <v>24</v>
      </c>
      <c r="D35" s="151">
        <v>0.53</v>
      </c>
      <c r="E35" s="188">
        <f>E34*D35</f>
        <v>20.795790199999999</v>
      </c>
      <c r="F35" s="224"/>
      <c r="G35" s="118"/>
      <c r="H35" s="224"/>
      <c r="I35" s="118"/>
      <c r="J35" s="224"/>
      <c r="K35" s="118"/>
      <c r="L35" s="168"/>
    </row>
    <row r="36" spans="1:13" s="4" customFormat="1" ht="31.5" x14ac:dyDescent="0.25">
      <c r="A36" s="449"/>
      <c r="B36" s="198" t="s">
        <v>173</v>
      </c>
      <c r="C36" s="172" t="s">
        <v>18</v>
      </c>
      <c r="D36" s="151"/>
      <c r="E36" s="223">
        <f>E32</f>
        <v>39.237339999999996</v>
      </c>
      <c r="F36" s="224"/>
      <c r="G36" s="118"/>
      <c r="H36" s="224"/>
      <c r="I36" s="118"/>
      <c r="J36" s="224"/>
      <c r="K36" s="118"/>
      <c r="L36" s="168"/>
    </row>
    <row r="37" spans="1:13" s="4" customFormat="1" ht="15.75" x14ac:dyDescent="0.25">
      <c r="A37" s="148"/>
      <c r="B37" s="198"/>
      <c r="C37" s="172"/>
      <c r="D37" s="151"/>
      <c r="E37" s="221"/>
      <c r="F37" s="224"/>
      <c r="G37" s="118"/>
      <c r="H37" s="224"/>
      <c r="I37" s="118"/>
      <c r="J37" s="224"/>
      <c r="K37" s="118"/>
      <c r="L37" s="168"/>
    </row>
    <row r="38" spans="1:13" s="4" customFormat="1" ht="27" x14ac:dyDescent="0.25">
      <c r="A38" s="95" t="s">
        <v>154</v>
      </c>
      <c r="B38" s="95" t="s">
        <v>179</v>
      </c>
      <c r="C38" s="8"/>
      <c r="D38" s="8"/>
      <c r="E38" s="39"/>
      <c r="F38" s="224"/>
      <c r="G38" s="118"/>
      <c r="H38" s="224"/>
      <c r="I38" s="118"/>
      <c r="J38" s="224"/>
      <c r="K38" s="118"/>
      <c r="L38" s="168"/>
    </row>
    <row r="39" spans="1:13" s="54" customFormat="1" ht="67.5" x14ac:dyDescent="0.25">
      <c r="A39" s="438" t="s">
        <v>139</v>
      </c>
      <c r="B39" s="85" t="s">
        <v>249</v>
      </c>
      <c r="C39" s="76"/>
      <c r="D39" s="270"/>
      <c r="E39" s="223">
        <v>6.168000000000001</v>
      </c>
      <c r="F39" s="224"/>
      <c r="G39" s="118"/>
      <c r="H39" s="118"/>
      <c r="I39" s="118"/>
      <c r="J39" s="118"/>
      <c r="K39" s="118"/>
      <c r="L39" s="260"/>
    </row>
    <row r="40" spans="1:13" s="54" customFormat="1" ht="15.75" x14ac:dyDescent="0.25">
      <c r="A40" s="439"/>
      <c r="B40" s="271" t="s">
        <v>22</v>
      </c>
      <c r="C40" s="261" t="s">
        <v>24</v>
      </c>
      <c r="D40" s="76">
        <v>3.36</v>
      </c>
      <c r="E40" s="262">
        <f>E39*D40</f>
        <v>20.724480000000003</v>
      </c>
      <c r="F40" s="40"/>
      <c r="G40" s="40"/>
      <c r="H40" s="40"/>
      <c r="I40" s="40"/>
      <c r="J40" s="40"/>
      <c r="K40" s="40"/>
      <c r="L40" s="40"/>
    </row>
    <row r="41" spans="1:13" s="54" customFormat="1" ht="15.75" x14ac:dyDescent="0.25">
      <c r="A41" s="439"/>
      <c r="B41" s="82" t="s">
        <v>31</v>
      </c>
      <c r="C41" s="263" t="s">
        <v>25</v>
      </c>
      <c r="D41" s="76">
        <v>0.92</v>
      </c>
      <c r="E41" s="76">
        <f>E39*D41</f>
        <v>5.6745600000000014</v>
      </c>
      <c r="F41" s="40"/>
      <c r="G41" s="40"/>
      <c r="H41" s="40"/>
      <c r="I41" s="40"/>
      <c r="J41" s="40"/>
      <c r="K41" s="40"/>
      <c r="L41" s="40"/>
    </row>
    <row r="42" spans="1:13" s="54" customFormat="1" ht="27" x14ac:dyDescent="0.25">
      <c r="A42" s="439"/>
      <c r="B42" s="272" t="s">
        <v>190</v>
      </c>
      <c r="C42" s="263" t="s">
        <v>15</v>
      </c>
      <c r="D42" s="76">
        <v>0.92</v>
      </c>
      <c r="E42" s="76">
        <f>E39*D42</f>
        <v>5.6745600000000014</v>
      </c>
      <c r="F42" s="40"/>
      <c r="G42" s="40"/>
      <c r="H42" s="40"/>
      <c r="I42" s="40"/>
      <c r="J42" s="40"/>
      <c r="K42" s="40"/>
      <c r="L42" s="40"/>
    </row>
    <row r="43" spans="1:13" s="54" customFormat="1" ht="15.75" x14ac:dyDescent="0.25">
      <c r="A43" s="439"/>
      <c r="B43" s="273"/>
      <c r="C43" s="261" t="s">
        <v>14</v>
      </c>
      <c r="D43" s="76">
        <v>125</v>
      </c>
      <c r="E43" s="262">
        <f>E39*D43</f>
        <v>771.00000000000011</v>
      </c>
      <c r="F43" s="40"/>
      <c r="G43" s="40"/>
      <c r="H43" s="40"/>
      <c r="I43" s="40"/>
      <c r="J43" s="40"/>
      <c r="K43" s="40"/>
      <c r="L43" s="40"/>
    </row>
    <row r="44" spans="1:13" s="54" customFormat="1" ht="15.75" x14ac:dyDescent="0.25">
      <c r="A44" s="439"/>
      <c r="B44" s="271" t="s">
        <v>187</v>
      </c>
      <c r="C44" s="261" t="s">
        <v>15</v>
      </c>
      <c r="D44" s="76">
        <v>0.11</v>
      </c>
      <c r="E44" s="262">
        <f>E39*D44</f>
        <v>0.67848000000000008</v>
      </c>
      <c r="F44" s="40"/>
      <c r="G44" s="40"/>
      <c r="H44" s="40"/>
      <c r="I44" s="40"/>
      <c r="J44" s="40"/>
      <c r="K44" s="40"/>
      <c r="L44" s="40"/>
    </row>
    <row r="45" spans="1:13" s="54" customFormat="1" ht="15.75" x14ac:dyDescent="0.25">
      <c r="A45" s="439"/>
      <c r="B45" s="271" t="s">
        <v>32</v>
      </c>
      <c r="C45" s="261" t="s">
        <v>20</v>
      </c>
      <c r="D45" s="76">
        <v>0.16</v>
      </c>
      <c r="E45" s="262">
        <f>E39*D45</f>
        <v>0.9868800000000002</v>
      </c>
      <c r="F45" s="40"/>
      <c r="G45" s="40"/>
      <c r="H45" s="40"/>
      <c r="I45" s="40"/>
      <c r="J45" s="40"/>
      <c r="K45" s="40"/>
      <c r="L45" s="40"/>
    </row>
    <row r="46" spans="1:13" s="54" customFormat="1" ht="67.5" x14ac:dyDescent="0.25">
      <c r="A46" s="447" t="s">
        <v>140</v>
      </c>
      <c r="B46" s="85" t="s">
        <v>248</v>
      </c>
      <c r="C46" s="76"/>
      <c r="D46" s="270"/>
      <c r="E46" s="223">
        <v>2.798</v>
      </c>
      <c r="F46" s="224"/>
      <c r="G46" s="118"/>
      <c r="H46" s="118"/>
      <c r="I46" s="118"/>
      <c r="J46" s="118"/>
      <c r="K46" s="118"/>
      <c r="L46" s="275"/>
    </row>
    <row r="47" spans="1:13" s="54" customFormat="1" ht="15.75" x14ac:dyDescent="0.25">
      <c r="A47" s="447"/>
      <c r="B47" s="271" t="s">
        <v>22</v>
      </c>
      <c r="C47" s="276" t="s">
        <v>24</v>
      </c>
      <c r="D47" s="76">
        <v>3.36</v>
      </c>
      <c r="E47" s="277">
        <f>E46*D47</f>
        <v>9.4012799999999999</v>
      </c>
      <c r="F47" s="40"/>
      <c r="G47" s="40"/>
      <c r="H47" s="40"/>
      <c r="I47" s="40"/>
      <c r="J47" s="40"/>
      <c r="K47" s="40"/>
      <c r="L47" s="40"/>
    </row>
    <row r="48" spans="1:13" s="54" customFormat="1" ht="15.75" x14ac:dyDescent="0.25">
      <c r="A48" s="447"/>
      <c r="B48" s="82" t="s">
        <v>31</v>
      </c>
      <c r="C48" s="278" t="s">
        <v>25</v>
      </c>
      <c r="D48" s="76">
        <v>0.92</v>
      </c>
      <c r="E48" s="76">
        <f>E46*D48</f>
        <v>2.57416</v>
      </c>
      <c r="F48" s="40"/>
      <c r="G48" s="40"/>
      <c r="H48" s="40"/>
      <c r="I48" s="40"/>
      <c r="J48" s="40"/>
      <c r="K48" s="40"/>
      <c r="L48" s="40"/>
    </row>
    <row r="49" spans="1:12" s="54" customFormat="1" ht="27" x14ac:dyDescent="0.25">
      <c r="A49" s="447"/>
      <c r="B49" s="272" t="s">
        <v>186</v>
      </c>
      <c r="C49" s="278" t="s">
        <v>15</v>
      </c>
      <c r="D49" s="76">
        <v>0.92</v>
      </c>
      <c r="E49" s="76">
        <f>E46*D49</f>
        <v>2.57416</v>
      </c>
      <c r="F49" s="40"/>
      <c r="G49" s="40"/>
      <c r="H49" s="40"/>
      <c r="I49" s="40"/>
      <c r="J49" s="40"/>
      <c r="K49" s="40"/>
      <c r="L49" s="40"/>
    </row>
    <row r="50" spans="1:12" s="54" customFormat="1" ht="15.75" x14ac:dyDescent="0.25">
      <c r="A50" s="447"/>
      <c r="B50" s="273"/>
      <c r="C50" s="276" t="s">
        <v>14</v>
      </c>
      <c r="D50" s="76">
        <v>62.5</v>
      </c>
      <c r="E50" s="277">
        <f>E46*D50</f>
        <v>174.875</v>
      </c>
      <c r="F50" s="40"/>
      <c r="G50" s="40"/>
      <c r="H50" s="40"/>
      <c r="I50" s="40"/>
      <c r="J50" s="40"/>
      <c r="K50" s="40"/>
      <c r="L50" s="40"/>
    </row>
    <row r="51" spans="1:12" s="54" customFormat="1" ht="15.75" x14ac:dyDescent="0.25">
      <c r="A51" s="447"/>
      <c r="B51" s="271" t="s">
        <v>187</v>
      </c>
      <c r="C51" s="276" t="s">
        <v>15</v>
      </c>
      <c r="D51" s="76">
        <v>0.11</v>
      </c>
      <c r="E51" s="277">
        <f>E46*D51</f>
        <v>0.30778</v>
      </c>
      <c r="F51" s="40"/>
      <c r="G51" s="40"/>
      <c r="H51" s="40"/>
      <c r="I51" s="40"/>
      <c r="J51" s="40"/>
      <c r="K51" s="40"/>
      <c r="L51" s="40"/>
    </row>
    <row r="52" spans="1:12" s="54" customFormat="1" ht="15.75" x14ac:dyDescent="0.25">
      <c r="A52" s="447"/>
      <c r="B52" s="271" t="s">
        <v>32</v>
      </c>
      <c r="C52" s="276" t="s">
        <v>20</v>
      </c>
      <c r="D52" s="76">
        <v>0.16</v>
      </c>
      <c r="E52" s="277">
        <f>E46*D52</f>
        <v>0.44768000000000002</v>
      </c>
      <c r="F52" s="40"/>
      <c r="G52" s="40"/>
      <c r="H52" s="40"/>
      <c r="I52" s="40"/>
      <c r="J52" s="40"/>
      <c r="K52" s="40"/>
      <c r="L52" s="40"/>
    </row>
    <row r="53" spans="1:12" s="3" customFormat="1" ht="78.75" x14ac:dyDescent="0.25">
      <c r="A53" s="450" t="s">
        <v>57</v>
      </c>
      <c r="B53" s="199" t="s">
        <v>246</v>
      </c>
      <c r="C53" s="261" t="s">
        <v>16</v>
      </c>
      <c r="D53" s="266"/>
      <c r="E53" s="223">
        <v>30.18</v>
      </c>
      <c r="F53" s="118"/>
      <c r="G53" s="118"/>
      <c r="H53" s="118"/>
      <c r="I53" s="118"/>
      <c r="J53" s="118"/>
      <c r="K53" s="118"/>
      <c r="L53" s="168"/>
    </row>
    <row r="54" spans="1:12" s="3" customFormat="1" x14ac:dyDescent="0.25">
      <c r="A54" s="451"/>
      <c r="B54" s="200" t="s">
        <v>22</v>
      </c>
      <c r="C54" s="148" t="s">
        <v>24</v>
      </c>
      <c r="D54" s="182">
        <v>2.72</v>
      </c>
      <c r="E54" s="188">
        <f>E53*D54</f>
        <v>82.089600000000004</v>
      </c>
      <c r="F54" s="118"/>
      <c r="G54" s="118"/>
      <c r="H54" s="118"/>
      <c r="I54" s="118"/>
      <c r="J54" s="118"/>
      <c r="K54" s="118"/>
      <c r="L54" s="168"/>
    </row>
    <row r="55" spans="1:12" s="3" customFormat="1" ht="31.5" x14ac:dyDescent="0.25">
      <c r="A55" s="451"/>
      <c r="B55" s="200" t="s">
        <v>62</v>
      </c>
      <c r="C55" s="148" t="s">
        <v>25</v>
      </c>
      <c r="D55" s="182" t="s">
        <v>143</v>
      </c>
      <c r="E55" s="188"/>
      <c r="F55" s="118"/>
      <c r="G55" s="118"/>
      <c r="H55" s="118"/>
      <c r="I55" s="118"/>
      <c r="J55" s="118"/>
      <c r="K55" s="118"/>
      <c r="L55" s="168"/>
    </row>
    <row r="56" spans="1:12" s="3" customFormat="1" ht="31.5" x14ac:dyDescent="0.25">
      <c r="A56" s="451"/>
      <c r="B56" s="200" t="s">
        <v>63</v>
      </c>
      <c r="C56" s="148" t="s">
        <v>25</v>
      </c>
      <c r="D56" s="182" t="s">
        <v>144</v>
      </c>
      <c r="E56" s="188"/>
      <c r="F56" s="118"/>
      <c r="G56" s="118"/>
      <c r="H56" s="118"/>
      <c r="I56" s="118"/>
      <c r="J56" s="118"/>
      <c r="K56" s="118"/>
      <c r="L56" s="168"/>
    </row>
    <row r="57" spans="1:12" s="3" customFormat="1" ht="63" x14ac:dyDescent="0.25">
      <c r="A57" s="451"/>
      <c r="B57" s="200" t="s">
        <v>188</v>
      </c>
      <c r="C57" s="148" t="s">
        <v>16</v>
      </c>
      <c r="D57" s="182"/>
      <c r="E57" s="220">
        <v>27.93</v>
      </c>
      <c r="F57" s="118"/>
      <c r="G57" s="118"/>
      <c r="H57" s="118"/>
      <c r="I57" s="118"/>
      <c r="J57" s="118"/>
      <c r="K57" s="118"/>
      <c r="L57" s="168"/>
    </row>
    <row r="58" spans="1:12" s="3" customFormat="1" ht="63" x14ac:dyDescent="0.25">
      <c r="A58" s="451"/>
      <c r="B58" s="200" t="s">
        <v>189</v>
      </c>
      <c r="C58" s="148" t="s">
        <v>16</v>
      </c>
      <c r="D58" s="182"/>
      <c r="E58" s="220">
        <v>2.25</v>
      </c>
      <c r="F58" s="118"/>
      <c r="G58" s="118"/>
      <c r="H58" s="118"/>
      <c r="I58" s="118"/>
      <c r="J58" s="118"/>
      <c r="K58" s="118"/>
      <c r="L58" s="168"/>
    </row>
    <row r="59" spans="1:12" s="3" customFormat="1" ht="63" x14ac:dyDescent="0.25">
      <c r="A59" s="453" t="s">
        <v>141</v>
      </c>
      <c r="B59" s="201" t="s">
        <v>250</v>
      </c>
      <c r="C59" s="13" t="s">
        <v>163</v>
      </c>
      <c r="D59" s="42"/>
      <c r="E59" s="122">
        <v>10.8</v>
      </c>
      <c r="F59" s="118"/>
      <c r="G59" s="118"/>
      <c r="H59" s="118"/>
      <c r="I59" s="118"/>
      <c r="J59" s="118"/>
      <c r="K59" s="118"/>
      <c r="L59" s="168"/>
    </row>
    <row r="60" spans="1:12" s="3" customFormat="1" x14ac:dyDescent="0.25">
      <c r="A60" s="453"/>
      <c r="B60" s="202" t="s">
        <v>22</v>
      </c>
      <c r="C60" s="170" t="s">
        <v>122</v>
      </c>
      <c r="D60" s="41">
        <f>59.4*0.01</f>
        <v>0.59399999999999997</v>
      </c>
      <c r="E60" s="120">
        <f>E59*D60</f>
        <v>6.4152000000000005</v>
      </c>
      <c r="F60" s="118"/>
      <c r="G60" s="118"/>
      <c r="H60" s="118"/>
      <c r="I60" s="118"/>
      <c r="J60" s="118"/>
      <c r="K60" s="118"/>
      <c r="L60" s="168"/>
    </row>
    <row r="61" spans="1:12" s="3" customFormat="1" x14ac:dyDescent="0.25">
      <c r="A61" s="453"/>
      <c r="B61" s="203" t="s">
        <v>23</v>
      </c>
      <c r="C61" s="14" t="s">
        <v>20</v>
      </c>
      <c r="D61" s="41">
        <f>2.66*0.01</f>
        <v>2.6600000000000002E-2</v>
      </c>
      <c r="E61" s="119">
        <f>E59*D61</f>
        <v>0.28728000000000004</v>
      </c>
      <c r="F61" s="118"/>
      <c r="G61" s="118"/>
      <c r="H61" s="118"/>
      <c r="I61" s="118"/>
      <c r="J61" s="118"/>
      <c r="K61" s="118"/>
      <c r="L61" s="168"/>
    </row>
    <row r="62" spans="1:12" s="3" customFormat="1" ht="31.5" x14ac:dyDescent="0.25">
      <c r="A62" s="453"/>
      <c r="B62" s="200" t="s">
        <v>73</v>
      </c>
      <c r="C62" s="178" t="s">
        <v>10</v>
      </c>
      <c r="D62" s="41">
        <f>74*0.01</f>
        <v>0.74</v>
      </c>
      <c r="E62" s="120">
        <f>E59*D62</f>
        <v>7.992</v>
      </c>
      <c r="F62" s="118"/>
      <c r="G62" s="118"/>
      <c r="H62" s="118"/>
      <c r="I62" s="118"/>
      <c r="J62" s="118"/>
      <c r="K62" s="118"/>
      <c r="L62" s="168"/>
    </row>
    <row r="63" spans="1:12" s="3" customFormat="1" x14ac:dyDescent="0.25">
      <c r="A63" s="453"/>
      <c r="B63" s="202" t="s">
        <v>123</v>
      </c>
      <c r="C63" s="170" t="s">
        <v>121</v>
      </c>
      <c r="D63" s="41">
        <f>0.3*0.01</f>
        <v>3.0000000000000001E-3</v>
      </c>
      <c r="E63" s="120">
        <f>D63*E59</f>
        <v>3.2400000000000005E-2</v>
      </c>
      <c r="F63" s="118"/>
      <c r="G63" s="118"/>
      <c r="H63" s="118"/>
      <c r="I63" s="118"/>
      <c r="J63" s="118"/>
      <c r="K63" s="118"/>
      <c r="L63" s="168"/>
    </row>
    <row r="64" spans="1:12" s="3" customFormat="1" ht="63" x14ac:dyDescent="0.25">
      <c r="A64" s="454" t="s">
        <v>34</v>
      </c>
      <c r="B64" s="204" t="s">
        <v>124</v>
      </c>
      <c r="C64" s="180" t="s">
        <v>10</v>
      </c>
      <c r="D64" s="186"/>
      <c r="E64" s="122">
        <v>209.6</v>
      </c>
      <c r="F64" s="118"/>
      <c r="G64" s="118"/>
      <c r="H64" s="118"/>
      <c r="I64" s="118"/>
      <c r="J64" s="118"/>
      <c r="K64" s="118"/>
      <c r="L64" s="168"/>
    </row>
    <row r="65" spans="1:13" s="3" customFormat="1" x14ac:dyDescent="0.25">
      <c r="A65" s="455"/>
      <c r="B65" s="205" t="s">
        <v>54</v>
      </c>
      <c r="C65" s="169" t="s">
        <v>68</v>
      </c>
      <c r="D65" s="80">
        <v>0.49</v>
      </c>
      <c r="E65" s="125">
        <f>D65*E64</f>
        <v>102.70399999999999</v>
      </c>
      <c r="F65" s="118"/>
      <c r="G65" s="118"/>
      <c r="H65" s="118"/>
      <c r="I65" s="118"/>
      <c r="J65" s="118"/>
      <c r="K65" s="118"/>
      <c r="L65" s="168"/>
    </row>
    <row r="66" spans="1:13" s="3" customFormat="1" x14ac:dyDescent="0.25">
      <c r="A66" s="455"/>
      <c r="B66" s="205" t="s">
        <v>134</v>
      </c>
      <c r="C66" s="169" t="s">
        <v>118</v>
      </c>
      <c r="D66" s="80">
        <v>0</v>
      </c>
      <c r="E66" s="125">
        <f>D66*E64</f>
        <v>0</v>
      </c>
      <c r="F66" s="118"/>
      <c r="G66" s="118"/>
      <c r="H66" s="118"/>
      <c r="I66" s="118"/>
      <c r="J66" s="118"/>
      <c r="K66" s="118"/>
      <c r="L66" s="168"/>
    </row>
    <row r="67" spans="1:13" s="3" customFormat="1" x14ac:dyDescent="0.25">
      <c r="A67" s="455"/>
      <c r="B67" s="205" t="s">
        <v>23</v>
      </c>
      <c r="C67" s="169" t="s">
        <v>20</v>
      </c>
      <c r="D67" s="80">
        <v>1.7999999999999999E-2</v>
      </c>
      <c r="E67" s="125">
        <f>D67*E64</f>
        <v>3.7727999999999997</v>
      </c>
      <c r="F67" s="118"/>
      <c r="G67" s="118"/>
      <c r="H67" s="118"/>
      <c r="I67" s="118"/>
      <c r="J67" s="118"/>
      <c r="K67" s="118"/>
      <c r="L67" s="168"/>
    </row>
    <row r="68" spans="1:13" s="3" customFormat="1" ht="31.5" x14ac:dyDescent="0.25">
      <c r="A68" s="456"/>
      <c r="B68" s="205" t="s">
        <v>174</v>
      </c>
      <c r="C68" s="169" t="s">
        <v>160</v>
      </c>
      <c r="D68" s="80">
        <v>1.06E-2</v>
      </c>
      <c r="E68" s="125">
        <f>D68*E64</f>
        <v>2.2217599999999997</v>
      </c>
      <c r="F68" s="118"/>
      <c r="G68" s="118"/>
      <c r="H68" s="118"/>
      <c r="I68" s="118"/>
      <c r="J68" s="118"/>
      <c r="K68" s="118"/>
      <c r="L68" s="168"/>
    </row>
    <row r="69" spans="1:13" s="3" customFormat="1" ht="63" x14ac:dyDescent="0.25">
      <c r="A69" s="454" t="s">
        <v>136</v>
      </c>
      <c r="B69" s="204" t="s">
        <v>180</v>
      </c>
      <c r="C69" s="180" t="s">
        <v>162</v>
      </c>
      <c r="D69" s="186"/>
      <c r="E69" s="223">
        <v>331.96</v>
      </c>
      <c r="F69" s="118"/>
      <c r="G69" s="118"/>
      <c r="H69" s="118"/>
      <c r="I69" s="118"/>
      <c r="J69" s="118"/>
      <c r="K69" s="118"/>
      <c r="L69" s="168"/>
      <c r="M69" s="54"/>
    </row>
    <row r="70" spans="1:13" s="3" customFormat="1" x14ac:dyDescent="0.25">
      <c r="A70" s="455"/>
      <c r="B70" s="205" t="s">
        <v>54</v>
      </c>
      <c r="C70" s="169" t="s">
        <v>68</v>
      </c>
      <c r="D70" s="80">
        <v>1.01</v>
      </c>
      <c r="E70" s="125">
        <f>D70*E69</f>
        <v>335.27959999999996</v>
      </c>
      <c r="F70" s="118"/>
      <c r="G70" s="118"/>
      <c r="H70" s="118"/>
      <c r="I70" s="118"/>
      <c r="J70" s="118"/>
      <c r="K70" s="118"/>
      <c r="L70" s="168"/>
    </row>
    <row r="71" spans="1:13" s="3" customFormat="1" x14ac:dyDescent="0.25">
      <c r="A71" s="455"/>
      <c r="B71" s="205" t="s">
        <v>135</v>
      </c>
      <c r="C71" s="169" t="s">
        <v>118</v>
      </c>
      <c r="D71" s="80">
        <v>4.1000000000000002E-2</v>
      </c>
      <c r="E71" s="125">
        <f>D71*E69</f>
        <v>13.61036</v>
      </c>
      <c r="F71" s="118"/>
      <c r="G71" s="118"/>
      <c r="H71" s="118"/>
      <c r="I71" s="118"/>
      <c r="J71" s="118"/>
      <c r="K71" s="118"/>
      <c r="L71" s="168"/>
    </row>
    <row r="72" spans="1:13" s="3" customFormat="1" x14ac:dyDescent="0.25">
      <c r="A72" s="455"/>
      <c r="B72" s="205" t="s">
        <v>23</v>
      </c>
      <c r="C72" s="169" t="s">
        <v>20</v>
      </c>
      <c r="D72" s="80">
        <v>2.7E-2</v>
      </c>
      <c r="E72" s="125">
        <f>D72*E69</f>
        <v>8.9629199999999987</v>
      </c>
      <c r="F72" s="118"/>
      <c r="G72" s="118"/>
      <c r="H72" s="118"/>
      <c r="I72" s="118"/>
      <c r="J72" s="118"/>
      <c r="K72" s="118"/>
      <c r="L72" s="168"/>
    </row>
    <row r="73" spans="1:13" s="3" customFormat="1" ht="31.5" x14ac:dyDescent="0.25">
      <c r="A73" s="455"/>
      <c r="B73" s="205" t="s">
        <v>175</v>
      </c>
      <c r="C73" s="169" t="s">
        <v>160</v>
      </c>
      <c r="D73" s="80">
        <f>0.0212+0.0026</f>
        <v>2.3800000000000002E-2</v>
      </c>
      <c r="E73" s="125">
        <f>D73*E69</f>
        <v>7.9006480000000003</v>
      </c>
      <c r="F73" s="118"/>
      <c r="G73" s="118"/>
      <c r="H73" s="118"/>
      <c r="I73" s="118"/>
      <c r="J73" s="118"/>
      <c r="K73" s="118"/>
      <c r="L73" s="168"/>
    </row>
    <row r="74" spans="1:13" s="3" customFormat="1" x14ac:dyDescent="0.25">
      <c r="A74" s="455"/>
      <c r="B74" s="206" t="s">
        <v>125</v>
      </c>
      <c r="C74" s="16" t="s">
        <v>16</v>
      </c>
      <c r="D74" s="152">
        <v>5.28E-2</v>
      </c>
      <c r="E74" s="225">
        <f>E69*D74</f>
        <v>17.527487999999998</v>
      </c>
      <c r="F74" s="118"/>
      <c r="G74" s="118"/>
      <c r="H74" s="118"/>
      <c r="I74" s="118"/>
      <c r="J74" s="118"/>
      <c r="K74" s="118"/>
      <c r="L74" s="168"/>
    </row>
    <row r="75" spans="1:13" s="3" customFormat="1" x14ac:dyDescent="0.25">
      <c r="A75" s="456"/>
      <c r="B75" s="206" t="s">
        <v>32</v>
      </c>
      <c r="C75" s="16" t="s">
        <v>20</v>
      </c>
      <c r="D75" s="152">
        <v>3.0000000000000001E-3</v>
      </c>
      <c r="E75" s="225">
        <f>E69*D75</f>
        <v>0.99587999999999999</v>
      </c>
      <c r="F75" s="118"/>
      <c r="G75" s="118"/>
      <c r="H75" s="118"/>
      <c r="I75" s="118"/>
      <c r="J75" s="118"/>
      <c r="K75" s="118"/>
      <c r="L75" s="168"/>
    </row>
    <row r="76" spans="1:13" s="4" customFormat="1" ht="47.25" x14ac:dyDescent="0.25">
      <c r="A76" s="457" t="s">
        <v>142</v>
      </c>
      <c r="B76" s="207" t="s">
        <v>156</v>
      </c>
      <c r="C76" s="180" t="s">
        <v>16</v>
      </c>
      <c r="D76" s="57"/>
      <c r="E76" s="122">
        <v>57.18</v>
      </c>
      <c r="F76" s="141"/>
      <c r="G76" s="118"/>
      <c r="H76" s="141"/>
      <c r="I76" s="118"/>
      <c r="J76" s="141"/>
      <c r="K76" s="118"/>
      <c r="L76" s="168"/>
    </row>
    <row r="77" spans="1:13" s="4" customFormat="1" ht="15.75" x14ac:dyDescent="0.25">
      <c r="A77" s="458"/>
      <c r="B77" s="196" t="s">
        <v>33</v>
      </c>
      <c r="C77" s="16" t="s">
        <v>24</v>
      </c>
      <c r="D77" s="151">
        <f>0.188+0.0034*2</f>
        <v>0.1948</v>
      </c>
      <c r="E77" s="123">
        <f>E76*D77</f>
        <v>11.138664</v>
      </c>
      <c r="F77" s="141"/>
      <c r="G77" s="118"/>
      <c r="H77" s="124"/>
      <c r="I77" s="118"/>
      <c r="J77" s="141"/>
      <c r="K77" s="118"/>
      <c r="L77" s="168"/>
    </row>
    <row r="78" spans="1:13" s="4" customFormat="1" ht="15.75" x14ac:dyDescent="0.25">
      <c r="A78" s="458"/>
      <c r="B78" s="196" t="s">
        <v>29</v>
      </c>
      <c r="C78" s="16" t="s">
        <v>20</v>
      </c>
      <c r="D78" s="151">
        <f>0.0095+0.0023*2</f>
        <v>1.41E-2</v>
      </c>
      <c r="E78" s="123">
        <f>E76*D78</f>
        <v>0.80623800000000001</v>
      </c>
      <c r="F78" s="141"/>
      <c r="G78" s="118"/>
      <c r="H78" s="141"/>
      <c r="I78" s="118"/>
      <c r="J78" s="141"/>
      <c r="K78" s="118"/>
      <c r="L78" s="168"/>
    </row>
    <row r="79" spans="1:13" s="4" customFormat="1" ht="15.75" x14ac:dyDescent="0.25">
      <c r="A79" s="458"/>
      <c r="B79" s="208" t="s">
        <v>65</v>
      </c>
      <c r="C79" s="179" t="s">
        <v>15</v>
      </c>
      <c r="D79" s="186">
        <f>0.0204+0.0051*2</f>
        <v>3.0600000000000002E-2</v>
      </c>
      <c r="E79" s="123">
        <f>E76*D79</f>
        <v>1.749708</v>
      </c>
      <c r="F79" s="141"/>
      <c r="G79" s="118"/>
      <c r="H79" s="141"/>
      <c r="I79" s="118"/>
      <c r="J79" s="141"/>
      <c r="K79" s="118"/>
      <c r="L79" s="168"/>
    </row>
    <row r="80" spans="1:13" s="4" customFormat="1" ht="15.75" x14ac:dyDescent="0.25">
      <c r="A80" s="459"/>
      <c r="B80" s="209" t="s">
        <v>27</v>
      </c>
      <c r="C80" s="16" t="s">
        <v>20</v>
      </c>
      <c r="D80" s="152">
        <f>0.0636</f>
        <v>6.3600000000000004E-2</v>
      </c>
      <c r="E80" s="123">
        <f>E76*D80</f>
        <v>3.6366480000000001</v>
      </c>
      <c r="F80" s="141"/>
      <c r="G80" s="118"/>
      <c r="H80" s="141"/>
      <c r="I80" s="118"/>
      <c r="J80" s="141"/>
      <c r="K80" s="118"/>
      <c r="L80" s="168"/>
    </row>
    <row r="81" spans="1:12" s="4" customFormat="1" ht="31.5" x14ac:dyDescent="0.25">
      <c r="A81" s="450" t="s">
        <v>35</v>
      </c>
      <c r="B81" s="199" t="s">
        <v>58</v>
      </c>
      <c r="C81" s="172" t="s">
        <v>16</v>
      </c>
      <c r="D81" s="175"/>
      <c r="E81" s="122">
        <v>57.18</v>
      </c>
      <c r="F81" s="118"/>
      <c r="G81" s="118"/>
      <c r="H81" s="118"/>
      <c r="I81" s="118"/>
      <c r="J81" s="118"/>
      <c r="K81" s="118"/>
      <c r="L81" s="168"/>
    </row>
    <row r="82" spans="1:12" s="4" customFormat="1" ht="15.75" x14ac:dyDescent="0.25">
      <c r="A82" s="451"/>
      <c r="B82" s="200" t="s">
        <v>22</v>
      </c>
      <c r="C82" s="172" t="s">
        <v>24</v>
      </c>
      <c r="D82" s="76">
        <v>1.08</v>
      </c>
      <c r="E82" s="188">
        <f>E81*D82</f>
        <v>61.754400000000004</v>
      </c>
      <c r="F82" s="118"/>
      <c r="G82" s="118"/>
      <c r="H82" s="118"/>
      <c r="I82" s="118"/>
      <c r="J82" s="118"/>
      <c r="K82" s="118"/>
      <c r="L82" s="168"/>
    </row>
    <row r="83" spans="1:12" s="4" customFormat="1" ht="15.75" x14ac:dyDescent="0.25">
      <c r="A83" s="451"/>
      <c r="B83" s="210" t="s">
        <v>23</v>
      </c>
      <c r="C83" s="178" t="s">
        <v>25</v>
      </c>
      <c r="D83" s="76">
        <v>4.5199999999999997E-2</v>
      </c>
      <c r="E83" s="129">
        <f>E81*D83</f>
        <v>2.5845359999999999</v>
      </c>
      <c r="F83" s="118"/>
      <c r="G83" s="118"/>
      <c r="H83" s="118"/>
      <c r="I83" s="118"/>
      <c r="J83" s="118"/>
      <c r="K83" s="118"/>
      <c r="L83" s="168"/>
    </row>
    <row r="84" spans="1:12" s="4" customFormat="1" ht="15.75" x14ac:dyDescent="0.25">
      <c r="A84" s="451"/>
      <c r="B84" s="200" t="s">
        <v>147</v>
      </c>
      <c r="C84" s="172" t="s">
        <v>16</v>
      </c>
      <c r="D84" s="175">
        <v>1.05</v>
      </c>
      <c r="E84" s="129">
        <f>E81*D84</f>
        <v>60.039000000000001</v>
      </c>
      <c r="F84" s="118"/>
      <c r="G84" s="118"/>
      <c r="H84" s="118"/>
      <c r="I84" s="118"/>
      <c r="J84" s="118"/>
      <c r="K84" s="118"/>
      <c r="L84" s="168"/>
    </row>
    <row r="85" spans="1:12" s="4" customFormat="1" ht="15.75" x14ac:dyDescent="0.25">
      <c r="A85" s="451"/>
      <c r="B85" s="200" t="s">
        <v>37</v>
      </c>
      <c r="C85" s="172" t="s">
        <v>17</v>
      </c>
      <c r="D85" s="175">
        <v>5</v>
      </c>
      <c r="E85" s="129">
        <f>E81*D85</f>
        <v>285.89999999999998</v>
      </c>
      <c r="F85" s="118"/>
      <c r="G85" s="118"/>
      <c r="H85" s="118"/>
      <c r="I85" s="118"/>
      <c r="J85" s="118"/>
      <c r="K85" s="118"/>
      <c r="L85" s="168"/>
    </row>
    <row r="86" spans="1:12" s="4" customFormat="1" ht="15.75" x14ac:dyDescent="0.25">
      <c r="A86" s="451"/>
      <c r="B86" s="211" t="s">
        <v>133</v>
      </c>
      <c r="C86" s="149" t="s">
        <v>72</v>
      </c>
      <c r="D86" s="84">
        <v>0.3</v>
      </c>
      <c r="E86" s="218">
        <f>E81*D86</f>
        <v>17.154</v>
      </c>
      <c r="F86" s="226"/>
      <c r="G86" s="118"/>
      <c r="H86" s="226"/>
      <c r="I86" s="118"/>
      <c r="J86" s="226"/>
      <c r="K86" s="118"/>
      <c r="L86" s="168"/>
    </row>
    <row r="87" spans="1:12" s="4" customFormat="1" ht="15.75" x14ac:dyDescent="0.25">
      <c r="A87" s="452"/>
      <c r="B87" s="212" t="s">
        <v>32</v>
      </c>
      <c r="C87" s="178" t="s">
        <v>20</v>
      </c>
      <c r="D87" s="76">
        <v>4.6600000000000003E-2</v>
      </c>
      <c r="E87" s="129">
        <f>E81*D87</f>
        <v>2.6645880000000002</v>
      </c>
      <c r="F87" s="118"/>
      <c r="G87" s="118"/>
      <c r="H87" s="118"/>
      <c r="I87" s="118"/>
      <c r="J87" s="118"/>
      <c r="K87" s="118"/>
      <c r="L87" s="168"/>
    </row>
    <row r="88" spans="1:12" s="4" customFormat="1" ht="31.5" x14ac:dyDescent="0.25">
      <c r="A88" s="450" t="s">
        <v>51</v>
      </c>
      <c r="B88" s="199" t="s">
        <v>59</v>
      </c>
      <c r="C88" s="178" t="s">
        <v>10</v>
      </c>
      <c r="D88" s="76"/>
      <c r="E88" s="223">
        <v>113.4</v>
      </c>
      <c r="F88" s="118"/>
      <c r="G88" s="118"/>
      <c r="H88" s="118"/>
      <c r="I88" s="118"/>
      <c r="J88" s="118"/>
      <c r="K88" s="118"/>
      <c r="L88" s="168"/>
    </row>
    <row r="89" spans="1:12" s="4" customFormat="1" ht="15.75" x14ac:dyDescent="0.25">
      <c r="A89" s="451"/>
      <c r="B89" s="213" t="s">
        <v>28</v>
      </c>
      <c r="C89" s="146" t="s">
        <v>24</v>
      </c>
      <c r="D89" s="151">
        <v>0.26900000000000002</v>
      </c>
      <c r="E89" s="129">
        <f>E88*D89</f>
        <v>30.504600000000003</v>
      </c>
      <c r="F89" s="118"/>
      <c r="G89" s="118"/>
      <c r="H89" s="118"/>
      <c r="I89" s="118"/>
      <c r="J89" s="118"/>
      <c r="K89" s="118"/>
      <c r="L89" s="168"/>
    </row>
    <row r="90" spans="1:12" s="4" customFormat="1" ht="15.75" x14ac:dyDescent="0.25">
      <c r="A90" s="451"/>
      <c r="B90" s="213" t="s">
        <v>29</v>
      </c>
      <c r="C90" s="16" t="s">
        <v>20</v>
      </c>
      <c r="D90" s="151">
        <v>1.1599999999999999E-2</v>
      </c>
      <c r="E90" s="129">
        <f>E88*D90</f>
        <v>1.3154399999999999</v>
      </c>
      <c r="F90" s="118"/>
      <c r="G90" s="118"/>
      <c r="H90" s="118"/>
      <c r="I90" s="118"/>
      <c r="J90" s="118"/>
      <c r="K90" s="118"/>
      <c r="L90" s="168"/>
    </row>
    <row r="91" spans="1:12" s="4" customFormat="1" ht="15.75" x14ac:dyDescent="0.25">
      <c r="A91" s="451"/>
      <c r="B91" s="213" t="s">
        <v>147</v>
      </c>
      <c r="C91" s="16" t="s">
        <v>16</v>
      </c>
      <c r="D91" s="151">
        <v>0.157</v>
      </c>
      <c r="E91" s="129">
        <f>E88*D91</f>
        <v>17.803800000000003</v>
      </c>
      <c r="F91" s="118"/>
      <c r="G91" s="118"/>
      <c r="H91" s="118"/>
      <c r="I91" s="118"/>
      <c r="J91" s="118"/>
      <c r="K91" s="118"/>
      <c r="L91" s="168"/>
    </row>
    <row r="92" spans="1:12" s="4" customFormat="1" ht="15.75" x14ac:dyDescent="0.25">
      <c r="A92" s="452"/>
      <c r="B92" s="212" t="s">
        <v>65</v>
      </c>
      <c r="C92" s="16" t="s">
        <v>15</v>
      </c>
      <c r="D92" s="151">
        <v>1.8E-3</v>
      </c>
      <c r="E92" s="129">
        <f>E88*D92</f>
        <v>0.20412</v>
      </c>
      <c r="F92" s="118"/>
      <c r="G92" s="118"/>
      <c r="H92" s="118"/>
      <c r="I92" s="118"/>
      <c r="J92" s="118"/>
      <c r="K92" s="118"/>
      <c r="L92" s="168"/>
    </row>
    <row r="93" spans="1:12" s="4" customFormat="1" ht="63" x14ac:dyDescent="0.25">
      <c r="A93" s="450" t="s">
        <v>138</v>
      </c>
      <c r="B93" s="214" t="s">
        <v>181</v>
      </c>
      <c r="C93" s="178" t="s">
        <v>16</v>
      </c>
      <c r="D93" s="76"/>
      <c r="E93" s="223">
        <v>288.20800000000003</v>
      </c>
      <c r="F93" s="118"/>
      <c r="G93" s="118"/>
      <c r="H93" s="118"/>
      <c r="I93" s="118"/>
      <c r="J93" s="118"/>
      <c r="K93" s="118"/>
      <c r="L93" s="168"/>
    </row>
    <row r="94" spans="1:12" s="4" customFormat="1" ht="15.75" x14ac:dyDescent="0.25">
      <c r="A94" s="451"/>
      <c r="B94" s="200" t="s">
        <v>22</v>
      </c>
      <c r="C94" s="172" t="s">
        <v>24</v>
      </c>
      <c r="D94" s="76">
        <v>2.19</v>
      </c>
      <c r="E94" s="188">
        <f>E93*D94</f>
        <v>631.17552000000001</v>
      </c>
      <c r="F94" s="118"/>
      <c r="G94" s="118"/>
      <c r="H94" s="118"/>
      <c r="I94" s="118"/>
      <c r="J94" s="118"/>
      <c r="K94" s="118"/>
      <c r="L94" s="168"/>
    </row>
    <row r="95" spans="1:12" s="4" customFormat="1" ht="15.75" x14ac:dyDescent="0.25">
      <c r="A95" s="451"/>
      <c r="B95" s="212" t="s">
        <v>23</v>
      </c>
      <c r="C95" s="178" t="s">
        <v>25</v>
      </c>
      <c r="D95" s="76">
        <v>0.02</v>
      </c>
      <c r="E95" s="129">
        <f>E93*D95</f>
        <v>5.7641600000000004</v>
      </c>
      <c r="F95" s="118"/>
      <c r="G95" s="118"/>
      <c r="H95" s="118"/>
      <c r="I95" s="118"/>
      <c r="J95" s="118"/>
      <c r="K95" s="118"/>
      <c r="L95" s="168"/>
    </row>
    <row r="96" spans="1:12" s="4" customFormat="1" ht="15.75" x14ac:dyDescent="0.25">
      <c r="A96" s="451"/>
      <c r="B96" s="200" t="s">
        <v>36</v>
      </c>
      <c r="C96" s="172" t="s">
        <v>16</v>
      </c>
      <c r="D96" s="175">
        <v>1.05</v>
      </c>
      <c r="E96" s="129">
        <f>E93*D96</f>
        <v>302.61840000000007</v>
      </c>
      <c r="F96" s="118"/>
      <c r="G96" s="118"/>
      <c r="H96" s="118"/>
      <c r="I96" s="118"/>
      <c r="J96" s="118"/>
      <c r="K96" s="118"/>
      <c r="L96" s="168"/>
    </row>
    <row r="97" spans="1:12" s="4" customFormat="1" ht="15.75" x14ac:dyDescent="0.25">
      <c r="A97" s="451"/>
      <c r="B97" s="200" t="s">
        <v>37</v>
      </c>
      <c r="C97" s="172" t="s">
        <v>17</v>
      </c>
      <c r="D97" s="175">
        <v>5</v>
      </c>
      <c r="E97" s="129">
        <f>E93*D97</f>
        <v>1441.0400000000002</v>
      </c>
      <c r="F97" s="118"/>
      <c r="G97" s="118"/>
      <c r="H97" s="118"/>
      <c r="I97" s="118"/>
      <c r="J97" s="118"/>
      <c r="K97" s="118"/>
      <c r="L97" s="168"/>
    </row>
    <row r="98" spans="1:12" s="4" customFormat="1" ht="15.75" x14ac:dyDescent="0.25">
      <c r="A98" s="451"/>
      <c r="B98" s="202" t="s">
        <v>133</v>
      </c>
      <c r="C98" s="170" t="s">
        <v>72</v>
      </c>
      <c r="D98" s="41">
        <v>0.3</v>
      </c>
      <c r="E98" s="119">
        <f>E93*D98</f>
        <v>86.462400000000002</v>
      </c>
      <c r="F98" s="118"/>
      <c r="G98" s="118"/>
      <c r="H98" s="118"/>
      <c r="I98" s="118"/>
      <c r="J98" s="118"/>
      <c r="K98" s="118"/>
      <c r="L98" s="168"/>
    </row>
    <row r="99" spans="1:12" s="4" customFormat="1" ht="15.75" x14ac:dyDescent="0.25">
      <c r="A99" s="452"/>
      <c r="B99" s="212" t="s">
        <v>32</v>
      </c>
      <c r="C99" s="178" t="s">
        <v>20</v>
      </c>
      <c r="D99" s="76">
        <v>7.0000000000000001E-3</v>
      </c>
      <c r="E99" s="129">
        <f>E93*D99</f>
        <v>2.0174560000000001</v>
      </c>
      <c r="F99" s="118"/>
      <c r="G99" s="118"/>
      <c r="H99" s="118"/>
      <c r="I99" s="118"/>
      <c r="J99" s="118"/>
      <c r="K99" s="118"/>
      <c r="L99" s="168"/>
    </row>
    <row r="100" spans="1:12" s="4" customFormat="1" ht="40.5" x14ac:dyDescent="0.25">
      <c r="A100" s="450" t="s">
        <v>158</v>
      </c>
      <c r="B100" s="285" t="s">
        <v>197</v>
      </c>
      <c r="C100" s="276" t="s">
        <v>16</v>
      </c>
      <c r="D100" s="277"/>
      <c r="E100" s="223">
        <v>79.72</v>
      </c>
      <c r="F100" s="40"/>
      <c r="G100" s="40"/>
      <c r="H100" s="40"/>
      <c r="I100" s="40"/>
      <c r="J100" s="40"/>
      <c r="K100" s="40"/>
      <c r="L100" s="40"/>
    </row>
    <row r="101" spans="1:12" s="4" customFormat="1" ht="15.75" x14ac:dyDescent="0.25">
      <c r="A101" s="451"/>
      <c r="B101" s="271" t="s">
        <v>22</v>
      </c>
      <c r="C101" s="276" t="s">
        <v>24</v>
      </c>
      <c r="D101" s="76">
        <v>0.65800000000000003</v>
      </c>
      <c r="E101" s="277">
        <f>E100*D101</f>
        <v>52.455760000000005</v>
      </c>
      <c r="F101" s="40"/>
      <c r="G101" s="40"/>
      <c r="H101" s="40"/>
      <c r="I101" s="40"/>
      <c r="J101" s="40"/>
      <c r="K101" s="40"/>
      <c r="L101" s="40"/>
    </row>
    <row r="102" spans="1:12" s="4" customFormat="1" ht="15.75" x14ac:dyDescent="0.25">
      <c r="A102" s="451"/>
      <c r="B102" s="82" t="s">
        <v>23</v>
      </c>
      <c r="C102" s="278" t="s">
        <v>25</v>
      </c>
      <c r="D102" s="76">
        <v>0.01</v>
      </c>
      <c r="E102" s="76">
        <f>E100*D102</f>
        <v>0.79720000000000002</v>
      </c>
      <c r="F102" s="40"/>
      <c r="G102" s="40"/>
      <c r="H102" s="40"/>
      <c r="I102" s="40"/>
      <c r="J102" s="40"/>
      <c r="K102" s="40"/>
      <c r="L102" s="40"/>
    </row>
    <row r="103" spans="1:12" s="4" customFormat="1" ht="15.75" x14ac:dyDescent="0.25">
      <c r="A103" s="451"/>
      <c r="B103" s="271" t="s">
        <v>196</v>
      </c>
      <c r="C103" s="276" t="s">
        <v>17</v>
      </c>
      <c r="D103" s="277">
        <v>0.85</v>
      </c>
      <c r="E103" s="186">
        <f>E100*D103</f>
        <v>67.762</v>
      </c>
      <c r="F103" s="40"/>
      <c r="G103" s="40"/>
      <c r="H103" s="40"/>
      <c r="I103" s="40"/>
      <c r="J103" s="40"/>
      <c r="K103" s="40"/>
      <c r="L103" s="40"/>
    </row>
    <row r="104" spans="1:12" s="4" customFormat="1" ht="15.75" x14ac:dyDescent="0.25">
      <c r="A104" s="451"/>
      <c r="B104" s="271" t="s">
        <v>194</v>
      </c>
      <c r="C104" s="276" t="s">
        <v>16</v>
      </c>
      <c r="D104" s="277">
        <v>0.05</v>
      </c>
      <c r="E104" s="76">
        <f>E100*D104</f>
        <v>3.9860000000000002</v>
      </c>
      <c r="F104" s="40"/>
      <c r="G104" s="40"/>
      <c r="H104" s="40"/>
      <c r="I104" s="40"/>
      <c r="J104" s="40"/>
      <c r="K104" s="40"/>
      <c r="L104" s="40"/>
    </row>
    <row r="105" spans="1:12" s="4" customFormat="1" ht="15.75" x14ac:dyDescent="0.25">
      <c r="A105" s="451"/>
      <c r="B105" s="271" t="s">
        <v>195</v>
      </c>
      <c r="C105" s="276" t="s">
        <v>17</v>
      </c>
      <c r="D105" s="277">
        <v>0.35</v>
      </c>
      <c r="E105" s="76">
        <f>E100*D105</f>
        <v>27.901999999999997</v>
      </c>
      <c r="F105" s="40"/>
      <c r="G105" s="40"/>
      <c r="H105" s="40"/>
      <c r="I105" s="40"/>
      <c r="J105" s="40"/>
      <c r="K105" s="40"/>
      <c r="L105" s="40"/>
    </row>
    <row r="106" spans="1:12" s="4" customFormat="1" ht="15.75" x14ac:dyDescent="0.25">
      <c r="A106" s="452"/>
      <c r="B106" s="82" t="s">
        <v>32</v>
      </c>
      <c r="C106" s="278" t="s">
        <v>20</v>
      </c>
      <c r="D106" s="76">
        <v>1.6E-2</v>
      </c>
      <c r="E106" s="76">
        <f>E100*D106</f>
        <v>1.27552</v>
      </c>
      <c r="F106" s="40"/>
      <c r="G106" s="40"/>
      <c r="H106" s="40"/>
      <c r="I106" s="40"/>
      <c r="J106" s="40"/>
      <c r="K106" s="40"/>
      <c r="L106" s="40"/>
    </row>
    <row r="107" spans="1:12" s="4" customFormat="1" ht="27" x14ac:dyDescent="0.25">
      <c r="A107" s="454" t="s">
        <v>318</v>
      </c>
      <c r="B107" s="285" t="s">
        <v>198</v>
      </c>
      <c r="C107" s="276" t="s">
        <v>10</v>
      </c>
      <c r="D107" s="76"/>
      <c r="E107" s="286">
        <v>23.9</v>
      </c>
      <c r="F107" s="40"/>
      <c r="G107" s="40"/>
      <c r="H107" s="40"/>
      <c r="I107" s="40"/>
      <c r="J107" s="40"/>
      <c r="K107" s="40"/>
      <c r="L107" s="40"/>
    </row>
    <row r="108" spans="1:12" s="4" customFormat="1" ht="15.75" x14ac:dyDescent="0.25">
      <c r="A108" s="455"/>
      <c r="B108" s="289" t="s">
        <v>28</v>
      </c>
      <c r="C108" s="146" t="s">
        <v>24</v>
      </c>
      <c r="D108" s="151">
        <v>0.15</v>
      </c>
      <c r="E108" s="277">
        <f>E107*D108</f>
        <v>3.5849999999999995</v>
      </c>
      <c r="F108" s="40"/>
      <c r="G108" s="40"/>
      <c r="H108" s="40"/>
      <c r="I108" s="40"/>
      <c r="J108" s="40"/>
      <c r="K108" s="40"/>
      <c r="L108" s="40"/>
    </row>
    <row r="109" spans="1:12" s="4" customFormat="1" ht="15.75" x14ac:dyDescent="0.25">
      <c r="A109" s="455"/>
      <c r="B109" s="289" t="s">
        <v>29</v>
      </c>
      <c r="C109" s="16" t="s">
        <v>20</v>
      </c>
      <c r="D109" s="151">
        <v>2E-3</v>
      </c>
      <c r="E109" s="277">
        <f>E107*D109</f>
        <v>4.7799999999999995E-2</v>
      </c>
      <c r="F109" s="40"/>
      <c r="G109" s="40"/>
      <c r="H109" s="40"/>
      <c r="I109" s="40"/>
      <c r="J109" s="40"/>
      <c r="K109" s="40"/>
      <c r="L109" s="40"/>
    </row>
    <row r="110" spans="1:12" s="4" customFormat="1" ht="27" x14ac:dyDescent="0.25">
      <c r="A110" s="455"/>
      <c r="B110" s="82" t="s">
        <v>191</v>
      </c>
      <c r="C110" s="288" t="s">
        <v>10</v>
      </c>
      <c r="D110" s="151">
        <v>1.01</v>
      </c>
      <c r="E110" s="277">
        <f>E107*D110</f>
        <v>24.138999999999999</v>
      </c>
      <c r="F110" s="40"/>
      <c r="G110" s="40"/>
      <c r="H110" s="40"/>
      <c r="I110" s="40"/>
      <c r="J110" s="40"/>
      <c r="K110" s="40"/>
      <c r="L110" s="40"/>
    </row>
    <row r="111" spans="1:12" s="4" customFormat="1" ht="15.75" x14ac:dyDescent="0.25">
      <c r="A111" s="455"/>
      <c r="B111" s="289" t="s">
        <v>27</v>
      </c>
      <c r="C111" s="16" t="s">
        <v>20</v>
      </c>
      <c r="D111" s="151">
        <v>2E-3</v>
      </c>
      <c r="E111" s="277">
        <f>E107*D111</f>
        <v>4.7799999999999995E-2</v>
      </c>
      <c r="F111" s="40"/>
      <c r="G111" s="40"/>
      <c r="H111" s="40"/>
      <c r="I111" s="40"/>
      <c r="J111" s="40"/>
      <c r="K111" s="40"/>
      <c r="L111" s="40"/>
    </row>
    <row r="112" spans="1:12" s="4" customFormat="1" ht="15.75" x14ac:dyDescent="0.25">
      <c r="A112" s="279"/>
      <c r="B112" s="212"/>
      <c r="C112" s="278"/>
      <c r="D112" s="76"/>
      <c r="E112" s="129"/>
      <c r="F112" s="118"/>
      <c r="G112" s="118"/>
      <c r="H112" s="118"/>
      <c r="I112" s="118"/>
      <c r="J112" s="118"/>
      <c r="K112" s="118"/>
      <c r="L112" s="275"/>
    </row>
    <row r="113" spans="1:12" s="4" customFormat="1" ht="40.5" x14ac:dyDescent="0.25">
      <c r="A113" s="450" t="s">
        <v>164</v>
      </c>
      <c r="B113" s="285" t="s">
        <v>199</v>
      </c>
      <c r="C113" s="278" t="s">
        <v>16</v>
      </c>
      <c r="D113" s="76"/>
      <c r="E113" s="286">
        <v>17.850000000000001</v>
      </c>
      <c r="F113" s="40"/>
      <c r="G113" s="40"/>
      <c r="H113" s="40"/>
      <c r="I113" s="40"/>
      <c r="J113" s="40"/>
      <c r="K113" s="40"/>
      <c r="L113" s="40"/>
    </row>
    <row r="114" spans="1:12" s="4" customFormat="1" ht="15.75" x14ac:dyDescent="0.25">
      <c r="A114" s="451"/>
      <c r="B114" s="290" t="s">
        <v>54</v>
      </c>
      <c r="C114" s="169" t="s">
        <v>68</v>
      </c>
      <c r="D114" s="80">
        <f>(261+82.9)*0.01</f>
        <v>3.4390000000000001</v>
      </c>
      <c r="E114" s="80">
        <f>D114*E113</f>
        <v>61.386150000000008</v>
      </c>
      <c r="F114" s="40"/>
      <c r="G114" s="40"/>
      <c r="H114" s="40"/>
      <c r="I114" s="40"/>
      <c r="J114" s="40"/>
      <c r="K114" s="40"/>
      <c r="L114" s="40"/>
    </row>
    <row r="115" spans="1:12" s="4" customFormat="1" ht="15.75" x14ac:dyDescent="0.25">
      <c r="A115" s="451"/>
      <c r="B115" s="289" t="s">
        <v>29</v>
      </c>
      <c r="C115" s="169" t="s">
        <v>20</v>
      </c>
      <c r="D115" s="80">
        <f>(3.5+0.39)*0.01</f>
        <v>3.8900000000000004E-2</v>
      </c>
      <c r="E115" s="80">
        <f>D115*E113</f>
        <v>0.69436500000000012</v>
      </c>
      <c r="F115" s="40"/>
      <c r="G115" s="40"/>
      <c r="H115" s="40"/>
      <c r="I115" s="40"/>
      <c r="J115" s="40"/>
      <c r="K115" s="40"/>
      <c r="L115" s="40"/>
    </row>
    <row r="116" spans="1:12" s="4" customFormat="1" ht="15.75" x14ac:dyDescent="0.25">
      <c r="A116" s="451"/>
      <c r="B116" s="290" t="s">
        <v>69</v>
      </c>
      <c r="C116" s="169" t="s">
        <v>70</v>
      </c>
      <c r="D116" s="80">
        <v>5</v>
      </c>
      <c r="E116" s="80">
        <f>D116*E113</f>
        <v>89.25</v>
      </c>
      <c r="F116" s="40"/>
      <c r="G116" s="40"/>
      <c r="H116" s="40"/>
      <c r="I116" s="40"/>
      <c r="J116" s="40"/>
      <c r="K116" s="40"/>
      <c r="L116" s="40"/>
    </row>
    <row r="117" spans="1:12" s="4" customFormat="1" ht="15.75" x14ac:dyDescent="0.25">
      <c r="A117" s="451"/>
      <c r="B117" s="290" t="s">
        <v>71</v>
      </c>
      <c r="C117" s="169" t="s">
        <v>72</v>
      </c>
      <c r="D117" s="80">
        <v>0.06</v>
      </c>
      <c r="E117" s="80">
        <f>D117*E113</f>
        <v>1.071</v>
      </c>
      <c r="F117" s="40"/>
      <c r="G117" s="40"/>
      <c r="H117" s="40"/>
      <c r="I117" s="40"/>
      <c r="J117" s="40"/>
      <c r="K117" s="40"/>
      <c r="L117" s="40"/>
    </row>
    <row r="118" spans="1:12" s="4" customFormat="1" ht="27" x14ac:dyDescent="0.25">
      <c r="A118" s="451"/>
      <c r="B118" s="290" t="s">
        <v>200</v>
      </c>
      <c r="C118" s="169" t="s">
        <v>162</v>
      </c>
      <c r="D118" s="80">
        <v>1.03</v>
      </c>
      <c r="E118" s="80">
        <f>D118*E113</f>
        <v>18.3855</v>
      </c>
      <c r="F118" s="40"/>
      <c r="G118" s="40"/>
      <c r="H118" s="40"/>
      <c r="I118" s="40"/>
      <c r="J118" s="40"/>
      <c r="K118" s="40"/>
      <c r="L118" s="40"/>
    </row>
    <row r="119" spans="1:12" s="4" customFormat="1" ht="15.75" x14ac:dyDescent="0.25">
      <c r="A119" s="452"/>
      <c r="B119" s="290" t="s">
        <v>201</v>
      </c>
      <c r="C119" s="169" t="s">
        <v>20</v>
      </c>
      <c r="D119" s="80">
        <f>(38.9+1.6)*0.01</f>
        <v>0.40500000000000003</v>
      </c>
      <c r="E119" s="80">
        <f>D119*E113</f>
        <v>7.2292500000000013</v>
      </c>
      <c r="F119" s="40"/>
      <c r="G119" s="40"/>
      <c r="H119" s="40"/>
      <c r="I119" s="40"/>
      <c r="J119" s="40"/>
      <c r="K119" s="40"/>
      <c r="L119" s="40"/>
    </row>
    <row r="120" spans="1:12" s="4" customFormat="1" ht="54" x14ac:dyDescent="0.25">
      <c r="A120" s="450" t="s">
        <v>167</v>
      </c>
      <c r="B120" s="285" t="s">
        <v>192</v>
      </c>
      <c r="C120" s="278" t="s">
        <v>16</v>
      </c>
      <c r="D120" s="76"/>
      <c r="E120" s="286">
        <v>17.850000000000001</v>
      </c>
      <c r="F120" s="40"/>
      <c r="G120" s="40"/>
      <c r="H120" s="40"/>
      <c r="I120" s="40"/>
      <c r="J120" s="40"/>
      <c r="K120" s="40"/>
      <c r="L120" s="40"/>
    </row>
    <row r="121" spans="1:12" s="4" customFormat="1" ht="15.75" x14ac:dyDescent="0.25">
      <c r="A121" s="451"/>
      <c r="B121" s="82" t="s">
        <v>22</v>
      </c>
      <c r="C121" s="278" t="s">
        <v>24</v>
      </c>
      <c r="D121" s="76">
        <v>0.53500000000000003</v>
      </c>
      <c r="E121" s="277">
        <f>E120*D121</f>
        <v>9.5497500000000013</v>
      </c>
      <c r="F121" s="40"/>
      <c r="G121" s="40"/>
      <c r="H121" s="40"/>
      <c r="I121" s="40"/>
      <c r="J121" s="40"/>
      <c r="K121" s="40"/>
      <c r="L121" s="40"/>
    </row>
    <row r="122" spans="1:12" s="4" customFormat="1" ht="15.75" x14ac:dyDescent="0.25">
      <c r="A122" s="451"/>
      <c r="B122" s="82" t="s">
        <v>23</v>
      </c>
      <c r="C122" s="278" t="s">
        <v>25</v>
      </c>
      <c r="D122" s="76">
        <v>1.2E-2</v>
      </c>
      <c r="E122" s="277">
        <f>E120*D122</f>
        <v>0.21420000000000003</v>
      </c>
      <c r="F122" s="40"/>
      <c r="G122" s="40"/>
      <c r="H122" s="40"/>
      <c r="I122" s="40"/>
      <c r="J122" s="40"/>
      <c r="K122" s="40"/>
      <c r="L122" s="40"/>
    </row>
    <row r="123" spans="1:12" s="4" customFormat="1" ht="15.75" x14ac:dyDescent="0.25">
      <c r="A123" s="451"/>
      <c r="B123" s="82" t="s">
        <v>193</v>
      </c>
      <c r="C123" s="278" t="s">
        <v>17</v>
      </c>
      <c r="D123" s="76">
        <v>0.85</v>
      </c>
      <c r="E123" s="277">
        <f>E120*D123</f>
        <v>15.172500000000001</v>
      </c>
      <c r="F123" s="40"/>
      <c r="G123" s="40"/>
      <c r="H123" s="40"/>
      <c r="I123" s="40"/>
      <c r="J123" s="40"/>
      <c r="K123" s="40"/>
      <c r="L123" s="40"/>
    </row>
    <row r="124" spans="1:12" s="4" customFormat="1" ht="15.75" x14ac:dyDescent="0.25">
      <c r="A124" s="451"/>
      <c r="B124" s="82" t="s">
        <v>194</v>
      </c>
      <c r="C124" s="278" t="s">
        <v>16</v>
      </c>
      <c r="D124" s="76">
        <v>0.05</v>
      </c>
      <c r="E124" s="76">
        <f>E120*D124</f>
        <v>0.89250000000000007</v>
      </c>
      <c r="F124" s="40"/>
      <c r="G124" s="40"/>
      <c r="H124" s="40"/>
      <c r="I124" s="40"/>
      <c r="J124" s="40"/>
      <c r="K124" s="40"/>
      <c r="L124" s="40"/>
    </row>
    <row r="125" spans="1:12" s="4" customFormat="1" ht="15.75" x14ac:dyDescent="0.25">
      <c r="A125" s="451"/>
      <c r="B125" s="271" t="s">
        <v>195</v>
      </c>
      <c r="C125" s="276" t="s">
        <v>17</v>
      </c>
      <c r="D125" s="277">
        <v>0.35</v>
      </c>
      <c r="E125" s="76">
        <f>E120*D125</f>
        <v>6.2475000000000005</v>
      </c>
      <c r="F125" s="40"/>
      <c r="G125" s="40"/>
      <c r="H125" s="40"/>
      <c r="I125" s="40"/>
      <c r="J125" s="40"/>
      <c r="K125" s="40"/>
      <c r="L125" s="40"/>
    </row>
    <row r="126" spans="1:12" s="4" customFormat="1" ht="15.75" x14ac:dyDescent="0.25">
      <c r="A126" s="452"/>
      <c r="B126" s="82" t="s">
        <v>32</v>
      </c>
      <c r="C126" s="278" t="s">
        <v>20</v>
      </c>
      <c r="D126" s="76">
        <v>1.6E-2</v>
      </c>
      <c r="E126" s="76">
        <f>E120*D126</f>
        <v>0.28560000000000002</v>
      </c>
      <c r="F126" s="40"/>
      <c r="G126" s="40"/>
      <c r="H126" s="40"/>
      <c r="I126" s="40"/>
      <c r="J126" s="40"/>
      <c r="K126" s="40"/>
      <c r="L126" s="40"/>
    </row>
    <row r="127" spans="1:12" s="4" customFormat="1" ht="47.25" x14ac:dyDescent="0.25">
      <c r="A127" s="450" t="s">
        <v>165</v>
      </c>
      <c r="B127" s="199" t="s">
        <v>87</v>
      </c>
      <c r="C127" s="178" t="s">
        <v>16</v>
      </c>
      <c r="D127" s="76"/>
      <c r="E127" s="223">
        <v>39.33</v>
      </c>
      <c r="F127" s="118"/>
      <c r="G127" s="118"/>
      <c r="H127" s="118"/>
      <c r="I127" s="118"/>
      <c r="J127" s="118"/>
      <c r="K127" s="118"/>
      <c r="L127" s="168"/>
    </row>
    <row r="128" spans="1:12" s="4" customFormat="1" ht="15.75" x14ac:dyDescent="0.25">
      <c r="A128" s="451"/>
      <c r="B128" s="205" t="s">
        <v>54</v>
      </c>
      <c r="C128" s="169" t="s">
        <v>68</v>
      </c>
      <c r="D128" s="80">
        <f>(261+82.9)*0.01</f>
        <v>3.4390000000000001</v>
      </c>
      <c r="E128" s="125">
        <f>D128*E127</f>
        <v>135.25586999999999</v>
      </c>
      <c r="F128" s="118"/>
      <c r="G128" s="118"/>
      <c r="H128" s="118"/>
      <c r="I128" s="118"/>
      <c r="J128" s="118"/>
      <c r="K128" s="118"/>
      <c r="L128" s="168"/>
    </row>
    <row r="129" spans="1:13" s="4" customFormat="1" ht="15.75" x14ac:dyDescent="0.25">
      <c r="A129" s="451"/>
      <c r="B129" s="213" t="s">
        <v>29</v>
      </c>
      <c r="C129" s="169" t="s">
        <v>20</v>
      </c>
      <c r="D129" s="80">
        <f>(3.5+0.39)*0.01</f>
        <v>3.8900000000000004E-2</v>
      </c>
      <c r="E129" s="125">
        <f>D129*E127</f>
        <v>1.5299370000000001</v>
      </c>
      <c r="F129" s="118"/>
      <c r="G129" s="118"/>
      <c r="H129" s="118"/>
      <c r="I129" s="118"/>
      <c r="J129" s="118"/>
      <c r="K129" s="118"/>
      <c r="L129" s="168"/>
    </row>
    <row r="130" spans="1:13" s="4" customFormat="1" ht="15.75" x14ac:dyDescent="0.25">
      <c r="A130" s="451"/>
      <c r="B130" s="205" t="s">
        <v>69</v>
      </c>
      <c r="C130" s="169" t="s">
        <v>70</v>
      </c>
      <c r="D130" s="80">
        <v>6.6</v>
      </c>
      <c r="E130" s="125">
        <f>D130*E127</f>
        <v>259.57799999999997</v>
      </c>
      <c r="F130" s="118"/>
      <c r="G130" s="118"/>
      <c r="H130" s="118"/>
      <c r="I130" s="118"/>
      <c r="J130" s="118"/>
      <c r="K130" s="118"/>
      <c r="L130" s="168"/>
    </row>
    <row r="131" spans="1:13" s="4" customFormat="1" ht="15.75" x14ac:dyDescent="0.25">
      <c r="A131" s="451"/>
      <c r="B131" s="205" t="s">
        <v>71</v>
      </c>
      <c r="C131" s="169" t="s">
        <v>72</v>
      </c>
      <c r="D131" s="80">
        <v>0.06</v>
      </c>
      <c r="E131" s="125">
        <f>D131*E127</f>
        <v>2.3597999999999999</v>
      </c>
      <c r="F131" s="118"/>
      <c r="G131" s="118"/>
      <c r="H131" s="118"/>
      <c r="I131" s="118"/>
      <c r="J131" s="118"/>
      <c r="K131" s="118"/>
      <c r="L131" s="168"/>
    </row>
    <row r="132" spans="1:13" s="4" customFormat="1" ht="15.75" x14ac:dyDescent="0.25">
      <c r="A132" s="452"/>
      <c r="B132" s="205" t="s">
        <v>86</v>
      </c>
      <c r="C132" s="169" t="s">
        <v>162</v>
      </c>
      <c r="D132" s="80">
        <v>1.03</v>
      </c>
      <c r="E132" s="125">
        <f>D132*E127</f>
        <v>40.509900000000002</v>
      </c>
      <c r="F132" s="118"/>
      <c r="G132" s="118"/>
      <c r="H132" s="118"/>
      <c r="I132" s="118"/>
      <c r="J132" s="118"/>
      <c r="K132" s="118"/>
      <c r="L132" s="168"/>
    </row>
    <row r="133" spans="1:13" s="9" customFormat="1" ht="15.75" x14ac:dyDescent="0.25">
      <c r="A133" s="170"/>
      <c r="B133" s="217"/>
      <c r="C133" s="14"/>
      <c r="D133" s="41"/>
      <c r="E133" s="119"/>
      <c r="F133" s="118"/>
      <c r="G133" s="118"/>
      <c r="H133" s="118"/>
      <c r="I133" s="118"/>
      <c r="J133" s="118"/>
      <c r="K133" s="118"/>
      <c r="L133" s="168"/>
      <c r="M133" s="54"/>
    </row>
    <row r="134" spans="1:13" s="9" customFormat="1" ht="63" x14ac:dyDescent="0.25">
      <c r="A134" s="449" t="s">
        <v>166</v>
      </c>
      <c r="B134" s="195" t="s">
        <v>66</v>
      </c>
      <c r="C134" s="172" t="s">
        <v>18</v>
      </c>
      <c r="D134" s="184"/>
      <c r="E134" s="223">
        <v>7</v>
      </c>
      <c r="F134" s="118"/>
      <c r="G134" s="118"/>
      <c r="H134" s="118"/>
      <c r="I134" s="118"/>
      <c r="J134" s="118"/>
      <c r="K134" s="118"/>
      <c r="L134" s="168"/>
      <c r="M134" s="54"/>
    </row>
    <row r="135" spans="1:13" s="9" customFormat="1" ht="15.75" x14ac:dyDescent="0.25">
      <c r="A135" s="449"/>
      <c r="B135" s="196" t="s">
        <v>28</v>
      </c>
      <c r="C135" s="146" t="s">
        <v>24</v>
      </c>
      <c r="D135" s="151">
        <v>1.85</v>
      </c>
      <c r="E135" s="225">
        <f>E134*D135</f>
        <v>12.950000000000001</v>
      </c>
      <c r="F135" s="224"/>
      <c r="G135" s="118"/>
      <c r="H135" s="224"/>
      <c r="I135" s="118"/>
      <c r="J135" s="118"/>
      <c r="K135" s="118"/>
      <c r="L135" s="168"/>
      <c r="M135" s="54"/>
    </row>
    <row r="136" spans="1:13" s="9" customFormat="1" ht="47.25" x14ac:dyDescent="0.25">
      <c r="A136" s="449"/>
      <c r="B136" s="197" t="s">
        <v>67</v>
      </c>
      <c r="C136" s="172" t="s">
        <v>18</v>
      </c>
      <c r="D136" s="151"/>
      <c r="E136" s="227">
        <f>E134</f>
        <v>7</v>
      </c>
      <c r="F136" s="224"/>
      <c r="G136" s="118"/>
      <c r="H136" s="224"/>
      <c r="I136" s="118"/>
      <c r="J136" s="224"/>
      <c r="K136" s="118"/>
      <c r="L136" s="168"/>
      <c r="M136" s="54"/>
    </row>
    <row r="137" spans="1:13" s="9" customFormat="1" ht="15.75" x14ac:dyDescent="0.25">
      <c r="A137" s="449"/>
      <c r="B137" s="196" t="s">
        <v>33</v>
      </c>
      <c r="C137" s="146" t="s">
        <v>24</v>
      </c>
      <c r="D137" s="151">
        <v>0.53</v>
      </c>
      <c r="E137" s="225">
        <f>E136*D137</f>
        <v>3.71</v>
      </c>
      <c r="F137" s="224"/>
      <c r="G137" s="118"/>
      <c r="H137" s="224"/>
      <c r="I137" s="118"/>
      <c r="J137" s="224"/>
      <c r="K137" s="118"/>
      <c r="L137" s="168"/>
      <c r="M137" s="54"/>
    </row>
    <row r="138" spans="1:13" s="9" customFormat="1" ht="31.5" x14ac:dyDescent="0.25">
      <c r="A138" s="449"/>
      <c r="B138" s="198" t="s">
        <v>247</v>
      </c>
      <c r="C138" s="172" t="s">
        <v>18</v>
      </c>
      <c r="D138" s="151"/>
      <c r="E138" s="227">
        <f>E134</f>
        <v>7</v>
      </c>
      <c r="F138" s="224"/>
      <c r="G138" s="118"/>
      <c r="H138" s="224"/>
      <c r="I138" s="118"/>
      <c r="J138" s="224"/>
      <c r="K138" s="118"/>
      <c r="L138" s="168"/>
      <c r="M138" s="54"/>
    </row>
    <row r="139" spans="1:13" s="9" customFormat="1" ht="15.75" x14ac:dyDescent="0.25">
      <c r="A139" s="179"/>
      <c r="B139" s="231"/>
      <c r="C139" s="179"/>
      <c r="D139" s="186"/>
      <c r="E139" s="123"/>
      <c r="F139" s="141"/>
      <c r="G139" s="118"/>
      <c r="H139" s="141"/>
      <c r="I139" s="118"/>
      <c r="J139" s="141"/>
      <c r="K139" s="168"/>
      <c r="L139" s="168"/>
      <c r="M139" s="54"/>
    </row>
    <row r="140" spans="1:13" x14ac:dyDescent="0.25">
      <c r="A140" s="21"/>
      <c r="B140" s="22" t="s">
        <v>153</v>
      </c>
      <c r="C140" s="23"/>
      <c r="D140" s="47"/>
      <c r="E140" s="219"/>
      <c r="F140" s="19"/>
      <c r="G140" s="19"/>
      <c r="H140" s="19"/>
      <c r="I140" s="19"/>
      <c r="J140" s="19"/>
      <c r="K140" s="19"/>
      <c r="L140" s="19"/>
    </row>
    <row r="141" spans="1:13" s="3" customFormat="1" ht="27" x14ac:dyDescent="0.25">
      <c r="A141" s="376"/>
      <c r="B141" s="377" t="s">
        <v>300</v>
      </c>
      <c r="C141" s="268" t="s">
        <v>319</v>
      </c>
      <c r="D141" s="378"/>
      <c r="E141" s="379"/>
      <c r="F141" s="380"/>
      <c r="G141" s="380"/>
      <c r="H141" s="380"/>
      <c r="I141" s="380"/>
      <c r="J141" s="380"/>
      <c r="K141" s="380"/>
      <c r="L141" s="287"/>
    </row>
    <row r="142" spans="1:13" s="3" customFormat="1" x14ac:dyDescent="0.25">
      <c r="A142" s="376"/>
      <c r="B142" s="268"/>
      <c r="C142" s="268"/>
      <c r="D142" s="378"/>
      <c r="E142" s="378"/>
      <c r="F142" s="380"/>
      <c r="G142" s="380"/>
      <c r="H142" s="380"/>
      <c r="I142" s="287" t="s">
        <v>19</v>
      </c>
      <c r="J142" s="380"/>
      <c r="K142" s="380"/>
      <c r="L142" s="287"/>
    </row>
    <row r="143" spans="1:13" x14ac:dyDescent="0.25">
      <c r="A143" s="50"/>
      <c r="B143" s="10" t="s">
        <v>13</v>
      </c>
      <c r="C143" s="422" t="s">
        <v>319</v>
      </c>
      <c r="D143" s="153"/>
      <c r="E143" s="381"/>
      <c r="F143" s="382"/>
      <c r="G143" s="382"/>
      <c r="H143" s="382"/>
      <c r="I143" s="382"/>
      <c r="J143" s="382"/>
      <c r="K143" s="382"/>
      <c r="L143" s="382"/>
    </row>
    <row r="144" spans="1:13" x14ac:dyDescent="0.25">
      <c r="A144" s="51"/>
      <c r="B144" s="11"/>
      <c r="C144" s="423"/>
      <c r="D144" s="86"/>
      <c r="E144" s="86"/>
      <c r="F144" s="383"/>
      <c r="G144" s="383"/>
      <c r="H144" s="383"/>
      <c r="I144" s="383" t="s">
        <v>9</v>
      </c>
      <c r="J144" s="383"/>
      <c r="K144" s="383"/>
      <c r="L144" s="383"/>
    </row>
    <row r="145" spans="1:13" x14ac:dyDescent="0.25">
      <c r="A145" s="51"/>
      <c r="B145" s="11" t="s">
        <v>12</v>
      </c>
      <c r="C145" s="423" t="s">
        <v>319</v>
      </c>
      <c r="D145" s="86"/>
      <c r="E145" s="384"/>
      <c r="F145" s="383"/>
      <c r="G145" s="383"/>
      <c r="H145" s="383"/>
      <c r="I145" s="383"/>
      <c r="J145" s="383"/>
      <c r="K145" s="383"/>
      <c r="L145" s="383"/>
    </row>
    <row r="146" spans="1:13" ht="27" x14ac:dyDescent="0.25">
      <c r="A146" s="96"/>
      <c r="B146" s="23" t="s">
        <v>172</v>
      </c>
      <c r="C146" s="144"/>
      <c r="D146" s="97"/>
      <c r="E146" s="97"/>
      <c r="F146" s="385"/>
      <c r="G146" s="385"/>
      <c r="H146" s="385"/>
      <c r="I146" s="385" t="s">
        <v>9</v>
      </c>
      <c r="J146" s="385"/>
      <c r="K146" s="385"/>
      <c r="L146" s="98"/>
    </row>
    <row r="148" spans="1:13" x14ac:dyDescent="0.25">
      <c r="B148" s="90"/>
      <c r="C148" s="134"/>
      <c r="D148" s="61"/>
      <c r="M148" s="2"/>
    </row>
    <row r="149" spans="1:13" x14ac:dyDescent="0.25">
      <c r="B149" s="27"/>
      <c r="C149" s="36"/>
      <c r="D149" s="114"/>
      <c r="M149" s="2"/>
    </row>
    <row r="150" spans="1:13" x14ac:dyDescent="0.25">
      <c r="B150" s="448"/>
      <c r="C150" s="448"/>
      <c r="D150" s="448"/>
      <c r="M150" s="2"/>
    </row>
    <row r="152" spans="1:13" s="3" customFormat="1" x14ac:dyDescent="0.25">
      <c r="A152" s="12"/>
      <c r="B152" s="24"/>
      <c r="C152" s="12"/>
      <c r="D152" s="43"/>
      <c r="E152" s="32"/>
      <c r="F152" s="26"/>
      <c r="G152" s="26"/>
      <c r="H152" s="26"/>
      <c r="I152" s="26"/>
      <c r="J152" s="26"/>
      <c r="K152" s="26"/>
      <c r="L152" s="26"/>
    </row>
    <row r="153" spans="1:13" s="3" customFormat="1" x14ac:dyDescent="0.25">
      <c r="A153" s="12"/>
      <c r="B153" s="24"/>
      <c r="C153" s="12"/>
      <c r="D153" s="43"/>
      <c r="E153" s="32"/>
      <c r="F153" s="26"/>
      <c r="G153" s="26"/>
      <c r="H153" s="26"/>
      <c r="I153" s="26"/>
      <c r="J153" s="26"/>
      <c r="K153" s="26"/>
      <c r="L153" s="26"/>
    </row>
    <row r="162" spans="1:13" s="9" customFormat="1" ht="15.75" x14ac:dyDescent="0.25">
      <c r="A162" s="12"/>
      <c r="B162" s="24"/>
      <c r="C162" s="12"/>
      <c r="D162" s="43"/>
      <c r="E162" s="32"/>
      <c r="F162" s="26"/>
      <c r="G162" s="26"/>
      <c r="H162" s="26"/>
      <c r="I162" s="26"/>
      <c r="J162" s="26"/>
      <c r="K162" s="26"/>
      <c r="L162" s="26"/>
      <c r="M162" s="54"/>
    </row>
  </sheetData>
  <mergeCells count="36">
    <mergeCell ref="A46:A52"/>
    <mergeCell ref="A113:A119"/>
    <mergeCell ref="A120:A126"/>
    <mergeCell ref="A12:A14"/>
    <mergeCell ref="A32:A36"/>
    <mergeCell ref="A76:A80"/>
    <mergeCell ref="A81:A87"/>
    <mergeCell ref="A88:A92"/>
    <mergeCell ref="A93:A99"/>
    <mergeCell ref="A39:A45"/>
    <mergeCell ref="A28:A30"/>
    <mergeCell ref="A21:A23"/>
    <mergeCell ref="A18:A20"/>
    <mergeCell ref="B150:D150"/>
    <mergeCell ref="A134:A138"/>
    <mergeCell ref="A127:A132"/>
    <mergeCell ref="A53:A58"/>
    <mergeCell ref="A59:A63"/>
    <mergeCell ref="A64:A68"/>
    <mergeCell ref="A69:A75"/>
    <mergeCell ref="A100:A106"/>
    <mergeCell ref="A107:A111"/>
    <mergeCell ref="J1:L1"/>
    <mergeCell ref="A9:A11"/>
    <mergeCell ref="A25:A27"/>
    <mergeCell ref="A2:L2"/>
    <mergeCell ref="A3:L3"/>
    <mergeCell ref="A5:A6"/>
    <mergeCell ref="B5:B6"/>
    <mergeCell ref="C5:C6"/>
    <mergeCell ref="F5:G5"/>
    <mergeCell ref="H5:I5"/>
    <mergeCell ref="J5:K5"/>
    <mergeCell ref="L5:L6"/>
    <mergeCell ref="D5:E5"/>
    <mergeCell ref="A15:A17"/>
  </mergeCells>
  <pageMargins left="0.47" right="0.15748031496062992" top="0.31496062992125984" bottom="0.39370078740157483" header="0.23622047244094491" footer="0.15748031496062992"/>
  <pageSetup paperSize="9" orientation="landscape" r:id="rId1"/>
  <headerFooter>
    <oddHeader>&amp;R&amp;P--&amp;N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M77"/>
  <sheetViews>
    <sheetView tabSelected="1" topLeftCell="A61" zoomScaleNormal="100" workbookViewId="0">
      <selection activeCell="I71" sqref="I71"/>
    </sheetView>
  </sheetViews>
  <sheetFormatPr defaultColWidth="8.85546875" defaultRowHeight="15.75" x14ac:dyDescent="0.25"/>
  <cols>
    <col min="1" max="1" width="5.28515625" style="5" customWidth="1"/>
    <col min="2" max="2" width="31.140625" style="12" customWidth="1"/>
    <col min="3" max="3" width="7.140625" style="12" customWidth="1"/>
    <col min="4" max="4" width="8.42578125" style="12" customWidth="1"/>
    <col min="5" max="5" width="8.85546875" style="74"/>
    <col min="6" max="6" width="9.28515625" style="49" customWidth="1"/>
    <col min="7" max="7" width="11.7109375" style="49" customWidth="1"/>
    <col min="8" max="8" width="7" style="49" customWidth="1"/>
    <col min="9" max="9" width="11" style="49" customWidth="1"/>
    <col min="10" max="10" width="7.28515625" style="49" customWidth="1"/>
    <col min="11" max="11" width="11" style="49" customWidth="1"/>
    <col min="12" max="12" width="12.42578125" style="49" customWidth="1"/>
    <col min="13" max="13" width="38.5703125" style="4" customWidth="1"/>
    <col min="14" max="16384" width="8.85546875" style="4"/>
  </cols>
  <sheetData>
    <row r="1" spans="1:13" x14ac:dyDescent="0.25">
      <c r="K1" s="460" t="s">
        <v>320</v>
      </c>
      <c r="L1" s="460"/>
    </row>
    <row r="2" spans="1:13" ht="46.9" customHeight="1" x14ac:dyDescent="0.25">
      <c r="A2" s="442" t="s">
        <v>305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56"/>
    </row>
    <row r="3" spans="1:13" x14ac:dyDescent="0.25">
      <c r="A3" s="442" t="s">
        <v>114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4" spans="1:13" x14ac:dyDescent="0.25">
      <c r="A4" s="103"/>
      <c r="B4" s="6"/>
      <c r="C4" s="6"/>
      <c r="D4" s="6"/>
      <c r="E4" s="62"/>
      <c r="F4" s="63"/>
      <c r="G4" s="63"/>
      <c r="H4" s="63"/>
      <c r="I4" s="63"/>
      <c r="J4" s="63"/>
      <c r="K4" s="63"/>
      <c r="L4" s="63"/>
    </row>
    <row r="5" spans="1:13" ht="39" customHeight="1" x14ac:dyDescent="0.25">
      <c r="A5" s="468" t="s">
        <v>0</v>
      </c>
      <c r="B5" s="468" t="s">
        <v>1</v>
      </c>
      <c r="C5" s="468" t="s">
        <v>2</v>
      </c>
      <c r="D5" s="468" t="s">
        <v>3</v>
      </c>
      <c r="E5" s="470" t="s">
        <v>4</v>
      </c>
      <c r="F5" s="472" t="s">
        <v>5</v>
      </c>
      <c r="G5" s="473"/>
      <c r="H5" s="472" t="s">
        <v>6</v>
      </c>
      <c r="I5" s="473"/>
      <c r="J5" s="472" t="s">
        <v>26</v>
      </c>
      <c r="K5" s="473"/>
      <c r="L5" s="474" t="s">
        <v>7</v>
      </c>
    </row>
    <row r="6" spans="1:13" ht="33" customHeight="1" x14ac:dyDescent="0.25">
      <c r="A6" s="469"/>
      <c r="B6" s="469"/>
      <c r="C6" s="469"/>
      <c r="D6" s="469"/>
      <c r="E6" s="471"/>
      <c r="F6" s="430" t="s">
        <v>8</v>
      </c>
      <c r="G6" s="430" t="s">
        <v>9</v>
      </c>
      <c r="H6" s="430" t="s">
        <v>8</v>
      </c>
      <c r="I6" s="430" t="s">
        <v>9</v>
      </c>
      <c r="J6" s="430" t="s">
        <v>8</v>
      </c>
      <c r="K6" s="430" t="s">
        <v>9</v>
      </c>
      <c r="L6" s="475"/>
    </row>
    <row r="7" spans="1:13" x14ac:dyDescent="0.25">
      <c r="A7" s="427">
        <v>1</v>
      </c>
      <c r="B7" s="427" t="s">
        <v>140</v>
      </c>
      <c r="C7" s="427" t="s">
        <v>57</v>
      </c>
      <c r="D7" s="427" t="s">
        <v>141</v>
      </c>
      <c r="E7" s="431">
        <v>5</v>
      </c>
      <c r="F7" s="427" t="s">
        <v>136</v>
      </c>
      <c r="G7" s="431">
        <v>7</v>
      </c>
      <c r="H7" s="427" t="s">
        <v>35</v>
      </c>
      <c r="I7" s="431">
        <v>9</v>
      </c>
      <c r="J7" s="427" t="s">
        <v>138</v>
      </c>
      <c r="K7" s="431">
        <v>11</v>
      </c>
      <c r="L7" s="427" t="s">
        <v>318</v>
      </c>
    </row>
    <row r="8" spans="1:13" x14ac:dyDescent="0.25">
      <c r="A8" s="95"/>
      <c r="B8" s="95" t="s">
        <v>114</v>
      </c>
      <c r="C8" s="8"/>
      <c r="D8" s="8"/>
      <c r="E8" s="39"/>
      <c r="F8" s="40"/>
      <c r="G8" s="40"/>
      <c r="H8" s="40"/>
      <c r="I8" s="40"/>
      <c r="J8" s="40"/>
      <c r="K8" s="40"/>
      <c r="L8" s="137"/>
    </row>
    <row r="9" spans="1:13" ht="27" x14ac:dyDescent="0.25">
      <c r="A9" s="352" t="s">
        <v>139</v>
      </c>
      <c r="B9" s="104" t="s">
        <v>257</v>
      </c>
      <c r="C9" s="116" t="s">
        <v>21</v>
      </c>
      <c r="D9" s="355"/>
      <c r="E9" s="64">
        <f>E12+E16</f>
        <v>2</v>
      </c>
      <c r="F9" s="187"/>
      <c r="G9" s="40"/>
      <c r="H9" s="187"/>
      <c r="I9" s="40"/>
      <c r="J9" s="187"/>
      <c r="K9" s="40"/>
      <c r="L9" s="174"/>
    </row>
    <row r="10" spans="1:13" x14ac:dyDescent="0.25">
      <c r="A10" s="353"/>
      <c r="B10" s="55" t="s">
        <v>33</v>
      </c>
      <c r="C10" s="101" t="s">
        <v>107</v>
      </c>
      <c r="D10" s="318">
        <v>7.05</v>
      </c>
      <c r="E10" s="186">
        <f>E9*D10</f>
        <v>14.1</v>
      </c>
      <c r="F10" s="187"/>
      <c r="G10" s="40"/>
      <c r="H10" s="187"/>
      <c r="I10" s="40"/>
      <c r="J10" s="187"/>
      <c r="K10" s="40"/>
      <c r="L10" s="174"/>
    </row>
    <row r="11" spans="1:13" ht="25.5" x14ac:dyDescent="0.25">
      <c r="A11" s="353"/>
      <c r="B11" s="55" t="s">
        <v>31</v>
      </c>
      <c r="C11" s="101" t="s">
        <v>258</v>
      </c>
      <c r="D11" s="318">
        <v>0</v>
      </c>
      <c r="E11" s="186">
        <f>E9*D11</f>
        <v>0</v>
      </c>
      <c r="F11" s="187"/>
      <c r="G11" s="40"/>
      <c r="H11" s="187"/>
      <c r="I11" s="40"/>
      <c r="J11" s="187"/>
      <c r="K11" s="40"/>
      <c r="L11" s="174"/>
    </row>
    <row r="12" spans="1:13" ht="40.5" x14ac:dyDescent="0.25">
      <c r="A12" s="353"/>
      <c r="B12" s="85" t="s">
        <v>259</v>
      </c>
      <c r="C12" s="348" t="s">
        <v>14</v>
      </c>
      <c r="D12" s="348"/>
      <c r="E12" s="185">
        <v>1</v>
      </c>
      <c r="F12" s="374"/>
      <c r="G12" s="40"/>
      <c r="H12" s="374"/>
      <c r="I12" s="40"/>
      <c r="J12" s="40"/>
      <c r="K12" s="40"/>
      <c r="L12" s="174"/>
    </row>
    <row r="13" spans="1:13" ht="39.75" x14ac:dyDescent="0.25">
      <c r="A13" s="353"/>
      <c r="B13" s="82" t="s">
        <v>275</v>
      </c>
      <c r="C13" s="348" t="s">
        <v>14</v>
      </c>
      <c r="D13" s="348"/>
      <c r="E13" s="185">
        <v>1</v>
      </c>
      <c r="F13" s="374"/>
      <c r="G13" s="40"/>
      <c r="H13" s="374"/>
      <c r="I13" s="40"/>
      <c r="J13" s="40"/>
      <c r="K13" s="40"/>
      <c r="L13" s="174"/>
    </row>
    <row r="14" spans="1:13" ht="39.75" x14ac:dyDescent="0.25">
      <c r="A14" s="353"/>
      <c r="B14" s="82" t="s">
        <v>260</v>
      </c>
      <c r="C14" s="348" t="s">
        <v>14</v>
      </c>
      <c r="D14" s="348"/>
      <c r="E14" s="185">
        <v>1</v>
      </c>
      <c r="F14" s="374"/>
      <c r="G14" s="40"/>
      <c r="H14" s="374"/>
      <c r="I14" s="40"/>
      <c r="J14" s="40"/>
      <c r="K14" s="40"/>
      <c r="L14" s="174"/>
    </row>
    <row r="15" spans="1:13" ht="53.25" x14ac:dyDescent="0.25">
      <c r="A15" s="353"/>
      <c r="B15" s="82" t="s">
        <v>277</v>
      </c>
      <c r="C15" s="348" t="s">
        <v>14</v>
      </c>
      <c r="D15" s="348"/>
      <c r="E15" s="185">
        <v>1</v>
      </c>
      <c r="F15" s="374"/>
      <c r="G15" s="40"/>
      <c r="H15" s="374"/>
      <c r="I15" s="40"/>
      <c r="J15" s="40"/>
      <c r="K15" s="40"/>
      <c r="L15" s="174"/>
    </row>
    <row r="16" spans="1:13" ht="40.5" x14ac:dyDescent="0.25">
      <c r="A16" s="353"/>
      <c r="B16" s="85" t="s">
        <v>259</v>
      </c>
      <c r="C16" s="348" t="s">
        <v>14</v>
      </c>
      <c r="D16" s="348"/>
      <c r="E16" s="185">
        <v>1</v>
      </c>
      <c r="F16" s="374"/>
      <c r="G16" s="40"/>
      <c r="H16" s="374"/>
      <c r="I16" s="40"/>
      <c r="J16" s="40"/>
      <c r="K16" s="40"/>
      <c r="L16" s="174"/>
    </row>
    <row r="17" spans="1:12" ht="39.75" x14ac:dyDescent="0.25">
      <c r="A17" s="353"/>
      <c r="B17" s="82" t="s">
        <v>275</v>
      </c>
      <c r="C17" s="348" t="s">
        <v>14</v>
      </c>
      <c r="D17" s="348"/>
      <c r="E17" s="185">
        <v>1</v>
      </c>
      <c r="F17" s="374"/>
      <c r="G17" s="40"/>
      <c r="H17" s="374"/>
      <c r="I17" s="40"/>
      <c r="J17" s="40"/>
      <c r="K17" s="40"/>
      <c r="L17" s="174"/>
    </row>
    <row r="18" spans="1:12" ht="39.75" x14ac:dyDescent="0.25">
      <c r="A18" s="353"/>
      <c r="B18" s="82" t="s">
        <v>260</v>
      </c>
      <c r="C18" s="348" t="s">
        <v>14</v>
      </c>
      <c r="D18" s="348"/>
      <c r="E18" s="185">
        <v>1</v>
      </c>
      <c r="F18" s="374"/>
      <c r="G18" s="40"/>
      <c r="H18" s="374"/>
      <c r="I18" s="40"/>
      <c r="J18" s="40"/>
      <c r="K18" s="40"/>
      <c r="L18" s="174"/>
    </row>
    <row r="19" spans="1:12" ht="53.25" x14ac:dyDescent="0.25">
      <c r="A19" s="354"/>
      <c r="B19" s="82" t="s">
        <v>276</v>
      </c>
      <c r="C19" s="348" t="s">
        <v>14</v>
      </c>
      <c r="D19" s="348"/>
      <c r="E19" s="185">
        <v>1</v>
      </c>
      <c r="F19" s="374"/>
      <c r="G19" s="40"/>
      <c r="H19" s="374"/>
      <c r="I19" s="40"/>
      <c r="J19" s="40"/>
      <c r="K19" s="40"/>
      <c r="L19" s="174"/>
    </row>
    <row r="20" spans="1:12" x14ac:dyDescent="0.25">
      <c r="A20" s="117"/>
      <c r="B20" s="82"/>
      <c r="C20" s="348"/>
      <c r="D20" s="348"/>
      <c r="E20" s="185"/>
      <c r="F20" s="142"/>
      <c r="G20" s="40"/>
      <c r="H20" s="374"/>
      <c r="I20" s="40"/>
      <c r="J20" s="40"/>
      <c r="K20" s="40"/>
      <c r="L20" s="174"/>
    </row>
    <row r="21" spans="1:12" ht="27" x14ac:dyDescent="0.25">
      <c r="A21" s="138"/>
      <c r="B21" s="258" t="s">
        <v>149</v>
      </c>
      <c r="C21" s="140"/>
      <c r="D21" s="140"/>
      <c r="E21" s="143"/>
      <c r="F21" s="142"/>
      <c r="G21" s="40"/>
      <c r="H21" s="142"/>
      <c r="I21" s="40"/>
      <c r="J21" s="187"/>
      <c r="K21" s="40"/>
      <c r="L21" s="137"/>
    </row>
    <row r="22" spans="1:12" ht="27" x14ac:dyDescent="0.25">
      <c r="A22" s="465" t="s">
        <v>140</v>
      </c>
      <c r="B22" s="83" t="s">
        <v>111</v>
      </c>
      <c r="C22" s="155" t="s">
        <v>61</v>
      </c>
      <c r="D22" s="155"/>
      <c r="E22" s="66">
        <f>E24</f>
        <v>7</v>
      </c>
      <c r="F22" s="46"/>
      <c r="G22" s="40"/>
      <c r="H22" s="68"/>
      <c r="I22" s="40"/>
      <c r="J22" s="46"/>
      <c r="K22" s="40"/>
      <c r="L22" s="137"/>
    </row>
    <row r="23" spans="1:12" x14ac:dyDescent="0.25">
      <c r="A23" s="465"/>
      <c r="B23" s="77" t="s">
        <v>22</v>
      </c>
      <c r="C23" s="156" t="s">
        <v>24</v>
      </c>
      <c r="D23" s="156">
        <v>0.39200000000000002</v>
      </c>
      <c r="E23" s="59">
        <f>E22*D23</f>
        <v>2.7440000000000002</v>
      </c>
      <c r="F23" s="69"/>
      <c r="G23" s="40"/>
      <c r="H23" s="187"/>
      <c r="I23" s="40"/>
      <c r="J23" s="187"/>
      <c r="K23" s="40"/>
      <c r="L23" s="137"/>
    </row>
    <row r="24" spans="1:12" ht="40.5" x14ac:dyDescent="0.25">
      <c r="A24" s="465"/>
      <c r="B24" s="165" t="s">
        <v>261</v>
      </c>
      <c r="C24" s="156" t="s">
        <v>14</v>
      </c>
      <c r="D24" s="158"/>
      <c r="E24" s="356">
        <f>5+2</f>
        <v>7</v>
      </c>
      <c r="F24" s="69"/>
      <c r="G24" s="40"/>
      <c r="H24" s="187"/>
      <c r="I24" s="40"/>
      <c r="J24" s="187"/>
      <c r="K24" s="40"/>
      <c r="L24" s="174"/>
    </row>
    <row r="25" spans="1:12" ht="27" x14ac:dyDescent="0.25">
      <c r="A25" s="465"/>
      <c r="B25" s="165" t="s">
        <v>262</v>
      </c>
      <c r="C25" s="156" t="s">
        <v>14</v>
      </c>
      <c r="D25" s="158"/>
      <c r="E25" s="356">
        <v>7</v>
      </c>
      <c r="F25" s="69"/>
      <c r="G25" s="40"/>
      <c r="H25" s="187"/>
      <c r="I25" s="40"/>
      <c r="J25" s="187"/>
      <c r="K25" s="40"/>
      <c r="L25" s="174"/>
    </row>
    <row r="26" spans="1:12" x14ac:dyDescent="0.25">
      <c r="A26" s="465"/>
      <c r="B26" s="77" t="s">
        <v>32</v>
      </c>
      <c r="C26" s="157" t="s">
        <v>20</v>
      </c>
      <c r="D26" s="158">
        <f>9.4/100</f>
        <v>9.4E-2</v>
      </c>
      <c r="E26" s="41">
        <f>E22*D26</f>
        <v>0.65800000000000003</v>
      </c>
      <c r="F26" s="187"/>
      <c r="G26" s="40"/>
      <c r="H26" s="187"/>
      <c r="I26" s="40"/>
      <c r="J26" s="187"/>
      <c r="K26" s="40"/>
      <c r="L26" s="137"/>
    </row>
    <row r="27" spans="1:12" x14ac:dyDescent="0.25">
      <c r="A27" s="462" t="s">
        <v>57</v>
      </c>
      <c r="B27" s="83" t="s">
        <v>218</v>
      </c>
      <c r="C27" s="155" t="s">
        <v>61</v>
      </c>
      <c r="D27" s="155"/>
      <c r="E27" s="66">
        <f>E29+E30</f>
        <v>9</v>
      </c>
      <c r="F27" s="46"/>
      <c r="G27" s="40"/>
      <c r="H27" s="68"/>
      <c r="I27" s="40"/>
      <c r="J27" s="46"/>
      <c r="K27" s="40"/>
      <c r="L27" s="137"/>
    </row>
    <row r="28" spans="1:12" x14ac:dyDescent="0.25">
      <c r="A28" s="463"/>
      <c r="B28" s="77" t="s">
        <v>22</v>
      </c>
      <c r="C28" s="156" t="s">
        <v>24</v>
      </c>
      <c r="D28" s="156">
        <v>0.372</v>
      </c>
      <c r="E28" s="59">
        <f>E27*D28</f>
        <v>3.3479999999999999</v>
      </c>
      <c r="F28" s="69"/>
      <c r="G28" s="40"/>
      <c r="H28" s="187"/>
      <c r="I28" s="40"/>
      <c r="J28" s="187"/>
      <c r="K28" s="40"/>
      <c r="L28" s="137"/>
    </row>
    <row r="29" spans="1:12" ht="27" x14ac:dyDescent="0.25">
      <c r="A29" s="463"/>
      <c r="B29" s="77" t="s">
        <v>263</v>
      </c>
      <c r="C29" s="156"/>
      <c r="D29" s="156"/>
      <c r="E29" s="59">
        <f>2+2</f>
        <v>4</v>
      </c>
      <c r="F29" s="69"/>
      <c r="G29" s="40"/>
      <c r="H29" s="187"/>
      <c r="I29" s="40"/>
      <c r="J29" s="187"/>
      <c r="K29" s="40"/>
      <c r="L29" s="137"/>
    </row>
    <row r="30" spans="1:12" ht="27" x14ac:dyDescent="0.25">
      <c r="A30" s="463"/>
      <c r="B30" s="77" t="s">
        <v>264</v>
      </c>
      <c r="C30" s="156"/>
      <c r="D30" s="158"/>
      <c r="E30" s="356">
        <f>3+2</f>
        <v>5</v>
      </c>
      <c r="F30" s="69"/>
      <c r="G30" s="40"/>
      <c r="H30" s="187"/>
      <c r="I30" s="40"/>
      <c r="J30" s="187"/>
      <c r="K30" s="40"/>
      <c r="L30" s="174"/>
    </row>
    <row r="31" spans="1:12" ht="27" x14ac:dyDescent="0.25">
      <c r="A31" s="463"/>
      <c r="B31" s="165" t="s">
        <v>262</v>
      </c>
      <c r="C31" s="156" t="s">
        <v>14</v>
      </c>
      <c r="D31" s="158"/>
      <c r="E31" s="356">
        <v>9</v>
      </c>
      <c r="F31" s="69"/>
      <c r="G31" s="40"/>
      <c r="H31" s="187"/>
      <c r="I31" s="40"/>
      <c r="J31" s="187"/>
      <c r="K31" s="40"/>
      <c r="L31" s="174"/>
    </row>
    <row r="32" spans="1:12" x14ac:dyDescent="0.25">
      <c r="A32" s="464"/>
      <c r="B32" s="77" t="s">
        <v>32</v>
      </c>
      <c r="C32" s="157" t="s">
        <v>20</v>
      </c>
      <c r="D32" s="158">
        <f>12.84/100</f>
        <v>0.12839999999999999</v>
      </c>
      <c r="E32" s="41">
        <f>E27*D32</f>
        <v>1.1556</v>
      </c>
      <c r="F32" s="187"/>
      <c r="G32" s="40"/>
      <c r="H32" s="187"/>
      <c r="I32" s="40"/>
      <c r="J32" s="187"/>
      <c r="K32" s="40"/>
      <c r="L32" s="137"/>
    </row>
    <row r="33" spans="1:13" ht="27" x14ac:dyDescent="0.25">
      <c r="A33" s="462" t="s">
        <v>141</v>
      </c>
      <c r="B33" s="257" t="s">
        <v>145</v>
      </c>
      <c r="C33" s="154" t="s">
        <v>61</v>
      </c>
      <c r="D33" s="154"/>
      <c r="E33" s="70">
        <f>E36</f>
        <v>2</v>
      </c>
      <c r="F33" s="67"/>
      <c r="G33" s="40"/>
      <c r="H33" s="67"/>
      <c r="I33" s="40"/>
      <c r="J33" s="67"/>
      <c r="K33" s="40"/>
      <c r="L33" s="137"/>
    </row>
    <row r="34" spans="1:13" x14ac:dyDescent="0.25">
      <c r="A34" s="463"/>
      <c r="B34" s="105" t="s">
        <v>110</v>
      </c>
      <c r="C34" s="154" t="s">
        <v>24</v>
      </c>
      <c r="D34" s="154">
        <v>1.35</v>
      </c>
      <c r="E34" s="58">
        <f>E33*D34</f>
        <v>2.7</v>
      </c>
      <c r="F34" s="67"/>
      <c r="G34" s="40"/>
      <c r="H34" s="187"/>
      <c r="I34" s="40"/>
      <c r="J34" s="67"/>
      <c r="K34" s="40"/>
      <c r="L34" s="137"/>
    </row>
    <row r="35" spans="1:13" x14ac:dyDescent="0.25">
      <c r="A35" s="463"/>
      <c r="B35" s="105" t="s">
        <v>31</v>
      </c>
      <c r="C35" s="154" t="s">
        <v>20</v>
      </c>
      <c r="D35" s="154">
        <v>3.1E-2</v>
      </c>
      <c r="E35" s="58">
        <f>E33*D35</f>
        <v>6.2E-2</v>
      </c>
      <c r="F35" s="67"/>
      <c r="G35" s="40"/>
      <c r="H35" s="67"/>
      <c r="I35" s="40"/>
      <c r="J35" s="67"/>
      <c r="K35" s="40"/>
      <c r="L35" s="137"/>
    </row>
    <row r="36" spans="1:13" ht="27" x14ac:dyDescent="0.25">
      <c r="A36" s="463"/>
      <c r="B36" s="105" t="s">
        <v>299</v>
      </c>
      <c r="C36" s="159" t="s">
        <v>61</v>
      </c>
      <c r="D36" s="159">
        <v>1</v>
      </c>
      <c r="E36" s="60">
        <v>2</v>
      </c>
      <c r="F36" s="375"/>
      <c r="G36" s="40"/>
      <c r="H36" s="71"/>
      <c r="I36" s="40"/>
      <c r="J36" s="113"/>
      <c r="K36" s="40"/>
      <c r="L36" s="137"/>
    </row>
    <row r="37" spans="1:13" x14ac:dyDescent="0.25">
      <c r="A37" s="463"/>
      <c r="B37" s="77" t="s">
        <v>32</v>
      </c>
      <c r="C37" s="157" t="s">
        <v>20</v>
      </c>
      <c r="D37" s="154">
        <v>0.29099999999999998</v>
      </c>
      <c r="E37" s="58">
        <f>E33*D37</f>
        <v>0.58199999999999996</v>
      </c>
      <c r="F37" s="67"/>
      <c r="G37" s="40"/>
      <c r="H37" s="67"/>
      <c r="I37" s="40"/>
      <c r="J37" s="79"/>
      <c r="K37" s="40"/>
      <c r="L37" s="137"/>
    </row>
    <row r="38" spans="1:13" x14ac:dyDescent="0.25">
      <c r="A38" s="462" t="s">
        <v>34</v>
      </c>
      <c r="B38" s="104" t="s">
        <v>217</v>
      </c>
      <c r="C38" s="136" t="s">
        <v>21</v>
      </c>
      <c r="D38" s="136"/>
      <c r="E38" s="64">
        <f>E42+E43</f>
        <v>33</v>
      </c>
      <c r="F38" s="187"/>
      <c r="G38" s="40"/>
      <c r="H38" s="187"/>
      <c r="I38" s="40"/>
      <c r="J38" s="187"/>
      <c r="K38" s="40"/>
      <c r="L38" s="137"/>
    </row>
    <row r="39" spans="1:13" x14ac:dyDescent="0.25">
      <c r="A39" s="463"/>
      <c r="B39" s="81" t="s">
        <v>22</v>
      </c>
      <c r="C39" s="156" t="s">
        <v>24</v>
      </c>
      <c r="D39" s="158">
        <f>182/100</f>
        <v>1.82</v>
      </c>
      <c r="E39" s="41">
        <f>E38*D39</f>
        <v>60.06</v>
      </c>
      <c r="F39" s="187"/>
      <c r="G39" s="40"/>
      <c r="H39" s="187"/>
      <c r="I39" s="40"/>
      <c r="J39" s="187"/>
      <c r="K39" s="40"/>
      <c r="L39" s="137"/>
    </row>
    <row r="40" spans="1:13" ht="27" x14ac:dyDescent="0.25">
      <c r="A40" s="463"/>
      <c r="B40" s="81" t="s">
        <v>113</v>
      </c>
      <c r="C40" s="156" t="s">
        <v>109</v>
      </c>
      <c r="D40" s="158">
        <f>6.5*0.01</f>
        <v>6.5000000000000002E-2</v>
      </c>
      <c r="E40" s="41">
        <f>E38*D40</f>
        <v>2.145</v>
      </c>
      <c r="F40" s="187"/>
      <c r="G40" s="40"/>
      <c r="H40" s="187"/>
      <c r="I40" s="40"/>
      <c r="J40" s="187"/>
      <c r="K40" s="40"/>
      <c r="L40" s="137"/>
      <c r="M40" s="24"/>
    </row>
    <row r="41" spans="1:13" x14ac:dyDescent="0.25">
      <c r="A41" s="463"/>
      <c r="B41" s="81" t="s">
        <v>112</v>
      </c>
      <c r="C41" s="156" t="s">
        <v>109</v>
      </c>
      <c r="D41" s="158">
        <f>17.8*0.01</f>
        <v>0.17800000000000002</v>
      </c>
      <c r="E41" s="41">
        <f>E38*D41</f>
        <v>5.8740000000000006</v>
      </c>
      <c r="F41" s="187"/>
      <c r="G41" s="40"/>
      <c r="H41" s="187"/>
      <c r="I41" s="40"/>
      <c r="J41" s="187"/>
      <c r="K41" s="40"/>
      <c r="L41" s="137"/>
    </row>
    <row r="42" spans="1:13" ht="54" x14ac:dyDescent="0.25">
      <c r="A42" s="463"/>
      <c r="B42" s="357" t="s">
        <v>265</v>
      </c>
      <c r="C42" s="156" t="s">
        <v>14</v>
      </c>
      <c r="D42" s="158"/>
      <c r="E42" s="107">
        <f>14+18</f>
        <v>32</v>
      </c>
      <c r="F42" s="187"/>
      <c r="G42" s="40"/>
      <c r="H42" s="187"/>
      <c r="I42" s="40"/>
      <c r="J42" s="187"/>
      <c r="K42" s="40"/>
      <c r="L42" s="174"/>
    </row>
    <row r="43" spans="1:13" ht="54" x14ac:dyDescent="0.25">
      <c r="A43" s="463"/>
      <c r="B43" s="357" t="s">
        <v>266</v>
      </c>
      <c r="C43" s="156" t="s">
        <v>14</v>
      </c>
      <c r="D43" s="158"/>
      <c r="E43" s="358">
        <v>1</v>
      </c>
      <c r="F43" s="187"/>
      <c r="G43" s="40"/>
      <c r="H43" s="187"/>
      <c r="I43" s="40"/>
      <c r="J43" s="187"/>
      <c r="K43" s="40"/>
      <c r="L43" s="174"/>
    </row>
    <row r="44" spans="1:13" x14ac:dyDescent="0.25">
      <c r="A44" s="464"/>
      <c r="B44" s="33" t="s">
        <v>32</v>
      </c>
      <c r="C44" s="136" t="s">
        <v>20</v>
      </c>
      <c r="D44" s="135">
        <v>0.13200000000000001</v>
      </c>
      <c r="E44" s="41">
        <f>E38*D44</f>
        <v>4.3559999999999999</v>
      </c>
      <c r="F44" s="187"/>
      <c r="G44" s="40"/>
      <c r="H44" s="187"/>
      <c r="I44" s="40"/>
      <c r="J44" s="187"/>
      <c r="K44" s="40"/>
      <c r="L44" s="137"/>
    </row>
    <row r="45" spans="1:13" ht="27" x14ac:dyDescent="0.25">
      <c r="A45" s="462" t="s">
        <v>136</v>
      </c>
      <c r="B45" s="104" t="s">
        <v>157</v>
      </c>
      <c r="C45" s="171"/>
      <c r="D45" s="154"/>
      <c r="E45" s="58"/>
      <c r="F45" s="46"/>
      <c r="G45" s="40"/>
      <c r="H45" s="67"/>
      <c r="I45" s="40"/>
      <c r="J45" s="79"/>
      <c r="K45" s="40"/>
      <c r="L45" s="174"/>
    </row>
    <row r="46" spans="1:13" ht="27" x14ac:dyDescent="0.25">
      <c r="A46" s="463"/>
      <c r="B46" s="259" t="s">
        <v>219</v>
      </c>
      <c r="C46" s="179" t="s">
        <v>108</v>
      </c>
      <c r="D46" s="179"/>
      <c r="E46" s="64">
        <f>E48+E49+E50</f>
        <v>390</v>
      </c>
      <c r="F46" s="46"/>
      <c r="G46" s="40"/>
      <c r="H46" s="46"/>
      <c r="I46" s="40"/>
      <c r="J46" s="46"/>
      <c r="K46" s="40"/>
      <c r="L46" s="174"/>
    </row>
    <row r="47" spans="1:13" x14ac:dyDescent="0.25">
      <c r="A47" s="463"/>
      <c r="B47" s="52" t="s">
        <v>33</v>
      </c>
      <c r="C47" s="179" t="s">
        <v>107</v>
      </c>
      <c r="D47" s="179">
        <v>0.13900000000000001</v>
      </c>
      <c r="E47" s="186">
        <f>E46*D47</f>
        <v>54.210000000000008</v>
      </c>
      <c r="F47" s="187"/>
      <c r="G47" s="40"/>
      <c r="H47" s="187"/>
      <c r="I47" s="40"/>
      <c r="J47" s="187"/>
      <c r="K47" s="40"/>
      <c r="L47" s="174"/>
    </row>
    <row r="48" spans="1:13" ht="54" x14ac:dyDescent="0.25">
      <c r="A48" s="463"/>
      <c r="B48" s="359" t="s">
        <v>267</v>
      </c>
      <c r="C48" s="179" t="s">
        <v>78</v>
      </c>
      <c r="D48" s="179"/>
      <c r="E48" s="107">
        <f>50+20</f>
        <v>70</v>
      </c>
      <c r="F48" s="187"/>
      <c r="G48" s="40"/>
      <c r="H48" s="187"/>
      <c r="I48" s="40"/>
      <c r="J48" s="187"/>
      <c r="K48" s="40"/>
      <c r="L48" s="174"/>
    </row>
    <row r="49" spans="1:12" ht="54" x14ac:dyDescent="0.25">
      <c r="A49" s="463"/>
      <c r="B49" s="359" t="s">
        <v>268</v>
      </c>
      <c r="C49" s="179" t="s">
        <v>78</v>
      </c>
      <c r="D49" s="179"/>
      <c r="E49" s="107">
        <f>40+40</f>
        <v>80</v>
      </c>
      <c r="F49" s="187"/>
      <c r="G49" s="40"/>
      <c r="H49" s="187"/>
      <c r="I49" s="40"/>
      <c r="J49" s="187"/>
      <c r="K49" s="40"/>
      <c r="L49" s="174"/>
    </row>
    <row r="50" spans="1:12" ht="54" x14ac:dyDescent="0.25">
      <c r="A50" s="463"/>
      <c r="B50" s="359" t="s">
        <v>269</v>
      </c>
      <c r="C50" s="179" t="s">
        <v>78</v>
      </c>
      <c r="D50" s="179"/>
      <c r="E50" s="107">
        <f>120+120</f>
        <v>240</v>
      </c>
      <c r="F50" s="187"/>
      <c r="G50" s="40"/>
      <c r="H50" s="187"/>
      <c r="I50" s="40"/>
      <c r="J50" s="187"/>
      <c r="K50" s="40"/>
      <c r="L50" s="174"/>
    </row>
    <row r="51" spans="1:12" ht="27" x14ac:dyDescent="0.25">
      <c r="A51" s="463"/>
      <c r="B51" s="359" t="s">
        <v>270</v>
      </c>
      <c r="C51" s="179" t="s">
        <v>78</v>
      </c>
      <c r="D51" s="179"/>
      <c r="E51" s="107">
        <f>50+20</f>
        <v>70</v>
      </c>
      <c r="F51" s="187"/>
      <c r="G51" s="40"/>
      <c r="H51" s="187"/>
      <c r="I51" s="40"/>
      <c r="J51" s="187"/>
      <c r="K51" s="40"/>
      <c r="L51" s="174"/>
    </row>
    <row r="52" spans="1:12" ht="27" x14ac:dyDescent="0.25">
      <c r="A52" s="463"/>
      <c r="B52" s="78" t="s">
        <v>271</v>
      </c>
      <c r="C52" s="347" t="s">
        <v>78</v>
      </c>
      <c r="D52" s="179"/>
      <c r="E52" s="186">
        <f>70+70</f>
        <v>140</v>
      </c>
      <c r="F52" s="187"/>
      <c r="G52" s="40"/>
      <c r="H52" s="187"/>
      <c r="I52" s="40"/>
      <c r="J52" s="187"/>
      <c r="K52" s="40"/>
      <c r="L52" s="174"/>
    </row>
    <row r="53" spans="1:12" ht="27" x14ac:dyDescent="0.25">
      <c r="A53" s="463"/>
      <c r="B53" s="52" t="s">
        <v>272</v>
      </c>
      <c r="C53" s="16" t="s">
        <v>10</v>
      </c>
      <c r="D53" s="179"/>
      <c r="E53" s="186">
        <f>50+50</f>
        <v>100</v>
      </c>
      <c r="F53" s="187"/>
      <c r="G53" s="40"/>
      <c r="H53" s="187"/>
      <c r="I53" s="40"/>
      <c r="J53" s="187"/>
      <c r="K53" s="40"/>
      <c r="L53" s="174"/>
    </row>
    <row r="54" spans="1:12" x14ac:dyDescent="0.25">
      <c r="A54" s="464"/>
      <c r="B54" s="52" t="s">
        <v>77</v>
      </c>
      <c r="C54" s="179" t="s">
        <v>76</v>
      </c>
      <c r="D54" s="179">
        <v>9.7000000000000003E-2</v>
      </c>
      <c r="E54" s="186">
        <f>E46*D54</f>
        <v>37.83</v>
      </c>
      <c r="F54" s="187"/>
      <c r="G54" s="40"/>
      <c r="H54" s="187"/>
      <c r="I54" s="40"/>
      <c r="J54" s="187"/>
      <c r="K54" s="40"/>
      <c r="L54" s="174"/>
    </row>
    <row r="55" spans="1:12" x14ac:dyDescent="0.25">
      <c r="A55" s="181"/>
      <c r="B55" s="77"/>
      <c r="C55" s="171"/>
      <c r="D55" s="170"/>
      <c r="E55" s="41"/>
      <c r="F55" s="274"/>
      <c r="G55" s="40"/>
      <c r="H55" s="187"/>
      <c r="I55" s="40"/>
      <c r="J55" s="187"/>
      <c r="K55" s="40"/>
      <c r="L55" s="174"/>
    </row>
    <row r="56" spans="1:12" x14ac:dyDescent="0.25">
      <c r="A56" s="265"/>
      <c r="B56" s="77"/>
      <c r="C56" s="264"/>
      <c r="D56" s="170"/>
      <c r="E56" s="41"/>
      <c r="F56" s="274"/>
      <c r="G56" s="40"/>
      <c r="H56" s="187"/>
      <c r="I56" s="40"/>
      <c r="J56" s="187"/>
      <c r="K56" s="40"/>
      <c r="L56" s="174"/>
    </row>
    <row r="57" spans="1:12" x14ac:dyDescent="0.25">
      <c r="A57" s="466" t="s">
        <v>142</v>
      </c>
      <c r="B57" s="360" t="s">
        <v>273</v>
      </c>
      <c r="C57" s="361" t="s">
        <v>14</v>
      </c>
      <c r="D57" s="362"/>
      <c r="E57" s="64">
        <f>E60</f>
        <v>5</v>
      </c>
      <c r="F57" s="327"/>
      <c r="G57" s="40"/>
      <c r="H57" s="327"/>
      <c r="I57" s="40"/>
      <c r="J57" s="327"/>
      <c r="K57" s="40"/>
      <c r="L57" s="174"/>
    </row>
    <row r="58" spans="1:12" x14ac:dyDescent="0.25">
      <c r="A58" s="466"/>
      <c r="B58" s="364" t="s">
        <v>110</v>
      </c>
      <c r="C58" s="363" t="s">
        <v>24</v>
      </c>
      <c r="D58" s="365">
        <v>10.199999999999999</v>
      </c>
      <c r="E58" s="366">
        <f>E57*D58</f>
        <v>51</v>
      </c>
      <c r="F58" s="373"/>
      <c r="G58" s="40"/>
      <c r="H58" s="67"/>
      <c r="I58" s="40"/>
      <c r="J58" s="373"/>
      <c r="K58" s="40"/>
      <c r="L58" s="174"/>
    </row>
    <row r="59" spans="1:12" x14ac:dyDescent="0.25">
      <c r="A59" s="466"/>
      <c r="B59" s="368" t="s">
        <v>23</v>
      </c>
      <c r="C59" s="367" t="s">
        <v>20</v>
      </c>
      <c r="D59" s="369">
        <v>0.25</v>
      </c>
      <c r="E59" s="370">
        <f>E57*D59</f>
        <v>1.25</v>
      </c>
      <c r="F59" s="371"/>
      <c r="G59" s="40"/>
      <c r="H59" s="371"/>
      <c r="I59" s="40"/>
      <c r="J59" s="371"/>
      <c r="K59" s="40"/>
      <c r="L59" s="174"/>
    </row>
    <row r="60" spans="1:12" ht="27" x14ac:dyDescent="0.25">
      <c r="A60" s="466"/>
      <c r="B60" s="372" t="s">
        <v>274</v>
      </c>
      <c r="C60" s="367" t="s">
        <v>14</v>
      </c>
      <c r="D60" s="369"/>
      <c r="E60" s="41">
        <f>3+2</f>
        <v>5</v>
      </c>
      <c r="F60" s="327"/>
      <c r="G60" s="40"/>
      <c r="H60" s="371"/>
      <c r="I60" s="40"/>
      <c r="J60" s="327"/>
      <c r="K60" s="40"/>
      <c r="L60" s="174"/>
    </row>
    <row r="61" spans="1:12" x14ac:dyDescent="0.25">
      <c r="A61" s="467"/>
      <c r="B61" s="55" t="s">
        <v>77</v>
      </c>
      <c r="C61" s="101" t="s">
        <v>76</v>
      </c>
      <c r="D61" s="365">
        <v>1.1399999999999999</v>
      </c>
      <c r="E61" s="366">
        <f>E57*D61</f>
        <v>5.6999999999999993</v>
      </c>
      <c r="F61" s="373"/>
      <c r="G61" s="40"/>
      <c r="H61" s="373"/>
      <c r="I61" s="40"/>
      <c r="J61" s="373"/>
      <c r="K61" s="40"/>
      <c r="L61" s="174"/>
    </row>
    <row r="62" spans="1:12" x14ac:dyDescent="0.25">
      <c r="A62" s="350"/>
      <c r="B62" s="77"/>
      <c r="C62" s="349"/>
      <c r="D62" s="170"/>
      <c r="E62" s="41"/>
      <c r="F62" s="274"/>
      <c r="G62" s="40"/>
      <c r="H62" s="187"/>
      <c r="I62" s="40"/>
      <c r="J62" s="187"/>
      <c r="K62" s="40"/>
      <c r="L62" s="174"/>
    </row>
    <row r="63" spans="1:12" x14ac:dyDescent="0.25">
      <c r="A63" s="350"/>
      <c r="B63" s="77"/>
      <c r="C63" s="349"/>
      <c r="D63" s="170"/>
      <c r="E63" s="41"/>
      <c r="F63" s="72"/>
      <c r="G63" s="174"/>
      <c r="H63" s="187"/>
      <c r="I63" s="174"/>
      <c r="J63" s="65"/>
      <c r="K63" s="174"/>
      <c r="L63" s="174"/>
    </row>
    <row r="64" spans="1:12" x14ac:dyDescent="0.25">
      <c r="A64" s="406"/>
      <c r="B64" s="29" t="s">
        <v>153</v>
      </c>
      <c r="C64" s="29"/>
      <c r="D64" s="29"/>
      <c r="E64" s="73"/>
      <c r="F64" s="407"/>
      <c r="G64" s="407"/>
      <c r="H64" s="407"/>
      <c r="I64" s="407"/>
      <c r="J64" s="407"/>
      <c r="K64" s="407"/>
      <c r="L64" s="407"/>
    </row>
    <row r="65" spans="1:12" ht="27" x14ac:dyDescent="0.25">
      <c r="A65" s="180"/>
      <c r="B65" s="403" t="s">
        <v>300</v>
      </c>
      <c r="C65" s="293" t="s">
        <v>319</v>
      </c>
      <c r="D65" s="293"/>
      <c r="E65" s="408"/>
      <c r="F65" s="126"/>
      <c r="G65" s="126"/>
      <c r="H65" s="126"/>
      <c r="I65" s="126"/>
      <c r="J65" s="126"/>
      <c r="K65" s="126"/>
      <c r="L65" s="126"/>
    </row>
    <row r="66" spans="1:12" x14ac:dyDescent="0.25">
      <c r="A66" s="180"/>
      <c r="B66" s="404"/>
      <c r="C66" s="293"/>
      <c r="D66" s="293"/>
      <c r="E66" s="123"/>
      <c r="F66" s="126"/>
      <c r="G66" s="126"/>
      <c r="H66" s="126"/>
      <c r="I66" s="141" t="s">
        <v>9</v>
      </c>
      <c r="J66" s="126"/>
      <c r="K66" s="126"/>
      <c r="L66" s="126"/>
    </row>
    <row r="67" spans="1:12" ht="40.5" x14ac:dyDescent="0.25">
      <c r="A67" s="392"/>
      <c r="B67" s="403" t="s">
        <v>311</v>
      </c>
      <c r="C67" s="293" t="s">
        <v>319</v>
      </c>
      <c r="D67" s="293"/>
      <c r="E67" s="408"/>
      <c r="F67" s="141"/>
      <c r="G67" s="141"/>
      <c r="H67" s="141"/>
      <c r="I67" s="141"/>
      <c r="J67" s="141"/>
      <c r="K67" s="141"/>
      <c r="L67" s="141"/>
    </row>
    <row r="68" spans="1:12" x14ac:dyDescent="0.25">
      <c r="A68" s="392"/>
      <c r="B68" s="405"/>
      <c r="C68" s="293"/>
      <c r="D68" s="293"/>
      <c r="E68" s="123"/>
      <c r="F68" s="141"/>
      <c r="G68" s="141"/>
      <c r="H68" s="141"/>
      <c r="I68" s="141" t="s">
        <v>9</v>
      </c>
      <c r="J68" s="141"/>
      <c r="K68" s="141"/>
      <c r="L68" s="141"/>
    </row>
    <row r="69" spans="1:12" x14ac:dyDescent="0.25">
      <c r="A69" s="392"/>
      <c r="B69" s="405" t="s">
        <v>312</v>
      </c>
      <c r="C69" s="293" t="s">
        <v>319</v>
      </c>
      <c r="D69" s="293"/>
      <c r="E69" s="408"/>
      <c r="F69" s="141"/>
      <c r="G69" s="141"/>
      <c r="H69" s="141"/>
      <c r="I69" s="141"/>
      <c r="J69" s="141"/>
      <c r="K69" s="141"/>
      <c r="L69" s="141"/>
    </row>
    <row r="70" spans="1:12" ht="27" x14ac:dyDescent="0.25">
      <c r="A70" s="96"/>
      <c r="B70" s="23" t="s">
        <v>301</v>
      </c>
      <c r="C70" s="144"/>
      <c r="D70" s="97"/>
      <c r="E70" s="97"/>
      <c r="F70" s="385"/>
      <c r="G70" s="385"/>
      <c r="H70" s="385"/>
      <c r="I70" s="385" t="s">
        <v>9</v>
      </c>
      <c r="J70" s="385"/>
      <c r="K70" s="385"/>
      <c r="L70" s="98"/>
    </row>
    <row r="72" spans="1:12" x14ac:dyDescent="0.2">
      <c r="A72" s="106"/>
      <c r="B72" s="139"/>
      <c r="C72" s="134"/>
      <c r="D72" s="133"/>
      <c r="H72" s="75"/>
      <c r="I72" s="75"/>
    </row>
    <row r="73" spans="1:12" x14ac:dyDescent="0.2">
      <c r="B73" s="28"/>
      <c r="C73" s="28"/>
      <c r="D73" s="28"/>
    </row>
    <row r="74" spans="1:12" x14ac:dyDescent="0.25">
      <c r="B74" s="461"/>
      <c r="C74" s="461"/>
      <c r="D74" s="461"/>
    </row>
    <row r="75" spans="1:12" x14ac:dyDescent="0.25">
      <c r="B75" s="5"/>
      <c r="C75" s="5"/>
      <c r="D75" s="5"/>
    </row>
    <row r="77" spans="1:12" x14ac:dyDescent="0.25">
      <c r="B77" s="5"/>
    </row>
  </sheetData>
  <mergeCells count="19">
    <mergeCell ref="H5:I5"/>
    <mergeCell ref="J5:K5"/>
    <mergeCell ref="L5:L6"/>
    <mergeCell ref="K1:L1"/>
    <mergeCell ref="B74:D74"/>
    <mergeCell ref="A38:A44"/>
    <mergeCell ref="A33:A37"/>
    <mergeCell ref="A27:A32"/>
    <mergeCell ref="A22:A26"/>
    <mergeCell ref="A45:A54"/>
    <mergeCell ref="A57:A61"/>
    <mergeCell ref="A2:L2"/>
    <mergeCell ref="A3:L3"/>
    <mergeCell ref="A5:A6"/>
    <mergeCell ref="B5:B6"/>
    <mergeCell ref="C5:C6"/>
    <mergeCell ref="D5:D6"/>
    <mergeCell ref="E5:E6"/>
    <mergeCell ref="F5:G5"/>
  </mergeCells>
  <pageMargins left="0.55118110236220474" right="0.19685039370078741" top="0.39" bottom="0.41" header="0.23622047244094491" footer="0.24"/>
  <pageSetup paperSize="9" orientation="landscape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241"/>
  <sheetViews>
    <sheetView zoomScaleNormal="100" workbookViewId="0">
      <selection activeCell="I239" sqref="I239"/>
    </sheetView>
  </sheetViews>
  <sheetFormatPr defaultColWidth="8.85546875" defaultRowHeight="15" x14ac:dyDescent="0.25"/>
  <cols>
    <col min="1" max="1" width="5.140625" style="6" customWidth="1"/>
    <col min="2" max="2" width="33.7109375" style="15" customWidth="1"/>
    <col min="3" max="3" width="6.140625" style="6" customWidth="1"/>
    <col min="4" max="4" width="8.42578125" style="44" customWidth="1"/>
    <col min="5" max="5" width="9.85546875" style="250" customWidth="1"/>
    <col min="6" max="6" width="9.5703125" style="17" customWidth="1"/>
    <col min="7" max="7" width="10.7109375" style="17" customWidth="1"/>
    <col min="8" max="8" width="7.28515625" style="17" customWidth="1"/>
    <col min="9" max="9" width="10.5703125" style="17" customWidth="1"/>
    <col min="10" max="10" width="7" style="17" customWidth="1"/>
    <col min="11" max="11" width="10.28515625" style="17" customWidth="1"/>
    <col min="12" max="12" width="12" style="17" customWidth="1"/>
    <col min="13" max="13" width="36.140625" style="1" customWidth="1"/>
    <col min="14" max="14" width="26.85546875" style="1" customWidth="1"/>
    <col min="15" max="16384" width="8.85546875" style="1"/>
  </cols>
  <sheetData>
    <row r="1" spans="1:13" x14ac:dyDescent="0.25">
      <c r="K1" s="476" t="s">
        <v>320</v>
      </c>
      <c r="L1" s="476"/>
    </row>
    <row r="2" spans="1:13" ht="54" customHeight="1" x14ac:dyDescent="0.25">
      <c r="A2" s="442" t="s">
        <v>305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87"/>
    </row>
    <row r="3" spans="1:13" ht="31.15" customHeight="1" x14ac:dyDescent="0.25">
      <c r="A3" s="442" t="s">
        <v>168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5" spans="1:13" ht="33.75" customHeight="1" x14ac:dyDescent="0.25">
      <c r="A5" s="443" t="s">
        <v>0</v>
      </c>
      <c r="B5" s="435" t="s">
        <v>1</v>
      </c>
      <c r="C5" s="443" t="s">
        <v>2</v>
      </c>
      <c r="D5" s="446" t="s">
        <v>3</v>
      </c>
      <c r="E5" s="491" t="s">
        <v>4</v>
      </c>
      <c r="F5" s="436" t="s">
        <v>5</v>
      </c>
      <c r="G5" s="436"/>
      <c r="H5" s="436" t="s">
        <v>6</v>
      </c>
      <c r="I5" s="436"/>
      <c r="J5" s="436" t="s">
        <v>26</v>
      </c>
      <c r="K5" s="436"/>
      <c r="L5" s="436" t="s">
        <v>7</v>
      </c>
    </row>
    <row r="6" spans="1:13" ht="44.25" customHeight="1" x14ac:dyDescent="0.25">
      <c r="A6" s="443"/>
      <c r="B6" s="435"/>
      <c r="C6" s="443"/>
      <c r="D6" s="446"/>
      <c r="E6" s="491"/>
      <c r="F6" s="426" t="s">
        <v>8</v>
      </c>
      <c r="G6" s="426" t="s">
        <v>9</v>
      </c>
      <c r="H6" s="426" t="s">
        <v>8</v>
      </c>
      <c r="I6" s="426" t="s">
        <v>9</v>
      </c>
      <c r="J6" s="426" t="s">
        <v>8</v>
      </c>
      <c r="K6" s="426" t="s">
        <v>9</v>
      </c>
      <c r="L6" s="436"/>
    </row>
    <row r="7" spans="1:13" ht="15.75" x14ac:dyDescent="0.25">
      <c r="A7" s="427">
        <v>1</v>
      </c>
      <c r="B7" s="428" t="s">
        <v>140</v>
      </c>
      <c r="C7" s="427" t="s">
        <v>57</v>
      </c>
      <c r="D7" s="424">
        <v>4</v>
      </c>
      <c r="E7" s="432">
        <v>5</v>
      </c>
      <c r="F7" s="424">
        <v>6</v>
      </c>
      <c r="G7" s="432">
        <v>7</v>
      </c>
      <c r="H7" s="424">
        <v>8</v>
      </c>
      <c r="I7" s="432">
        <v>9</v>
      </c>
      <c r="J7" s="424">
        <v>10</v>
      </c>
      <c r="K7" s="432">
        <v>11</v>
      </c>
      <c r="L7" s="424">
        <v>12</v>
      </c>
    </row>
    <row r="8" spans="1:13" ht="63" x14ac:dyDescent="0.25">
      <c r="A8" s="8"/>
      <c r="B8" s="229" t="s">
        <v>148</v>
      </c>
      <c r="C8" s="8"/>
      <c r="D8" s="48"/>
      <c r="E8" s="235"/>
      <c r="F8" s="118"/>
      <c r="G8" s="118"/>
      <c r="H8" s="118"/>
      <c r="I8" s="118"/>
      <c r="J8" s="118"/>
      <c r="K8" s="118"/>
      <c r="L8" s="118"/>
    </row>
    <row r="9" spans="1:13" ht="31.5" x14ac:dyDescent="0.25">
      <c r="A9" s="23" t="s">
        <v>50</v>
      </c>
      <c r="B9" s="22" t="s">
        <v>55</v>
      </c>
      <c r="C9" s="21"/>
      <c r="D9" s="421"/>
      <c r="E9" s="249"/>
      <c r="F9" s="118"/>
      <c r="G9" s="118"/>
      <c r="H9" s="118"/>
      <c r="I9" s="118"/>
      <c r="J9" s="118"/>
      <c r="K9" s="118"/>
      <c r="L9" s="118"/>
    </row>
    <row r="10" spans="1:13" ht="15.75" x14ac:dyDescent="0.25">
      <c r="A10" s="487" t="s">
        <v>139</v>
      </c>
      <c r="B10" s="207" t="s">
        <v>183</v>
      </c>
      <c r="C10" s="179" t="s">
        <v>61</v>
      </c>
      <c r="D10" s="186"/>
      <c r="E10" s="236">
        <f>E13</f>
        <v>8</v>
      </c>
      <c r="F10" s="237"/>
      <c r="G10" s="118"/>
      <c r="H10" s="238"/>
      <c r="I10" s="118"/>
      <c r="J10" s="238"/>
      <c r="K10" s="118"/>
      <c r="L10" s="118"/>
    </row>
    <row r="11" spans="1:13" ht="27" x14ac:dyDescent="0.25">
      <c r="A11" s="488"/>
      <c r="B11" s="231" t="s">
        <v>22</v>
      </c>
      <c r="C11" s="179" t="s">
        <v>24</v>
      </c>
      <c r="D11" s="186">
        <v>3.66</v>
      </c>
      <c r="E11" s="123">
        <f>E10*D11</f>
        <v>29.28</v>
      </c>
      <c r="F11" s="238"/>
      <c r="G11" s="118"/>
      <c r="H11" s="238"/>
      <c r="I11" s="118"/>
      <c r="J11" s="238"/>
      <c r="K11" s="118"/>
      <c r="L11" s="118"/>
    </row>
    <row r="12" spans="1:13" ht="15.75" x14ac:dyDescent="0.25">
      <c r="A12" s="488"/>
      <c r="B12" s="231" t="s">
        <v>83</v>
      </c>
      <c r="C12" s="179" t="s">
        <v>20</v>
      </c>
      <c r="D12" s="186">
        <v>0.28000000000000003</v>
      </c>
      <c r="E12" s="123">
        <f>E10*D12</f>
        <v>2.2400000000000002</v>
      </c>
      <c r="F12" s="238"/>
      <c r="G12" s="118"/>
      <c r="H12" s="238"/>
      <c r="I12" s="118"/>
      <c r="J12" s="238"/>
      <c r="K12" s="118"/>
      <c r="L12" s="118"/>
    </row>
    <row r="13" spans="1:13" ht="15.75" x14ac:dyDescent="0.25">
      <c r="A13" s="488"/>
      <c r="B13" s="231" t="s">
        <v>182</v>
      </c>
      <c r="C13" s="179" t="s">
        <v>61</v>
      </c>
      <c r="D13" s="186">
        <v>1</v>
      </c>
      <c r="E13" s="123">
        <v>8</v>
      </c>
      <c r="F13" s="238"/>
      <c r="G13" s="118"/>
      <c r="H13" s="238"/>
      <c r="I13" s="118"/>
      <c r="J13" s="238"/>
      <c r="K13" s="118"/>
      <c r="L13" s="118"/>
    </row>
    <row r="14" spans="1:13" ht="15.75" x14ac:dyDescent="0.25">
      <c r="A14" s="489"/>
      <c r="B14" s="231" t="s">
        <v>27</v>
      </c>
      <c r="C14" s="179" t="s">
        <v>20</v>
      </c>
      <c r="D14" s="186">
        <v>1.24</v>
      </c>
      <c r="E14" s="123">
        <f>E10*D14</f>
        <v>9.92</v>
      </c>
      <c r="F14" s="238"/>
      <c r="G14" s="118"/>
      <c r="H14" s="238"/>
      <c r="I14" s="118"/>
      <c r="J14" s="238"/>
      <c r="K14" s="118"/>
      <c r="L14" s="118"/>
    </row>
    <row r="15" spans="1:13" ht="15.75" x14ac:dyDescent="0.25">
      <c r="A15" s="487">
        <v>2</v>
      </c>
      <c r="B15" s="253" t="s">
        <v>95</v>
      </c>
      <c r="C15" s="7" t="s">
        <v>20</v>
      </c>
      <c r="D15" s="112"/>
      <c r="E15" s="236">
        <f>E18</f>
        <v>4</v>
      </c>
      <c r="F15" s="237"/>
      <c r="G15" s="118"/>
      <c r="H15" s="237"/>
      <c r="I15" s="118"/>
      <c r="J15" s="237"/>
      <c r="K15" s="118"/>
      <c r="L15" s="118"/>
    </row>
    <row r="16" spans="1:13" ht="27" x14ac:dyDescent="0.25">
      <c r="A16" s="488"/>
      <c r="B16" s="231" t="s">
        <v>22</v>
      </c>
      <c r="C16" s="179" t="s">
        <v>24</v>
      </c>
      <c r="D16" s="186">
        <v>2.19</v>
      </c>
      <c r="E16" s="123">
        <f>E15*D16</f>
        <v>8.76</v>
      </c>
      <c r="F16" s="238"/>
      <c r="G16" s="118"/>
      <c r="H16" s="238"/>
      <c r="I16" s="118"/>
      <c r="J16" s="238"/>
      <c r="K16" s="118"/>
      <c r="L16" s="118"/>
    </row>
    <row r="17" spans="1:14" ht="15.75" x14ac:dyDescent="0.25">
      <c r="A17" s="488"/>
      <c r="B17" s="231" t="s">
        <v>83</v>
      </c>
      <c r="C17" s="179" t="s">
        <v>20</v>
      </c>
      <c r="D17" s="186">
        <v>7.0000000000000007E-2</v>
      </c>
      <c r="E17" s="123">
        <f>E15*D17</f>
        <v>0.28000000000000003</v>
      </c>
      <c r="F17" s="238"/>
      <c r="G17" s="118"/>
      <c r="H17" s="238"/>
      <c r="I17" s="118"/>
      <c r="J17" s="238"/>
      <c r="K17" s="118"/>
      <c r="L17" s="118"/>
    </row>
    <row r="18" spans="1:14" ht="47.25" x14ac:dyDescent="0.25">
      <c r="A18" s="488"/>
      <c r="B18" s="231" t="s">
        <v>151</v>
      </c>
      <c r="C18" s="179" t="s">
        <v>94</v>
      </c>
      <c r="D18" s="186">
        <v>1</v>
      </c>
      <c r="E18" s="123">
        <v>4</v>
      </c>
      <c r="F18" s="238"/>
      <c r="G18" s="118"/>
      <c r="H18" s="238"/>
      <c r="I18" s="118"/>
      <c r="J18" s="238"/>
      <c r="K18" s="118"/>
      <c r="L18" s="118"/>
    </row>
    <row r="19" spans="1:14" ht="15.75" x14ac:dyDescent="0.25">
      <c r="A19" s="489"/>
      <c r="B19" s="231" t="s">
        <v>27</v>
      </c>
      <c r="C19" s="179" t="s">
        <v>20</v>
      </c>
      <c r="D19" s="186">
        <v>0.37</v>
      </c>
      <c r="E19" s="123">
        <f>E15*D19</f>
        <v>1.48</v>
      </c>
      <c r="F19" s="238"/>
      <c r="G19" s="118"/>
      <c r="H19" s="238"/>
      <c r="I19" s="118"/>
      <c r="J19" s="238"/>
      <c r="K19" s="118"/>
      <c r="L19" s="118"/>
    </row>
    <row r="20" spans="1:14" ht="40.5" x14ac:dyDescent="0.25">
      <c r="A20" s="438" t="s">
        <v>57</v>
      </c>
      <c r="B20" s="117" t="s">
        <v>203</v>
      </c>
      <c r="C20" s="278" t="s">
        <v>52</v>
      </c>
      <c r="D20" s="76"/>
      <c r="E20" s="64">
        <f>E22</f>
        <v>2</v>
      </c>
      <c r="F20" s="40"/>
      <c r="G20" s="40"/>
      <c r="H20" s="40"/>
      <c r="I20" s="40"/>
      <c r="J20" s="40"/>
      <c r="K20" s="40"/>
      <c r="L20" s="40"/>
    </row>
    <row r="21" spans="1:14" ht="27" x14ac:dyDescent="0.25">
      <c r="A21" s="439"/>
      <c r="B21" s="55" t="s">
        <v>22</v>
      </c>
      <c r="C21" s="280" t="s">
        <v>24</v>
      </c>
      <c r="D21" s="186">
        <v>1</v>
      </c>
      <c r="E21" s="186">
        <f>E20*D21</f>
        <v>2</v>
      </c>
      <c r="F21" s="291"/>
      <c r="G21" s="40"/>
      <c r="H21" s="291"/>
      <c r="I21" s="40"/>
      <c r="J21" s="291"/>
      <c r="K21" s="40"/>
      <c r="L21" s="40"/>
    </row>
    <row r="22" spans="1:14" ht="27" x14ac:dyDescent="0.25">
      <c r="A22" s="440"/>
      <c r="B22" s="55" t="s">
        <v>202</v>
      </c>
      <c r="C22" s="280" t="s">
        <v>52</v>
      </c>
      <c r="D22" s="186"/>
      <c r="E22" s="186">
        <v>2</v>
      </c>
      <c r="F22" s="291"/>
      <c r="G22" s="40"/>
      <c r="H22" s="291"/>
      <c r="I22" s="40"/>
      <c r="J22" s="291"/>
      <c r="K22" s="40"/>
      <c r="L22" s="40"/>
    </row>
    <row r="23" spans="1:14" ht="27" x14ac:dyDescent="0.25">
      <c r="A23" s="487" t="s">
        <v>141</v>
      </c>
      <c r="B23" s="345" t="s">
        <v>251</v>
      </c>
      <c r="C23" s="7" t="s">
        <v>61</v>
      </c>
      <c r="D23" s="112"/>
      <c r="E23" s="319">
        <f>E26</f>
        <v>2</v>
      </c>
      <c r="F23" s="344"/>
      <c r="G23" s="40"/>
      <c r="H23" s="344"/>
      <c r="I23" s="40"/>
      <c r="J23" s="344"/>
      <c r="K23" s="40"/>
      <c r="L23" s="40"/>
    </row>
    <row r="24" spans="1:14" ht="27" x14ac:dyDescent="0.25">
      <c r="A24" s="488"/>
      <c r="B24" s="55" t="s">
        <v>22</v>
      </c>
      <c r="C24" s="342" t="s">
        <v>24</v>
      </c>
      <c r="D24" s="186">
        <v>2.71</v>
      </c>
      <c r="E24" s="186">
        <f>E23*D24</f>
        <v>5.42</v>
      </c>
      <c r="F24" s="291"/>
      <c r="G24" s="40"/>
      <c r="H24" s="291"/>
      <c r="I24" s="40"/>
      <c r="J24" s="291"/>
      <c r="K24" s="40"/>
      <c r="L24" s="40"/>
    </row>
    <row r="25" spans="1:14" x14ac:dyDescent="0.25">
      <c r="A25" s="488"/>
      <c r="B25" s="55" t="s">
        <v>83</v>
      </c>
      <c r="C25" s="342" t="s">
        <v>93</v>
      </c>
      <c r="D25" s="186">
        <v>0.2</v>
      </c>
      <c r="E25" s="186">
        <f>E23*D25</f>
        <v>0.4</v>
      </c>
      <c r="F25" s="291"/>
      <c r="G25" s="40"/>
      <c r="H25" s="291"/>
      <c r="I25" s="40"/>
      <c r="J25" s="291"/>
      <c r="K25" s="40"/>
      <c r="L25" s="40"/>
    </row>
    <row r="26" spans="1:14" ht="40.5" x14ac:dyDescent="0.25">
      <c r="A26" s="488"/>
      <c r="B26" s="55" t="s">
        <v>252</v>
      </c>
      <c r="C26" s="342" t="s">
        <v>94</v>
      </c>
      <c r="D26" s="186">
        <v>1</v>
      </c>
      <c r="E26" s="186">
        <v>2</v>
      </c>
      <c r="F26" s="291"/>
      <c r="G26" s="40"/>
      <c r="H26" s="291"/>
      <c r="I26" s="40"/>
      <c r="J26" s="291"/>
      <c r="K26" s="40"/>
      <c r="L26" s="40"/>
    </row>
    <row r="27" spans="1:14" x14ac:dyDescent="0.25">
      <c r="A27" s="489"/>
      <c r="B27" s="55" t="s">
        <v>27</v>
      </c>
      <c r="C27" s="342" t="s">
        <v>93</v>
      </c>
      <c r="D27" s="186">
        <v>0.65</v>
      </c>
      <c r="E27" s="186">
        <f>E23*D27</f>
        <v>1.3</v>
      </c>
      <c r="F27" s="291"/>
      <c r="G27" s="40"/>
      <c r="H27" s="291"/>
      <c r="I27" s="40"/>
      <c r="J27" s="291"/>
      <c r="K27" s="40"/>
      <c r="L27" s="40"/>
    </row>
    <row r="28" spans="1:14" ht="15.75" x14ac:dyDescent="0.25">
      <c r="A28" s="487" t="s">
        <v>34</v>
      </c>
      <c r="B28" s="253" t="s">
        <v>96</v>
      </c>
      <c r="C28" s="7" t="s">
        <v>61</v>
      </c>
      <c r="D28" s="112"/>
      <c r="E28" s="236">
        <f>E31+E32</f>
        <v>8</v>
      </c>
      <c r="F28" s="237"/>
      <c r="G28" s="118"/>
      <c r="H28" s="237"/>
      <c r="I28" s="118"/>
      <c r="J28" s="237"/>
      <c r="K28" s="118"/>
      <c r="L28" s="118"/>
      <c r="M28" s="38"/>
      <c r="N28" s="38"/>
    </row>
    <row r="29" spans="1:14" ht="27" x14ac:dyDescent="0.25">
      <c r="A29" s="488"/>
      <c r="B29" s="231" t="s">
        <v>22</v>
      </c>
      <c r="C29" s="179" t="s">
        <v>24</v>
      </c>
      <c r="D29" s="186">
        <v>0.82</v>
      </c>
      <c r="E29" s="123">
        <f>E28*D29</f>
        <v>6.56</v>
      </c>
      <c r="F29" s="238"/>
      <c r="G29" s="118"/>
      <c r="H29" s="238"/>
      <c r="I29" s="118"/>
      <c r="J29" s="238"/>
      <c r="K29" s="118"/>
      <c r="L29" s="118"/>
      <c r="M29" s="38"/>
      <c r="N29" s="38"/>
    </row>
    <row r="30" spans="1:14" ht="15.75" x14ac:dyDescent="0.25">
      <c r="A30" s="488"/>
      <c r="B30" s="231" t="s">
        <v>83</v>
      </c>
      <c r="C30" s="179" t="s">
        <v>93</v>
      </c>
      <c r="D30" s="186">
        <v>0.01</v>
      </c>
      <c r="E30" s="123">
        <f>E28*D30</f>
        <v>0.08</v>
      </c>
      <c r="F30" s="238"/>
      <c r="G30" s="118"/>
      <c r="H30" s="238"/>
      <c r="I30" s="118"/>
      <c r="J30" s="238"/>
      <c r="K30" s="118"/>
      <c r="L30" s="118"/>
      <c r="M30" s="38"/>
      <c r="N30" s="38"/>
    </row>
    <row r="31" spans="1:14" ht="15.75" x14ac:dyDescent="0.25">
      <c r="A31" s="488"/>
      <c r="B31" s="231" t="s">
        <v>126</v>
      </c>
      <c r="C31" s="179" t="s">
        <v>94</v>
      </c>
      <c r="D31" s="186">
        <v>1</v>
      </c>
      <c r="E31" s="123">
        <v>6</v>
      </c>
      <c r="F31" s="238"/>
      <c r="G31" s="118"/>
      <c r="H31" s="238"/>
      <c r="I31" s="118"/>
      <c r="J31" s="238"/>
      <c r="K31" s="118"/>
      <c r="L31" s="118"/>
      <c r="M31" s="38"/>
      <c r="N31" s="38"/>
    </row>
    <row r="32" spans="1:14" ht="15.75" x14ac:dyDescent="0.25">
      <c r="A32" s="488"/>
      <c r="B32" s="231" t="s">
        <v>256</v>
      </c>
      <c r="C32" s="343" t="s">
        <v>94</v>
      </c>
      <c r="D32" s="186">
        <v>1</v>
      </c>
      <c r="E32" s="123">
        <v>2</v>
      </c>
      <c r="F32" s="238"/>
      <c r="G32" s="118"/>
      <c r="H32" s="238"/>
      <c r="I32" s="118"/>
      <c r="J32" s="238"/>
      <c r="K32" s="118"/>
      <c r="L32" s="118"/>
      <c r="M32" s="38"/>
      <c r="N32" s="38"/>
    </row>
    <row r="33" spans="1:14" ht="15.75" x14ac:dyDescent="0.25">
      <c r="A33" s="489"/>
      <c r="B33" s="231" t="s">
        <v>27</v>
      </c>
      <c r="C33" s="179" t="s">
        <v>93</v>
      </c>
      <c r="D33" s="186">
        <v>7.0000000000000007E-2</v>
      </c>
      <c r="E33" s="123">
        <f>E28*D33</f>
        <v>0.56000000000000005</v>
      </c>
      <c r="F33" s="238"/>
      <c r="G33" s="118"/>
      <c r="H33" s="238"/>
      <c r="I33" s="118"/>
      <c r="J33" s="238"/>
      <c r="K33" s="118"/>
      <c r="L33" s="118"/>
      <c r="M33" s="38"/>
      <c r="N33" s="38"/>
    </row>
    <row r="34" spans="1:14" ht="47.25" x14ac:dyDescent="0.25">
      <c r="A34" s="438" t="s">
        <v>136</v>
      </c>
      <c r="B34" s="207" t="s">
        <v>53</v>
      </c>
      <c r="C34" s="178" t="s">
        <v>52</v>
      </c>
      <c r="D34" s="76"/>
      <c r="E34" s="122">
        <f>E35</f>
        <v>6</v>
      </c>
      <c r="F34" s="118"/>
      <c r="G34" s="118"/>
      <c r="H34" s="118"/>
      <c r="I34" s="118"/>
      <c r="J34" s="118"/>
      <c r="K34" s="118"/>
      <c r="L34" s="118"/>
      <c r="M34" s="34"/>
      <c r="N34" s="38"/>
    </row>
    <row r="35" spans="1:14" ht="27" x14ac:dyDescent="0.25">
      <c r="A35" s="440"/>
      <c r="B35" s="231" t="s">
        <v>22</v>
      </c>
      <c r="C35" s="179" t="s">
        <v>24</v>
      </c>
      <c r="D35" s="186">
        <v>1</v>
      </c>
      <c r="E35" s="123">
        <v>6</v>
      </c>
      <c r="F35" s="238"/>
      <c r="G35" s="118"/>
      <c r="H35" s="238"/>
      <c r="I35" s="118"/>
      <c r="J35" s="238"/>
      <c r="K35" s="118"/>
      <c r="L35" s="118"/>
      <c r="M35" s="38"/>
      <c r="N35" s="38"/>
    </row>
    <row r="36" spans="1:14" ht="15.75" x14ac:dyDescent="0.25">
      <c r="A36" s="30"/>
      <c r="B36" s="194"/>
      <c r="C36" s="178"/>
      <c r="D36" s="76"/>
      <c r="E36" s="123"/>
      <c r="F36" s="118"/>
      <c r="G36" s="118"/>
      <c r="H36" s="118"/>
      <c r="I36" s="118"/>
      <c r="J36" s="118"/>
      <c r="K36" s="118"/>
      <c r="L36" s="118"/>
      <c r="M36" s="38"/>
      <c r="N36" s="38"/>
    </row>
    <row r="37" spans="1:14" ht="31.5" x14ac:dyDescent="0.25">
      <c r="A37" s="23" t="s">
        <v>130</v>
      </c>
      <c r="B37" s="22" t="s">
        <v>213</v>
      </c>
      <c r="C37" s="21"/>
      <c r="D37" s="421"/>
      <c r="E37" s="249"/>
      <c r="F37" s="118"/>
      <c r="G37" s="118"/>
      <c r="H37" s="118"/>
      <c r="I37" s="118"/>
      <c r="J37" s="118"/>
      <c r="K37" s="118"/>
      <c r="L37" s="118"/>
    </row>
    <row r="38" spans="1:14" ht="47.25" x14ac:dyDescent="0.25">
      <c r="A38" s="457" t="s">
        <v>139</v>
      </c>
      <c r="B38" s="204" t="s">
        <v>176</v>
      </c>
      <c r="C38" s="180" t="s">
        <v>10</v>
      </c>
      <c r="D38" s="57"/>
      <c r="E38" s="122">
        <v>60</v>
      </c>
      <c r="F38" s="126"/>
      <c r="G38" s="118"/>
      <c r="H38" s="126"/>
      <c r="I38" s="118"/>
      <c r="J38" s="126"/>
      <c r="K38" s="118"/>
      <c r="L38" s="118"/>
    </row>
    <row r="39" spans="1:14" ht="27" x14ac:dyDescent="0.25">
      <c r="A39" s="458"/>
      <c r="B39" s="215" t="s">
        <v>74</v>
      </c>
      <c r="C39" s="179" t="s">
        <v>75</v>
      </c>
      <c r="D39" s="186">
        <f>143*0.01</f>
        <v>1.43</v>
      </c>
      <c r="E39" s="123">
        <f>E38*D39</f>
        <v>85.8</v>
      </c>
      <c r="F39" s="141"/>
      <c r="G39" s="118"/>
      <c r="H39" s="141"/>
      <c r="I39" s="118"/>
      <c r="J39" s="141"/>
      <c r="K39" s="118"/>
      <c r="L39" s="118"/>
    </row>
    <row r="40" spans="1:14" ht="15.75" x14ac:dyDescent="0.25">
      <c r="A40" s="458"/>
      <c r="B40" s="215" t="s">
        <v>80</v>
      </c>
      <c r="C40" s="179" t="s">
        <v>76</v>
      </c>
      <c r="D40" s="186">
        <f>2.57*0.01</f>
        <v>2.5700000000000001E-2</v>
      </c>
      <c r="E40" s="123">
        <f>E38*D40</f>
        <v>1.542</v>
      </c>
      <c r="F40" s="141"/>
      <c r="G40" s="118"/>
      <c r="H40" s="141"/>
      <c r="I40" s="118"/>
      <c r="J40" s="141"/>
      <c r="K40" s="118"/>
      <c r="L40" s="118"/>
    </row>
    <row r="41" spans="1:14" ht="31.5" x14ac:dyDescent="0.25">
      <c r="A41" s="458"/>
      <c r="B41" s="215" t="s">
        <v>177</v>
      </c>
      <c r="C41" s="179" t="s">
        <v>39</v>
      </c>
      <c r="D41" s="186">
        <v>1</v>
      </c>
      <c r="E41" s="123">
        <f>E38*D41</f>
        <v>60</v>
      </c>
      <c r="F41" s="141"/>
      <c r="G41" s="118"/>
      <c r="H41" s="141"/>
      <c r="I41" s="118"/>
      <c r="J41" s="141"/>
      <c r="K41" s="118"/>
      <c r="L41" s="118"/>
    </row>
    <row r="42" spans="1:14" ht="31.5" x14ac:dyDescent="0.25">
      <c r="A42" s="458"/>
      <c r="B42" s="215" t="s">
        <v>88</v>
      </c>
      <c r="C42" s="179" t="s">
        <v>21</v>
      </c>
      <c r="D42" s="186">
        <v>0.152</v>
      </c>
      <c r="E42" s="123">
        <f>E38*D42</f>
        <v>9.1199999999999992</v>
      </c>
      <c r="F42" s="141"/>
      <c r="G42" s="118"/>
      <c r="H42" s="141"/>
      <c r="I42" s="118"/>
      <c r="J42" s="141"/>
      <c r="K42" s="118"/>
      <c r="L42" s="118"/>
    </row>
    <row r="43" spans="1:14" ht="15.75" x14ac:dyDescent="0.25">
      <c r="A43" s="459"/>
      <c r="B43" s="215" t="s">
        <v>77</v>
      </c>
      <c r="C43" s="179" t="s">
        <v>76</v>
      </c>
      <c r="D43" s="186">
        <f>4.57*0.01</f>
        <v>4.5700000000000005E-2</v>
      </c>
      <c r="E43" s="123">
        <f>E38*D43</f>
        <v>2.7420000000000004</v>
      </c>
      <c r="F43" s="141"/>
      <c r="G43" s="118"/>
      <c r="H43" s="141"/>
      <c r="I43" s="118"/>
      <c r="J43" s="141"/>
      <c r="K43" s="118"/>
      <c r="L43" s="118"/>
    </row>
    <row r="44" spans="1:14" ht="31.5" x14ac:dyDescent="0.25">
      <c r="A44" s="490" t="s">
        <v>140</v>
      </c>
      <c r="B44" s="204" t="s">
        <v>89</v>
      </c>
      <c r="C44" s="180" t="s">
        <v>21</v>
      </c>
      <c r="D44" s="57"/>
      <c r="E44" s="122">
        <f>E47+E48+E49</f>
        <v>26</v>
      </c>
      <c r="F44" s="126"/>
      <c r="G44" s="118"/>
      <c r="H44" s="126"/>
      <c r="I44" s="118"/>
      <c r="J44" s="126"/>
      <c r="K44" s="118"/>
      <c r="L44" s="118"/>
    </row>
    <row r="45" spans="1:14" ht="27" x14ac:dyDescent="0.25">
      <c r="A45" s="490"/>
      <c r="B45" s="215" t="s">
        <v>74</v>
      </c>
      <c r="C45" s="179" t="s">
        <v>75</v>
      </c>
      <c r="D45" s="186">
        <v>1.51</v>
      </c>
      <c r="E45" s="123">
        <f>E44*D45</f>
        <v>39.26</v>
      </c>
      <c r="F45" s="141"/>
      <c r="G45" s="118"/>
      <c r="H45" s="141"/>
      <c r="I45" s="118"/>
      <c r="J45" s="141"/>
      <c r="K45" s="118"/>
      <c r="L45" s="118"/>
    </row>
    <row r="46" spans="1:14" ht="15.75" x14ac:dyDescent="0.25">
      <c r="A46" s="490"/>
      <c r="B46" s="215" t="s">
        <v>79</v>
      </c>
      <c r="C46" s="179" t="s">
        <v>76</v>
      </c>
      <c r="D46" s="186">
        <v>0.13</v>
      </c>
      <c r="E46" s="123">
        <f>E44*D46</f>
        <v>3.38</v>
      </c>
      <c r="F46" s="141"/>
      <c r="G46" s="118"/>
      <c r="H46" s="141"/>
      <c r="I46" s="118"/>
      <c r="J46" s="141"/>
      <c r="K46" s="118"/>
      <c r="L46" s="118"/>
    </row>
    <row r="47" spans="1:14" ht="15.75" x14ac:dyDescent="0.25">
      <c r="A47" s="490"/>
      <c r="B47" s="215" t="s">
        <v>92</v>
      </c>
      <c r="C47" s="179" t="s">
        <v>21</v>
      </c>
      <c r="D47" s="186">
        <v>1</v>
      </c>
      <c r="E47" s="189">
        <v>6</v>
      </c>
      <c r="F47" s="141"/>
      <c r="G47" s="118"/>
      <c r="H47" s="141"/>
      <c r="I47" s="118"/>
      <c r="J47" s="141"/>
      <c r="K47" s="118"/>
      <c r="L47" s="118"/>
    </row>
    <row r="48" spans="1:14" ht="15.75" x14ac:dyDescent="0.25">
      <c r="A48" s="490"/>
      <c r="B48" s="215" t="s">
        <v>280</v>
      </c>
      <c r="C48" s="179" t="s">
        <v>21</v>
      </c>
      <c r="D48" s="186">
        <v>1</v>
      </c>
      <c r="E48" s="189">
        <v>2</v>
      </c>
      <c r="F48" s="141"/>
      <c r="G48" s="118"/>
      <c r="H48" s="141"/>
      <c r="I48" s="118"/>
      <c r="J48" s="141"/>
      <c r="K48" s="118"/>
      <c r="L48" s="118"/>
    </row>
    <row r="49" spans="1:12" ht="15.75" x14ac:dyDescent="0.25">
      <c r="A49" s="490"/>
      <c r="B49" s="215" t="s">
        <v>281</v>
      </c>
      <c r="C49" s="347" t="s">
        <v>21</v>
      </c>
      <c r="D49" s="186">
        <v>1</v>
      </c>
      <c r="E49" s="351">
        <v>18</v>
      </c>
      <c r="F49" s="141"/>
      <c r="G49" s="118"/>
      <c r="H49" s="141"/>
      <c r="I49" s="118"/>
      <c r="J49" s="141"/>
      <c r="K49" s="118"/>
      <c r="L49" s="118"/>
    </row>
    <row r="50" spans="1:12" ht="15.75" x14ac:dyDescent="0.25">
      <c r="A50" s="490"/>
      <c r="B50" s="215" t="s">
        <v>77</v>
      </c>
      <c r="C50" s="179" t="s">
        <v>76</v>
      </c>
      <c r="D50" s="186">
        <v>7.0000000000000007E-2</v>
      </c>
      <c r="E50" s="123">
        <f>E44*D50</f>
        <v>1.8200000000000003</v>
      </c>
      <c r="F50" s="141"/>
      <c r="G50" s="118"/>
      <c r="H50" s="141"/>
      <c r="I50" s="118"/>
      <c r="J50" s="141"/>
      <c r="K50" s="118"/>
      <c r="L50" s="118"/>
    </row>
    <row r="51" spans="1:12" ht="31.5" x14ac:dyDescent="0.25">
      <c r="A51" s="410" t="s">
        <v>57</v>
      </c>
      <c r="B51" s="204" t="s">
        <v>90</v>
      </c>
      <c r="C51" s="180" t="s">
        <v>21</v>
      </c>
      <c r="D51" s="57"/>
      <c r="E51" s="122">
        <f>E54+E55+E56+E57+E58+E59+E60+E61</f>
        <v>108</v>
      </c>
      <c r="F51" s="126"/>
      <c r="G51" s="118"/>
      <c r="H51" s="126"/>
      <c r="I51" s="118"/>
      <c r="J51" s="126"/>
      <c r="K51" s="118"/>
      <c r="L51" s="118"/>
    </row>
    <row r="52" spans="1:12" ht="27" x14ac:dyDescent="0.25">
      <c r="A52" s="411"/>
      <c r="B52" s="215" t="s">
        <v>74</v>
      </c>
      <c r="C52" s="179" t="s">
        <v>75</v>
      </c>
      <c r="D52" s="186">
        <v>0.64600000000000002</v>
      </c>
      <c r="E52" s="123">
        <f>E51*D52</f>
        <v>69.768000000000001</v>
      </c>
      <c r="F52" s="141"/>
      <c r="G52" s="118"/>
      <c r="H52" s="141"/>
      <c r="I52" s="118"/>
      <c r="J52" s="141"/>
      <c r="K52" s="118"/>
      <c r="L52" s="118"/>
    </row>
    <row r="53" spans="1:12" ht="15.75" x14ac:dyDescent="0.25">
      <c r="A53" s="411"/>
      <c r="B53" s="215" t="s">
        <v>80</v>
      </c>
      <c r="C53" s="179" t="s">
        <v>76</v>
      </c>
      <c r="D53" s="186">
        <v>2.5999999999999999E-3</v>
      </c>
      <c r="E53" s="123">
        <f>E51*D53</f>
        <v>0.28079999999999999</v>
      </c>
      <c r="F53" s="141"/>
      <c r="G53" s="118"/>
      <c r="H53" s="141"/>
      <c r="I53" s="118"/>
      <c r="J53" s="141"/>
      <c r="K53" s="118"/>
      <c r="L53" s="118"/>
    </row>
    <row r="54" spans="1:12" ht="33.75" x14ac:dyDescent="0.25">
      <c r="A54" s="411"/>
      <c r="B54" s="215" t="s">
        <v>282</v>
      </c>
      <c r="C54" s="347" t="s">
        <v>61</v>
      </c>
      <c r="D54" s="186"/>
      <c r="E54" s="123">
        <v>40</v>
      </c>
      <c r="F54" s="141"/>
      <c r="G54" s="118"/>
      <c r="H54" s="141"/>
      <c r="I54" s="118"/>
      <c r="J54" s="141"/>
      <c r="K54" s="118"/>
      <c r="L54" s="118"/>
    </row>
    <row r="55" spans="1:12" ht="33.75" x14ac:dyDescent="0.25">
      <c r="A55" s="411"/>
      <c r="B55" s="215" t="s">
        <v>283</v>
      </c>
      <c r="C55" s="347" t="s">
        <v>61</v>
      </c>
      <c r="D55" s="186"/>
      <c r="E55" s="123">
        <v>4</v>
      </c>
      <c r="F55" s="141"/>
      <c r="G55" s="118"/>
      <c r="H55" s="141"/>
      <c r="I55" s="118"/>
      <c r="J55" s="141"/>
      <c r="K55" s="118"/>
      <c r="L55" s="118"/>
    </row>
    <row r="56" spans="1:12" ht="31.5" x14ac:dyDescent="0.25">
      <c r="A56" s="411"/>
      <c r="B56" s="215" t="s">
        <v>284</v>
      </c>
      <c r="C56" s="347" t="s">
        <v>61</v>
      </c>
      <c r="D56" s="186"/>
      <c r="E56" s="123">
        <v>20</v>
      </c>
      <c r="F56" s="141"/>
      <c r="G56" s="118"/>
      <c r="H56" s="141"/>
      <c r="I56" s="118"/>
      <c r="J56" s="141"/>
      <c r="K56" s="118"/>
      <c r="L56" s="118"/>
    </row>
    <row r="57" spans="1:12" ht="31.5" x14ac:dyDescent="0.25">
      <c r="A57" s="411"/>
      <c r="B57" s="215" t="s">
        <v>285</v>
      </c>
      <c r="C57" s="347" t="s">
        <v>61</v>
      </c>
      <c r="D57" s="186"/>
      <c r="E57" s="123">
        <v>6</v>
      </c>
      <c r="F57" s="141"/>
      <c r="G57" s="118"/>
      <c r="H57" s="141"/>
      <c r="I57" s="118"/>
      <c r="J57" s="141"/>
      <c r="K57" s="118"/>
      <c r="L57" s="118"/>
    </row>
    <row r="58" spans="1:12" ht="31.5" x14ac:dyDescent="0.25">
      <c r="A58" s="411"/>
      <c r="B58" s="215" t="s">
        <v>286</v>
      </c>
      <c r="C58" s="347" t="s">
        <v>61</v>
      </c>
      <c r="D58" s="186"/>
      <c r="E58" s="123">
        <v>6</v>
      </c>
      <c r="F58" s="141"/>
      <c r="G58" s="118"/>
      <c r="H58" s="141"/>
      <c r="I58" s="118"/>
      <c r="J58" s="141"/>
      <c r="K58" s="118"/>
      <c r="L58" s="118"/>
    </row>
    <row r="59" spans="1:12" ht="31.5" x14ac:dyDescent="0.25">
      <c r="A59" s="411"/>
      <c r="B59" s="215" t="s">
        <v>287</v>
      </c>
      <c r="C59" s="347" t="s">
        <v>61</v>
      </c>
      <c r="D59" s="186"/>
      <c r="E59" s="123">
        <v>4</v>
      </c>
      <c r="F59" s="141"/>
      <c r="G59" s="118"/>
      <c r="H59" s="141"/>
      <c r="I59" s="118"/>
      <c r="J59" s="141"/>
      <c r="K59" s="118"/>
      <c r="L59" s="118"/>
    </row>
    <row r="60" spans="1:12" ht="31.5" x14ac:dyDescent="0.25">
      <c r="A60" s="411"/>
      <c r="B60" s="215" t="s">
        <v>288</v>
      </c>
      <c r="C60" s="347" t="s">
        <v>61</v>
      </c>
      <c r="D60" s="186"/>
      <c r="E60" s="123">
        <v>10</v>
      </c>
      <c r="F60" s="141"/>
      <c r="G60" s="118"/>
      <c r="H60" s="141"/>
      <c r="I60" s="118"/>
      <c r="J60" s="141"/>
      <c r="K60" s="118"/>
      <c r="L60" s="118"/>
    </row>
    <row r="61" spans="1:12" ht="31.5" x14ac:dyDescent="0.25">
      <c r="A61" s="411"/>
      <c r="B61" s="215" t="s">
        <v>289</v>
      </c>
      <c r="C61" s="347" t="s">
        <v>61</v>
      </c>
      <c r="D61" s="186"/>
      <c r="E61" s="123">
        <v>18</v>
      </c>
      <c r="F61" s="141"/>
      <c r="G61" s="118"/>
      <c r="H61" s="141"/>
      <c r="I61" s="118"/>
      <c r="J61" s="141"/>
      <c r="K61" s="118"/>
      <c r="L61" s="118"/>
    </row>
    <row r="62" spans="1:12" ht="15.75" x14ac:dyDescent="0.25">
      <c r="A62" s="411"/>
      <c r="B62" s="215" t="s">
        <v>290</v>
      </c>
      <c r="C62" s="347" t="s">
        <v>61</v>
      </c>
      <c r="D62" s="186"/>
      <c r="E62" s="123">
        <v>8</v>
      </c>
      <c r="F62" s="141"/>
      <c r="G62" s="118"/>
      <c r="H62" s="141"/>
      <c r="I62" s="118"/>
      <c r="J62" s="141"/>
      <c r="K62" s="118"/>
      <c r="L62" s="118"/>
    </row>
    <row r="63" spans="1:12" ht="15.75" x14ac:dyDescent="0.25">
      <c r="A63" s="411"/>
      <c r="B63" s="215"/>
      <c r="C63" s="347"/>
      <c r="D63" s="186"/>
      <c r="E63" s="123"/>
      <c r="F63" s="141"/>
      <c r="G63" s="118"/>
      <c r="H63" s="141"/>
      <c r="I63" s="118"/>
      <c r="J63" s="141"/>
      <c r="K63" s="118"/>
      <c r="L63" s="118"/>
    </row>
    <row r="64" spans="1:12" ht="15.75" x14ac:dyDescent="0.25">
      <c r="A64" s="412"/>
      <c r="B64" s="215" t="s">
        <v>91</v>
      </c>
      <c r="C64" s="179" t="s">
        <v>76</v>
      </c>
      <c r="D64" s="186">
        <v>0.12</v>
      </c>
      <c r="E64" s="123">
        <f>E51*D64</f>
        <v>12.959999999999999</v>
      </c>
      <c r="F64" s="141"/>
      <c r="G64" s="118"/>
      <c r="H64" s="141"/>
      <c r="I64" s="118"/>
      <c r="J64" s="141"/>
      <c r="K64" s="118"/>
      <c r="L64" s="118"/>
    </row>
    <row r="65" spans="1:12" ht="15.75" x14ac:dyDescent="0.25">
      <c r="A65" s="457" t="s">
        <v>314</v>
      </c>
      <c r="B65" s="254" t="s">
        <v>81</v>
      </c>
      <c r="C65" s="7" t="s">
        <v>82</v>
      </c>
      <c r="D65" s="112"/>
      <c r="E65" s="236">
        <v>14</v>
      </c>
      <c r="F65" s="141"/>
      <c r="G65" s="118"/>
      <c r="H65" s="118"/>
      <c r="I65" s="118"/>
      <c r="J65" s="118"/>
      <c r="K65" s="118"/>
      <c r="L65" s="118"/>
    </row>
    <row r="66" spans="1:12" ht="15.75" x14ac:dyDescent="0.25">
      <c r="A66" s="458"/>
      <c r="B66" s="230" t="s">
        <v>22</v>
      </c>
      <c r="C66" s="160" t="s">
        <v>68</v>
      </c>
      <c r="D66" s="45">
        <v>1.002</v>
      </c>
      <c r="E66" s="239">
        <f>E65*D66</f>
        <v>14.028</v>
      </c>
      <c r="F66" s="141"/>
      <c r="G66" s="118"/>
      <c r="H66" s="118"/>
      <c r="I66" s="118"/>
      <c r="J66" s="118"/>
      <c r="K66" s="118"/>
      <c r="L66" s="118"/>
    </row>
    <row r="67" spans="1:12" ht="15.75" x14ac:dyDescent="0.25">
      <c r="A67" s="459"/>
      <c r="B67" s="230" t="s">
        <v>83</v>
      </c>
      <c r="C67" s="160" t="s">
        <v>20</v>
      </c>
      <c r="D67" s="45">
        <v>0.49340000000000001</v>
      </c>
      <c r="E67" s="239">
        <f>E65*D67</f>
        <v>6.9076000000000004</v>
      </c>
      <c r="F67" s="141"/>
      <c r="G67" s="118"/>
      <c r="H67" s="118"/>
      <c r="I67" s="118"/>
      <c r="J67" s="118"/>
      <c r="K67" s="118"/>
      <c r="L67" s="118"/>
    </row>
    <row r="68" spans="1:12" ht="31.5" x14ac:dyDescent="0.25">
      <c r="A68" s="490" t="s">
        <v>315</v>
      </c>
      <c r="B68" s="255" t="s">
        <v>84</v>
      </c>
      <c r="C68" s="176" t="s">
        <v>16</v>
      </c>
      <c r="D68" s="161">
        <f>0.12*0.12</f>
        <v>1.44E-2</v>
      </c>
      <c r="E68" s="240">
        <f>E65*D68</f>
        <v>0.2016</v>
      </c>
      <c r="F68" s="241"/>
      <c r="G68" s="118"/>
      <c r="H68" s="228"/>
      <c r="I68" s="118"/>
      <c r="J68" s="228"/>
      <c r="K68" s="118"/>
      <c r="L68" s="118"/>
    </row>
    <row r="69" spans="1:12" ht="27" x14ac:dyDescent="0.25">
      <c r="A69" s="490"/>
      <c r="B69" s="216" t="s">
        <v>28</v>
      </c>
      <c r="C69" s="147" t="s">
        <v>24</v>
      </c>
      <c r="D69" s="150">
        <v>74.2</v>
      </c>
      <c r="E69" s="225">
        <f>E68*D69</f>
        <v>14.958720000000001</v>
      </c>
      <c r="F69" s="224"/>
      <c r="G69" s="118"/>
      <c r="H69" s="118"/>
      <c r="I69" s="118"/>
      <c r="J69" s="118"/>
      <c r="K69" s="118"/>
      <c r="L69" s="118"/>
    </row>
    <row r="70" spans="1:12" ht="15.75" x14ac:dyDescent="0.25">
      <c r="A70" s="490"/>
      <c r="B70" s="216" t="s">
        <v>30</v>
      </c>
      <c r="C70" s="16" t="s">
        <v>20</v>
      </c>
      <c r="D70" s="150">
        <v>1.1000000000000001</v>
      </c>
      <c r="E70" s="225">
        <f>E68*D70</f>
        <v>0.22176000000000001</v>
      </c>
      <c r="F70" s="224"/>
      <c r="G70" s="118"/>
      <c r="H70" s="118"/>
      <c r="I70" s="118"/>
      <c r="J70" s="118"/>
      <c r="K70" s="118"/>
      <c r="L70" s="118"/>
    </row>
    <row r="71" spans="1:12" ht="31.5" x14ac:dyDescent="0.25">
      <c r="A71" s="490"/>
      <c r="B71" s="212" t="s">
        <v>60</v>
      </c>
      <c r="C71" s="147" t="s">
        <v>15</v>
      </c>
      <c r="D71" s="150">
        <v>1.04</v>
      </c>
      <c r="E71" s="225">
        <f>E68*D71</f>
        <v>0.20966400000000002</v>
      </c>
      <c r="F71" s="224"/>
      <c r="G71" s="118"/>
      <c r="H71" s="118"/>
      <c r="I71" s="118"/>
      <c r="J71" s="118"/>
      <c r="K71" s="118"/>
      <c r="L71" s="118"/>
    </row>
    <row r="72" spans="1:12" ht="15.75" x14ac:dyDescent="0.25">
      <c r="A72" s="490"/>
      <c r="B72" s="216" t="s">
        <v>85</v>
      </c>
      <c r="C72" s="147" t="s">
        <v>17</v>
      </c>
      <c r="D72" s="150">
        <v>5.9</v>
      </c>
      <c r="E72" s="225">
        <f>E68*D72</f>
        <v>1.1894400000000001</v>
      </c>
      <c r="F72" s="224"/>
      <c r="G72" s="118"/>
      <c r="H72" s="118"/>
      <c r="I72" s="118"/>
      <c r="J72" s="118"/>
      <c r="K72" s="118"/>
      <c r="L72" s="118"/>
    </row>
    <row r="73" spans="1:12" ht="15.75" x14ac:dyDescent="0.25">
      <c r="A73" s="490"/>
      <c r="B73" s="216" t="s">
        <v>120</v>
      </c>
      <c r="C73" s="147" t="s">
        <v>15</v>
      </c>
      <c r="D73" s="150">
        <f>0.21+0.18</f>
        <v>0.39</v>
      </c>
      <c r="E73" s="225">
        <f>E68*D73</f>
        <v>7.8623999999999999E-2</v>
      </c>
      <c r="F73" s="224"/>
      <c r="G73" s="118"/>
      <c r="H73" s="118"/>
      <c r="I73" s="118"/>
      <c r="J73" s="118"/>
      <c r="K73" s="118"/>
      <c r="L73" s="118"/>
    </row>
    <row r="74" spans="1:12" ht="15.75" x14ac:dyDescent="0.25">
      <c r="A74" s="490"/>
      <c r="B74" s="216" t="s">
        <v>27</v>
      </c>
      <c r="C74" s="16" t="s">
        <v>20</v>
      </c>
      <c r="D74" s="150">
        <v>0</v>
      </c>
      <c r="E74" s="225">
        <f>E68*D74</f>
        <v>0</v>
      </c>
      <c r="F74" s="224"/>
      <c r="G74" s="118"/>
      <c r="H74" s="118"/>
      <c r="I74" s="118"/>
      <c r="J74" s="118"/>
      <c r="K74" s="118"/>
      <c r="L74" s="118"/>
    </row>
    <row r="75" spans="1:12" ht="31.5" x14ac:dyDescent="0.25">
      <c r="A75" s="458" t="s">
        <v>34</v>
      </c>
      <c r="B75" s="256" t="s">
        <v>104</v>
      </c>
      <c r="C75" s="177" t="s">
        <v>105</v>
      </c>
      <c r="D75" s="185"/>
      <c r="E75" s="121">
        <f>(E38)/100</f>
        <v>0.6</v>
      </c>
      <c r="F75" s="242"/>
      <c r="G75" s="118"/>
      <c r="H75" s="242"/>
      <c r="I75" s="118"/>
      <c r="J75" s="242"/>
      <c r="K75" s="118"/>
      <c r="L75" s="118"/>
    </row>
    <row r="76" spans="1:12" ht="27" x14ac:dyDescent="0.25">
      <c r="A76" s="458"/>
      <c r="B76" s="215" t="s">
        <v>74</v>
      </c>
      <c r="C76" s="179" t="s">
        <v>75</v>
      </c>
      <c r="D76" s="186">
        <v>5.16</v>
      </c>
      <c r="E76" s="123">
        <f>E75*D76</f>
        <v>3.0960000000000001</v>
      </c>
      <c r="F76" s="141"/>
      <c r="G76" s="118"/>
      <c r="H76" s="141"/>
      <c r="I76" s="118"/>
      <c r="J76" s="141"/>
      <c r="K76" s="118"/>
      <c r="L76" s="118"/>
    </row>
    <row r="77" spans="1:12" ht="15.75" x14ac:dyDescent="0.25">
      <c r="A77" s="458"/>
      <c r="B77" s="215" t="s">
        <v>80</v>
      </c>
      <c r="C77" s="179" t="s">
        <v>76</v>
      </c>
      <c r="D77" s="186">
        <v>0</v>
      </c>
      <c r="E77" s="123">
        <f>E75*D77</f>
        <v>0</v>
      </c>
      <c r="F77" s="141"/>
      <c r="G77" s="118"/>
      <c r="H77" s="141"/>
      <c r="I77" s="118"/>
      <c r="J77" s="141"/>
      <c r="K77" s="118"/>
      <c r="L77" s="118"/>
    </row>
    <row r="78" spans="1:12" ht="15.75" x14ac:dyDescent="0.25">
      <c r="A78" s="458"/>
      <c r="B78" s="215" t="s">
        <v>106</v>
      </c>
      <c r="C78" s="179" t="s">
        <v>15</v>
      </c>
      <c r="D78" s="186">
        <v>1</v>
      </c>
      <c r="E78" s="123">
        <f>E75*D78</f>
        <v>0.6</v>
      </c>
      <c r="F78" s="141"/>
      <c r="G78" s="118"/>
      <c r="H78" s="141"/>
      <c r="I78" s="118"/>
      <c r="J78" s="141"/>
      <c r="K78" s="118"/>
      <c r="L78" s="118"/>
    </row>
    <row r="79" spans="1:12" ht="15.75" x14ac:dyDescent="0.25">
      <c r="A79" s="459"/>
      <c r="B79" s="215" t="s">
        <v>27</v>
      </c>
      <c r="C79" s="179" t="s">
        <v>20</v>
      </c>
      <c r="D79" s="186">
        <v>0.11</v>
      </c>
      <c r="E79" s="123">
        <f>E75*D79</f>
        <v>6.6000000000000003E-2</v>
      </c>
      <c r="F79" s="141"/>
      <c r="G79" s="118"/>
      <c r="H79" s="141"/>
      <c r="I79" s="118"/>
      <c r="J79" s="141"/>
      <c r="K79" s="118"/>
      <c r="L79" s="118"/>
    </row>
    <row r="80" spans="1:12" ht="31.5" x14ac:dyDescent="0.25">
      <c r="A80" s="23" t="s">
        <v>131</v>
      </c>
      <c r="B80" s="420" t="s">
        <v>214</v>
      </c>
      <c r="C80" s="21"/>
      <c r="D80" s="421"/>
      <c r="E80" s="249"/>
      <c r="F80" s="118"/>
      <c r="G80" s="118"/>
      <c r="H80" s="118"/>
      <c r="I80" s="118"/>
      <c r="J80" s="118"/>
      <c r="K80" s="118"/>
      <c r="L80" s="118"/>
    </row>
    <row r="81" spans="1:12" ht="47.25" x14ac:dyDescent="0.25">
      <c r="A81" s="457">
        <v>1</v>
      </c>
      <c r="B81" s="254" t="s">
        <v>98</v>
      </c>
      <c r="C81" s="7" t="s">
        <v>10</v>
      </c>
      <c r="D81" s="112"/>
      <c r="E81" s="236">
        <v>30</v>
      </c>
      <c r="F81" s="237"/>
      <c r="G81" s="118"/>
      <c r="H81" s="237"/>
      <c r="I81" s="118"/>
      <c r="J81" s="237"/>
      <c r="K81" s="118"/>
      <c r="L81" s="118"/>
    </row>
    <row r="82" spans="1:12" ht="15.75" x14ac:dyDescent="0.25">
      <c r="A82" s="458"/>
      <c r="B82" s="215" t="s">
        <v>22</v>
      </c>
      <c r="C82" s="179" t="s">
        <v>68</v>
      </c>
      <c r="D82" s="186">
        <v>0.60899999999999999</v>
      </c>
      <c r="E82" s="123">
        <f>E81*D82</f>
        <v>18.27</v>
      </c>
      <c r="F82" s="238"/>
      <c r="G82" s="118"/>
      <c r="H82" s="238"/>
      <c r="I82" s="118"/>
      <c r="J82" s="238"/>
      <c r="K82" s="118"/>
      <c r="L82" s="118"/>
    </row>
    <row r="83" spans="1:12" ht="15.75" x14ac:dyDescent="0.25">
      <c r="A83" s="458"/>
      <c r="B83" s="215" t="s">
        <v>83</v>
      </c>
      <c r="C83" s="179" t="s">
        <v>93</v>
      </c>
      <c r="D83" s="186">
        <v>2.0999999999999999E-3</v>
      </c>
      <c r="E83" s="123">
        <f>E81*D83</f>
        <v>6.3E-2</v>
      </c>
      <c r="F83" s="238"/>
      <c r="G83" s="118"/>
      <c r="H83" s="238"/>
      <c r="I83" s="118"/>
      <c r="J83" s="238"/>
      <c r="K83" s="118"/>
      <c r="L83" s="118"/>
    </row>
    <row r="84" spans="1:12" ht="15.75" x14ac:dyDescent="0.25">
      <c r="A84" s="458"/>
      <c r="B84" s="215" t="s">
        <v>146</v>
      </c>
      <c r="C84" s="179" t="s">
        <v>100</v>
      </c>
      <c r="D84" s="186">
        <v>1</v>
      </c>
      <c r="E84" s="123">
        <f>E81*D84</f>
        <v>30</v>
      </c>
      <c r="F84" s="238"/>
      <c r="G84" s="118"/>
      <c r="H84" s="238"/>
      <c r="I84" s="118"/>
      <c r="J84" s="238"/>
      <c r="K84" s="118"/>
      <c r="L84" s="118"/>
    </row>
    <row r="85" spans="1:12" ht="15.75" x14ac:dyDescent="0.25">
      <c r="A85" s="458"/>
      <c r="B85" s="232" t="s">
        <v>101</v>
      </c>
      <c r="C85" s="162" t="s">
        <v>102</v>
      </c>
      <c r="D85" s="108">
        <f>14*0.01</f>
        <v>0.14000000000000001</v>
      </c>
      <c r="E85" s="243">
        <f>D85*E81</f>
        <v>4.2</v>
      </c>
      <c r="F85" s="244"/>
      <c r="G85" s="118"/>
      <c r="H85" s="244"/>
      <c r="I85" s="118"/>
      <c r="J85" s="244"/>
      <c r="K85" s="118"/>
      <c r="L85" s="118"/>
    </row>
    <row r="86" spans="1:12" ht="15.75" x14ac:dyDescent="0.25">
      <c r="A86" s="459"/>
      <c r="B86" s="215" t="s">
        <v>27</v>
      </c>
      <c r="C86" s="179" t="s">
        <v>93</v>
      </c>
      <c r="D86" s="186">
        <v>0.156</v>
      </c>
      <c r="E86" s="123">
        <f>E81*D86</f>
        <v>4.68</v>
      </c>
      <c r="F86" s="238"/>
      <c r="G86" s="118"/>
      <c r="H86" s="238"/>
      <c r="I86" s="118"/>
      <c r="J86" s="238"/>
      <c r="K86" s="118"/>
      <c r="L86" s="118"/>
    </row>
    <row r="87" spans="1:12" ht="47.25" x14ac:dyDescent="0.25">
      <c r="A87" s="457">
        <v>2</v>
      </c>
      <c r="B87" s="254" t="s">
        <v>103</v>
      </c>
      <c r="C87" s="7" t="s">
        <v>10</v>
      </c>
      <c r="D87" s="112"/>
      <c r="E87" s="236">
        <v>32</v>
      </c>
      <c r="F87" s="237"/>
      <c r="G87" s="118"/>
      <c r="H87" s="237"/>
      <c r="I87" s="118"/>
      <c r="J87" s="237"/>
      <c r="K87" s="118"/>
      <c r="L87" s="118"/>
    </row>
    <row r="88" spans="1:12" ht="15.75" x14ac:dyDescent="0.25">
      <c r="A88" s="458"/>
      <c r="B88" s="215" t="s">
        <v>22</v>
      </c>
      <c r="C88" s="179" t="s">
        <v>68</v>
      </c>
      <c r="D88" s="186">
        <f>58.3*0.01</f>
        <v>0.58299999999999996</v>
      </c>
      <c r="E88" s="123">
        <f>E87*D88</f>
        <v>18.655999999999999</v>
      </c>
      <c r="F88" s="238"/>
      <c r="G88" s="118"/>
      <c r="H88" s="238"/>
      <c r="I88" s="118"/>
      <c r="J88" s="238"/>
      <c r="K88" s="118"/>
      <c r="L88" s="118"/>
    </row>
    <row r="89" spans="1:12" ht="15.75" x14ac:dyDescent="0.25">
      <c r="A89" s="458"/>
      <c r="B89" s="215" t="s">
        <v>83</v>
      </c>
      <c r="C89" s="179" t="s">
        <v>93</v>
      </c>
      <c r="D89" s="186">
        <f>0.46*0.01</f>
        <v>4.5999999999999999E-3</v>
      </c>
      <c r="E89" s="123">
        <f>E87*D89</f>
        <v>0.1472</v>
      </c>
      <c r="F89" s="238"/>
      <c r="G89" s="118"/>
      <c r="H89" s="238"/>
      <c r="I89" s="118"/>
      <c r="J89" s="238"/>
      <c r="K89" s="118"/>
      <c r="L89" s="118"/>
    </row>
    <row r="90" spans="1:12" ht="15.75" x14ac:dyDescent="0.25">
      <c r="A90" s="458"/>
      <c r="B90" s="215" t="s">
        <v>99</v>
      </c>
      <c r="C90" s="179" t="s">
        <v>100</v>
      </c>
      <c r="D90" s="186">
        <v>1</v>
      </c>
      <c r="E90" s="123">
        <f>E87*D90</f>
        <v>32</v>
      </c>
      <c r="F90" s="238"/>
      <c r="G90" s="118"/>
      <c r="H90" s="238"/>
      <c r="I90" s="118"/>
      <c r="J90" s="238"/>
      <c r="K90" s="118"/>
      <c r="L90" s="118"/>
    </row>
    <row r="91" spans="1:12" ht="15.75" x14ac:dyDescent="0.25">
      <c r="A91" s="458"/>
      <c r="B91" s="232" t="s">
        <v>101</v>
      </c>
      <c r="C91" s="162" t="s">
        <v>102</v>
      </c>
      <c r="D91" s="108">
        <f>23*0.01</f>
        <v>0.23</v>
      </c>
      <c r="E91" s="243">
        <f>D91*E87</f>
        <v>7.36</v>
      </c>
      <c r="F91" s="244"/>
      <c r="G91" s="118"/>
      <c r="H91" s="244"/>
      <c r="I91" s="118"/>
      <c r="J91" s="244"/>
      <c r="K91" s="118"/>
      <c r="L91" s="118"/>
    </row>
    <row r="92" spans="1:12" ht="15.75" x14ac:dyDescent="0.25">
      <c r="A92" s="459"/>
      <c r="B92" s="215" t="s">
        <v>27</v>
      </c>
      <c r="C92" s="179" t="s">
        <v>93</v>
      </c>
      <c r="D92" s="186">
        <f>20.8*0.01</f>
        <v>0.20800000000000002</v>
      </c>
      <c r="E92" s="123">
        <f>E87*D92</f>
        <v>6.6560000000000006</v>
      </c>
      <c r="F92" s="238"/>
      <c r="G92" s="118"/>
      <c r="H92" s="238"/>
      <c r="I92" s="118"/>
      <c r="J92" s="238"/>
      <c r="K92" s="118"/>
      <c r="L92" s="118"/>
    </row>
    <row r="93" spans="1:12" ht="15.75" x14ac:dyDescent="0.25">
      <c r="A93" s="487" t="s">
        <v>57</v>
      </c>
      <c r="B93" s="254" t="s">
        <v>97</v>
      </c>
      <c r="C93" s="7" t="s">
        <v>61</v>
      </c>
      <c r="D93" s="112"/>
      <c r="E93" s="236">
        <f>E96</f>
        <v>5</v>
      </c>
      <c r="F93" s="237"/>
      <c r="G93" s="118"/>
      <c r="H93" s="237"/>
      <c r="I93" s="118"/>
      <c r="J93" s="237"/>
      <c r="K93" s="118"/>
      <c r="L93" s="118"/>
    </row>
    <row r="94" spans="1:12" ht="27" x14ac:dyDescent="0.25">
      <c r="A94" s="488"/>
      <c r="B94" s="215" t="s">
        <v>22</v>
      </c>
      <c r="C94" s="179" t="s">
        <v>24</v>
      </c>
      <c r="D94" s="186">
        <v>1.85</v>
      </c>
      <c r="E94" s="123">
        <f>E93*D94</f>
        <v>9.25</v>
      </c>
      <c r="F94" s="238"/>
      <c r="G94" s="118"/>
      <c r="H94" s="238"/>
      <c r="I94" s="118"/>
      <c r="J94" s="238"/>
      <c r="K94" s="118"/>
      <c r="L94" s="118"/>
    </row>
    <row r="95" spans="1:12" ht="15.75" x14ac:dyDescent="0.25">
      <c r="A95" s="488"/>
      <c r="B95" s="215" t="s">
        <v>83</v>
      </c>
      <c r="C95" s="179" t="s">
        <v>93</v>
      </c>
      <c r="D95" s="186">
        <v>0.03</v>
      </c>
      <c r="E95" s="123">
        <f>E93*D95</f>
        <v>0.15</v>
      </c>
      <c r="F95" s="238"/>
      <c r="G95" s="118"/>
      <c r="H95" s="238"/>
      <c r="I95" s="118"/>
      <c r="J95" s="238"/>
      <c r="K95" s="118"/>
      <c r="L95" s="118"/>
    </row>
    <row r="96" spans="1:12" ht="15.75" x14ac:dyDescent="0.25">
      <c r="A96" s="488"/>
      <c r="B96" s="215" t="s">
        <v>152</v>
      </c>
      <c r="C96" s="179" t="s">
        <v>61</v>
      </c>
      <c r="D96" s="186">
        <v>1</v>
      </c>
      <c r="E96" s="123">
        <v>5</v>
      </c>
      <c r="F96" s="238"/>
      <c r="G96" s="118"/>
      <c r="H96" s="238"/>
      <c r="I96" s="118"/>
      <c r="J96" s="238"/>
      <c r="K96" s="118"/>
      <c r="L96" s="118"/>
    </row>
    <row r="97" spans="1:12" ht="15.75" x14ac:dyDescent="0.25">
      <c r="A97" s="489"/>
      <c r="B97" s="215" t="s">
        <v>27</v>
      </c>
      <c r="C97" s="179" t="s">
        <v>93</v>
      </c>
      <c r="D97" s="186">
        <v>0.18</v>
      </c>
      <c r="E97" s="123">
        <f>E93*D97</f>
        <v>0.89999999999999991</v>
      </c>
      <c r="F97" s="238"/>
      <c r="G97" s="118"/>
      <c r="H97" s="238"/>
      <c r="I97" s="118"/>
      <c r="J97" s="238"/>
      <c r="K97" s="118"/>
      <c r="L97" s="118"/>
    </row>
    <row r="98" spans="1:12" ht="31.5" x14ac:dyDescent="0.25">
      <c r="A98" s="413">
        <v>4</v>
      </c>
      <c r="B98" s="254" t="s">
        <v>184</v>
      </c>
      <c r="C98" s="7" t="s">
        <v>61</v>
      </c>
      <c r="D98" s="112"/>
      <c r="E98" s="236">
        <f>E101+E102+E103+E104+E105+E106+E107+E108</f>
        <v>67</v>
      </c>
      <c r="F98" s="237"/>
      <c r="G98" s="118"/>
      <c r="H98" s="237"/>
      <c r="I98" s="118"/>
      <c r="J98" s="237"/>
      <c r="K98" s="118"/>
      <c r="L98" s="118"/>
    </row>
    <row r="99" spans="1:12" ht="15.75" x14ac:dyDescent="0.25">
      <c r="A99" s="414"/>
      <c r="B99" s="215" t="s">
        <v>22</v>
      </c>
      <c r="C99" s="179" t="s">
        <v>68</v>
      </c>
      <c r="D99" s="186">
        <v>2.67</v>
      </c>
      <c r="E99" s="123">
        <f>E98*D99</f>
        <v>178.89</v>
      </c>
      <c r="F99" s="238"/>
      <c r="G99" s="118"/>
      <c r="H99" s="238"/>
      <c r="I99" s="118"/>
      <c r="J99" s="238"/>
      <c r="K99" s="118"/>
      <c r="L99" s="118"/>
    </row>
    <row r="100" spans="1:12" ht="15.75" x14ac:dyDescent="0.25">
      <c r="A100" s="414"/>
      <c r="B100" s="215" t="s">
        <v>83</v>
      </c>
      <c r="C100" s="179" t="s">
        <v>93</v>
      </c>
      <c r="D100" s="186">
        <v>0.28999999999999998</v>
      </c>
      <c r="E100" s="123">
        <f>E98*D100</f>
        <v>19.43</v>
      </c>
      <c r="F100" s="238"/>
      <c r="G100" s="118"/>
      <c r="H100" s="238"/>
      <c r="I100" s="118"/>
      <c r="J100" s="238"/>
      <c r="K100" s="118"/>
      <c r="L100" s="118"/>
    </row>
    <row r="101" spans="1:12" ht="33.75" x14ac:dyDescent="0.25">
      <c r="A101" s="414"/>
      <c r="B101" s="215" t="s">
        <v>298</v>
      </c>
      <c r="C101" s="347" t="s">
        <v>61</v>
      </c>
      <c r="D101" s="186"/>
      <c r="E101" s="123">
        <v>24</v>
      </c>
      <c r="F101" s="238"/>
      <c r="G101" s="118"/>
      <c r="H101" s="238"/>
      <c r="I101" s="118"/>
      <c r="J101" s="238"/>
      <c r="K101" s="118"/>
      <c r="L101" s="118"/>
    </row>
    <row r="102" spans="1:12" ht="33.75" x14ac:dyDescent="0.25">
      <c r="A102" s="414"/>
      <c r="B102" s="215" t="s">
        <v>297</v>
      </c>
      <c r="C102" s="347" t="s">
        <v>61</v>
      </c>
      <c r="D102" s="186"/>
      <c r="E102" s="123">
        <v>10</v>
      </c>
      <c r="F102" s="238"/>
      <c r="G102" s="118"/>
      <c r="H102" s="238"/>
      <c r="I102" s="118"/>
      <c r="J102" s="238"/>
      <c r="K102" s="118"/>
      <c r="L102" s="118"/>
    </row>
    <row r="103" spans="1:12" ht="33.75" x14ac:dyDescent="0.25">
      <c r="A103" s="414"/>
      <c r="B103" s="215" t="s">
        <v>296</v>
      </c>
      <c r="C103" s="347" t="s">
        <v>61</v>
      </c>
      <c r="D103" s="186"/>
      <c r="E103" s="123">
        <v>2</v>
      </c>
      <c r="F103" s="238"/>
      <c r="G103" s="118"/>
      <c r="H103" s="238"/>
      <c r="I103" s="118"/>
      <c r="J103" s="238"/>
      <c r="K103" s="118"/>
      <c r="L103" s="118"/>
    </row>
    <row r="104" spans="1:12" ht="18" x14ac:dyDescent="0.25">
      <c r="A104" s="414"/>
      <c r="B104" s="215" t="s">
        <v>295</v>
      </c>
      <c r="C104" s="347" t="s">
        <v>61</v>
      </c>
      <c r="D104" s="186"/>
      <c r="E104" s="123">
        <v>6</v>
      </c>
      <c r="F104" s="238"/>
      <c r="G104" s="118"/>
      <c r="H104" s="238"/>
      <c r="I104" s="118"/>
      <c r="J104" s="238"/>
      <c r="K104" s="118"/>
      <c r="L104" s="118"/>
    </row>
    <row r="105" spans="1:12" ht="33.75" x14ac:dyDescent="0.25">
      <c r="A105" s="414"/>
      <c r="B105" s="215" t="s">
        <v>294</v>
      </c>
      <c r="C105" s="347" t="s">
        <v>61</v>
      </c>
      <c r="D105" s="186"/>
      <c r="E105" s="123">
        <v>8</v>
      </c>
      <c r="F105" s="238"/>
      <c r="G105" s="118"/>
      <c r="H105" s="238"/>
      <c r="I105" s="118"/>
      <c r="J105" s="238"/>
      <c r="K105" s="118"/>
      <c r="L105" s="118"/>
    </row>
    <row r="106" spans="1:12" ht="33.75" x14ac:dyDescent="0.25">
      <c r="A106" s="414"/>
      <c r="B106" s="215" t="s">
        <v>293</v>
      </c>
      <c r="C106" s="347" t="s">
        <v>61</v>
      </c>
      <c r="D106" s="186"/>
      <c r="E106" s="123">
        <v>4</v>
      </c>
      <c r="F106" s="238"/>
      <c r="G106" s="118"/>
      <c r="H106" s="238"/>
      <c r="I106" s="118"/>
      <c r="J106" s="238"/>
      <c r="K106" s="118"/>
      <c r="L106" s="118"/>
    </row>
    <row r="107" spans="1:12" ht="15.75" x14ac:dyDescent="0.25">
      <c r="A107" s="414"/>
      <c r="B107" s="215" t="s">
        <v>291</v>
      </c>
      <c r="C107" s="347" t="s">
        <v>61</v>
      </c>
      <c r="D107" s="186"/>
      <c r="E107" s="123">
        <v>3</v>
      </c>
      <c r="F107" s="238"/>
      <c r="G107" s="118"/>
      <c r="H107" s="238"/>
      <c r="I107" s="118"/>
      <c r="J107" s="238"/>
      <c r="K107" s="118"/>
      <c r="L107" s="118"/>
    </row>
    <row r="108" spans="1:12" ht="15.75" x14ac:dyDescent="0.25">
      <c r="A108" s="414"/>
      <c r="B108" s="215" t="s">
        <v>292</v>
      </c>
      <c r="C108" s="347" t="s">
        <v>61</v>
      </c>
      <c r="D108" s="186"/>
      <c r="E108" s="123">
        <v>10</v>
      </c>
      <c r="F108" s="238"/>
      <c r="G108" s="118"/>
      <c r="H108" s="238"/>
      <c r="I108" s="118"/>
      <c r="J108" s="238"/>
      <c r="K108" s="118"/>
      <c r="L108" s="118"/>
    </row>
    <row r="109" spans="1:12" ht="15.75" x14ac:dyDescent="0.25">
      <c r="A109" s="414"/>
      <c r="B109" s="215"/>
      <c r="C109" s="347"/>
      <c r="D109" s="186"/>
      <c r="E109" s="123"/>
      <c r="F109" s="238"/>
      <c r="G109" s="118"/>
      <c r="H109" s="238"/>
      <c r="I109" s="118"/>
      <c r="J109" s="238"/>
      <c r="K109" s="118"/>
      <c r="L109" s="118"/>
    </row>
    <row r="110" spans="1:12" ht="15.75" x14ac:dyDescent="0.25">
      <c r="A110" s="415"/>
      <c r="B110" s="215" t="s">
        <v>27</v>
      </c>
      <c r="C110" s="179" t="s">
        <v>93</v>
      </c>
      <c r="D110" s="186">
        <v>0.2</v>
      </c>
      <c r="E110" s="123">
        <f>E98*D110</f>
        <v>13.4</v>
      </c>
      <c r="F110" s="238"/>
      <c r="G110" s="118"/>
      <c r="H110" s="238"/>
      <c r="I110" s="118"/>
      <c r="J110" s="238"/>
      <c r="K110" s="118"/>
      <c r="L110" s="118"/>
    </row>
    <row r="111" spans="1:12" ht="15.75" x14ac:dyDescent="0.25">
      <c r="A111" s="457" t="s">
        <v>220</v>
      </c>
      <c r="B111" s="254" t="s">
        <v>81</v>
      </c>
      <c r="C111" s="7" t="s">
        <v>82</v>
      </c>
      <c r="D111" s="112"/>
      <c r="E111" s="236">
        <v>14</v>
      </c>
      <c r="F111" s="141"/>
      <c r="G111" s="118"/>
      <c r="H111" s="118"/>
      <c r="I111" s="118"/>
      <c r="J111" s="118"/>
      <c r="K111" s="118"/>
      <c r="L111" s="118"/>
    </row>
    <row r="112" spans="1:12" ht="15.75" x14ac:dyDescent="0.25">
      <c r="A112" s="458"/>
      <c r="B112" s="230" t="s">
        <v>22</v>
      </c>
      <c r="C112" s="160" t="s">
        <v>68</v>
      </c>
      <c r="D112" s="45">
        <v>1.002</v>
      </c>
      <c r="E112" s="239">
        <f>E111*D112</f>
        <v>14.028</v>
      </c>
      <c r="F112" s="141"/>
      <c r="G112" s="118"/>
      <c r="H112" s="118"/>
      <c r="I112" s="118"/>
      <c r="J112" s="118"/>
      <c r="K112" s="118"/>
      <c r="L112" s="118"/>
    </row>
    <row r="113" spans="1:12" ht="15.75" x14ac:dyDescent="0.25">
      <c r="A113" s="459"/>
      <c r="B113" s="230" t="s">
        <v>83</v>
      </c>
      <c r="C113" s="160" t="s">
        <v>20</v>
      </c>
      <c r="D113" s="45">
        <v>0.49340000000000001</v>
      </c>
      <c r="E113" s="239">
        <f>E111*D113</f>
        <v>6.9076000000000004</v>
      </c>
      <c r="F113" s="141"/>
      <c r="G113" s="118"/>
      <c r="H113" s="118"/>
      <c r="I113" s="118"/>
      <c r="J113" s="118"/>
      <c r="K113" s="118"/>
      <c r="L113" s="118"/>
    </row>
    <row r="114" spans="1:12" ht="31.5" x14ac:dyDescent="0.25">
      <c r="A114" s="457" t="s">
        <v>223</v>
      </c>
      <c r="B114" s="254" t="s">
        <v>84</v>
      </c>
      <c r="C114" s="179" t="s">
        <v>16</v>
      </c>
      <c r="D114" s="163">
        <f>0.12*0.12</f>
        <v>1.44E-2</v>
      </c>
      <c r="E114" s="236">
        <f>E111*D114</f>
        <v>0.2016</v>
      </c>
      <c r="F114" s="141"/>
      <c r="G114" s="118"/>
      <c r="H114" s="118"/>
      <c r="I114" s="118"/>
      <c r="J114" s="118"/>
      <c r="K114" s="118"/>
      <c r="L114" s="118"/>
    </row>
    <row r="115" spans="1:12" ht="27" x14ac:dyDescent="0.25">
      <c r="A115" s="458"/>
      <c r="B115" s="216" t="s">
        <v>28</v>
      </c>
      <c r="C115" s="147" t="s">
        <v>24</v>
      </c>
      <c r="D115" s="150">
        <v>74.2</v>
      </c>
      <c r="E115" s="225">
        <f>E114*D115</f>
        <v>14.958720000000001</v>
      </c>
      <c r="F115" s="224"/>
      <c r="G115" s="118"/>
      <c r="H115" s="118"/>
      <c r="I115" s="118"/>
      <c r="J115" s="118"/>
      <c r="K115" s="118"/>
      <c r="L115" s="118"/>
    </row>
    <row r="116" spans="1:12" ht="15.75" x14ac:dyDescent="0.25">
      <c r="A116" s="458"/>
      <c r="B116" s="216" t="s">
        <v>30</v>
      </c>
      <c r="C116" s="16" t="s">
        <v>20</v>
      </c>
      <c r="D116" s="150">
        <v>1.1000000000000001</v>
      </c>
      <c r="E116" s="225">
        <f>E114*D116</f>
        <v>0.22176000000000001</v>
      </c>
      <c r="F116" s="224"/>
      <c r="G116" s="118"/>
      <c r="H116" s="118"/>
      <c r="I116" s="118"/>
      <c r="J116" s="118"/>
      <c r="K116" s="118"/>
      <c r="L116" s="118"/>
    </row>
    <row r="117" spans="1:12" ht="31.5" x14ac:dyDescent="0.25">
      <c r="A117" s="458"/>
      <c r="B117" s="212" t="s">
        <v>60</v>
      </c>
      <c r="C117" s="147" t="s">
        <v>15</v>
      </c>
      <c r="D117" s="150">
        <v>1.04</v>
      </c>
      <c r="E117" s="225">
        <f>E114*D117</f>
        <v>0.20966400000000002</v>
      </c>
      <c r="F117" s="224"/>
      <c r="G117" s="118"/>
      <c r="H117" s="118"/>
      <c r="I117" s="118"/>
      <c r="J117" s="118"/>
      <c r="K117" s="118"/>
      <c r="L117" s="118"/>
    </row>
    <row r="118" spans="1:12" ht="15.75" x14ac:dyDescent="0.25">
      <c r="A118" s="458"/>
      <c r="B118" s="216" t="s">
        <v>85</v>
      </c>
      <c r="C118" s="147" t="s">
        <v>17</v>
      </c>
      <c r="D118" s="150">
        <v>5.9</v>
      </c>
      <c r="E118" s="225">
        <f>E114*D118</f>
        <v>1.1894400000000001</v>
      </c>
      <c r="F118" s="224"/>
      <c r="G118" s="118"/>
      <c r="H118" s="118"/>
      <c r="I118" s="118"/>
      <c r="J118" s="118"/>
      <c r="K118" s="118"/>
      <c r="L118" s="118"/>
    </row>
    <row r="119" spans="1:12" ht="15.75" x14ac:dyDescent="0.25">
      <c r="A119" s="458"/>
      <c r="B119" s="216" t="s">
        <v>120</v>
      </c>
      <c r="C119" s="147" t="s">
        <v>15</v>
      </c>
      <c r="D119" s="150">
        <f>0.21+0.18</f>
        <v>0.39</v>
      </c>
      <c r="E119" s="225">
        <f>E114*D119</f>
        <v>7.8623999999999999E-2</v>
      </c>
      <c r="F119" s="224"/>
      <c r="G119" s="118"/>
      <c r="H119" s="118"/>
      <c r="I119" s="118"/>
      <c r="J119" s="118"/>
      <c r="K119" s="118"/>
      <c r="L119" s="118"/>
    </row>
    <row r="120" spans="1:12" ht="15.75" x14ac:dyDescent="0.25">
      <c r="A120" s="459"/>
      <c r="B120" s="216" t="s">
        <v>27</v>
      </c>
      <c r="C120" s="16" t="s">
        <v>20</v>
      </c>
      <c r="D120" s="150">
        <v>0</v>
      </c>
      <c r="E120" s="225">
        <f>E114*D120</f>
        <v>0</v>
      </c>
      <c r="F120" s="224"/>
      <c r="G120" s="118"/>
      <c r="H120" s="118"/>
      <c r="I120" s="118"/>
      <c r="J120" s="118"/>
      <c r="K120" s="118"/>
      <c r="L120" s="118"/>
    </row>
    <row r="121" spans="1:12" ht="15.75" x14ac:dyDescent="0.25">
      <c r="A121" s="183"/>
      <c r="B121" s="215"/>
      <c r="C121" s="179"/>
      <c r="D121" s="186"/>
      <c r="E121" s="123"/>
      <c r="F121" s="141"/>
      <c r="G121" s="118"/>
      <c r="H121" s="238"/>
      <c r="I121" s="118"/>
      <c r="J121" s="238"/>
      <c r="K121" s="118"/>
      <c r="L121" s="118"/>
    </row>
    <row r="122" spans="1:12" ht="33" x14ac:dyDescent="0.25">
      <c r="A122" s="219" t="s">
        <v>215</v>
      </c>
      <c r="B122" s="419" t="s">
        <v>307</v>
      </c>
      <c r="C122" s="47" t="s">
        <v>10</v>
      </c>
      <c r="D122" s="219"/>
      <c r="E122" s="247">
        <v>48</v>
      </c>
      <c r="F122" s="141"/>
      <c r="G122" s="141"/>
      <c r="H122" s="141"/>
      <c r="I122" s="141"/>
      <c r="J122" s="141"/>
      <c r="K122" s="141"/>
      <c r="L122" s="141"/>
    </row>
    <row r="123" spans="1:12" ht="47.25" x14ac:dyDescent="0.25">
      <c r="A123" s="494">
        <v>1</v>
      </c>
      <c r="B123" s="204" t="s">
        <v>204</v>
      </c>
      <c r="C123" s="180" t="s">
        <v>161</v>
      </c>
      <c r="D123" s="293"/>
      <c r="E123" s="64">
        <f>E122*0.5*1</f>
        <v>24</v>
      </c>
      <c r="F123" s="126"/>
      <c r="G123" s="141"/>
      <c r="H123" s="126"/>
      <c r="I123" s="141"/>
      <c r="J123" s="126"/>
      <c r="K123" s="141"/>
      <c r="L123" s="141"/>
    </row>
    <row r="124" spans="1:12" ht="15.75" x14ac:dyDescent="0.25">
      <c r="A124" s="495"/>
      <c r="B124" s="215" t="s">
        <v>110</v>
      </c>
      <c r="C124" s="388" t="s">
        <v>68</v>
      </c>
      <c r="D124" s="123">
        <v>2.06</v>
      </c>
      <c r="E124" s="294">
        <f>D124*E123</f>
        <v>49.44</v>
      </c>
      <c r="F124" s="141"/>
      <c r="G124" s="141"/>
      <c r="H124" s="141"/>
      <c r="I124" s="141"/>
      <c r="J124" s="141"/>
      <c r="K124" s="141"/>
      <c r="L124" s="141"/>
    </row>
    <row r="125" spans="1:12" ht="47.25" x14ac:dyDescent="0.25">
      <c r="A125" s="477">
        <v>2</v>
      </c>
      <c r="B125" s="295" t="s">
        <v>205</v>
      </c>
      <c r="C125" s="180" t="s">
        <v>161</v>
      </c>
      <c r="D125" s="293"/>
      <c r="E125" s="64">
        <f>E122*0.5*0.2</f>
        <v>4.8000000000000007</v>
      </c>
      <c r="F125" s="296"/>
      <c r="G125" s="141"/>
      <c r="H125" s="246"/>
      <c r="I125" s="141"/>
      <c r="J125" s="246"/>
      <c r="K125" s="141"/>
      <c r="L125" s="141"/>
    </row>
    <row r="126" spans="1:12" ht="27" x14ac:dyDescent="0.25">
      <c r="A126" s="478"/>
      <c r="B126" s="215" t="s">
        <v>110</v>
      </c>
      <c r="C126" s="388" t="s">
        <v>24</v>
      </c>
      <c r="D126" s="123">
        <f>18/10</f>
        <v>1.8</v>
      </c>
      <c r="E126" s="294">
        <f>D126*E125</f>
        <v>8.6400000000000023</v>
      </c>
      <c r="F126" s="141"/>
      <c r="G126" s="141"/>
      <c r="H126" s="141"/>
      <c r="I126" s="141"/>
      <c r="J126" s="141"/>
      <c r="K126" s="141"/>
      <c r="L126" s="141"/>
    </row>
    <row r="127" spans="1:12" ht="15.75" x14ac:dyDescent="0.25">
      <c r="A127" s="479"/>
      <c r="B127" s="215" t="s">
        <v>206</v>
      </c>
      <c r="C127" s="388" t="s">
        <v>160</v>
      </c>
      <c r="D127" s="123">
        <v>1.1000000000000001</v>
      </c>
      <c r="E127" s="294">
        <f>E125*D127</f>
        <v>5.2800000000000011</v>
      </c>
      <c r="F127" s="141"/>
      <c r="G127" s="141"/>
      <c r="H127" s="297"/>
      <c r="I127" s="141"/>
      <c r="J127" s="141"/>
      <c r="K127" s="141"/>
      <c r="L127" s="141"/>
    </row>
    <row r="128" spans="1:12" ht="47.25" x14ac:dyDescent="0.25">
      <c r="A128" s="457" t="s">
        <v>57</v>
      </c>
      <c r="B128" s="204" t="s">
        <v>278</v>
      </c>
      <c r="C128" s="180" t="s">
        <v>10</v>
      </c>
      <c r="D128" s="57"/>
      <c r="E128" s="122">
        <f>E122</f>
        <v>48</v>
      </c>
      <c r="F128" s="126"/>
      <c r="G128" s="118"/>
      <c r="H128" s="126"/>
      <c r="I128" s="118"/>
      <c r="J128" s="126"/>
      <c r="K128" s="118"/>
      <c r="L128" s="118"/>
    </row>
    <row r="129" spans="1:12" ht="27" x14ac:dyDescent="0.25">
      <c r="A129" s="458"/>
      <c r="B129" s="215" t="s">
        <v>74</v>
      </c>
      <c r="C129" s="388" t="s">
        <v>75</v>
      </c>
      <c r="D129" s="186">
        <f>117*0.01</f>
        <v>1.17</v>
      </c>
      <c r="E129" s="123">
        <f>E128*D129</f>
        <v>56.16</v>
      </c>
      <c r="F129" s="141"/>
      <c r="G129" s="118"/>
      <c r="H129" s="141"/>
      <c r="I129" s="118"/>
      <c r="J129" s="141"/>
      <c r="K129" s="118"/>
      <c r="L129" s="118"/>
    </row>
    <row r="130" spans="1:12" ht="15.75" x14ac:dyDescent="0.25">
      <c r="A130" s="458"/>
      <c r="B130" s="215" t="s">
        <v>79</v>
      </c>
      <c r="C130" s="388" t="s">
        <v>76</v>
      </c>
      <c r="D130" s="186">
        <f>1.72*0.01</f>
        <v>1.72E-2</v>
      </c>
      <c r="E130" s="123">
        <f>E128*D130</f>
        <v>0.8256</v>
      </c>
      <c r="F130" s="141"/>
      <c r="G130" s="118"/>
      <c r="H130" s="141"/>
      <c r="I130" s="118"/>
      <c r="J130" s="141"/>
      <c r="K130" s="118"/>
      <c r="L130" s="118"/>
    </row>
    <row r="131" spans="1:12" ht="31.5" x14ac:dyDescent="0.25">
      <c r="A131" s="458"/>
      <c r="B131" s="215" t="s">
        <v>279</v>
      </c>
      <c r="C131" s="388" t="s">
        <v>39</v>
      </c>
      <c r="D131" s="186">
        <v>1</v>
      </c>
      <c r="E131" s="123">
        <f>E128*D131</f>
        <v>48</v>
      </c>
      <c r="F131" s="141"/>
      <c r="G131" s="118"/>
      <c r="H131" s="141"/>
      <c r="I131" s="118"/>
      <c r="J131" s="141"/>
      <c r="K131" s="118"/>
      <c r="L131" s="118"/>
    </row>
    <row r="132" spans="1:12" ht="31.5" x14ac:dyDescent="0.25">
      <c r="A132" s="458"/>
      <c r="B132" s="215" t="s">
        <v>88</v>
      </c>
      <c r="C132" s="388" t="s">
        <v>21</v>
      </c>
      <c r="D132" s="186">
        <v>0.152</v>
      </c>
      <c r="E132" s="123">
        <f>E128*D132</f>
        <v>7.2959999999999994</v>
      </c>
      <c r="F132" s="141"/>
      <c r="G132" s="118"/>
      <c r="H132" s="141"/>
      <c r="I132" s="118"/>
      <c r="J132" s="141"/>
      <c r="K132" s="118"/>
      <c r="L132" s="118"/>
    </row>
    <row r="133" spans="1:12" ht="15.75" x14ac:dyDescent="0.25">
      <c r="A133" s="459"/>
      <c r="B133" s="215" t="s">
        <v>77</v>
      </c>
      <c r="C133" s="388" t="s">
        <v>76</v>
      </c>
      <c r="D133" s="186">
        <f>3.93*0.01</f>
        <v>3.9300000000000002E-2</v>
      </c>
      <c r="E133" s="123">
        <f>E128*D133</f>
        <v>1.8864000000000001</v>
      </c>
      <c r="F133" s="141"/>
      <c r="G133" s="118"/>
      <c r="H133" s="141"/>
      <c r="I133" s="118"/>
      <c r="J133" s="141"/>
      <c r="K133" s="118"/>
      <c r="L133" s="118"/>
    </row>
    <row r="134" spans="1:12" ht="15.75" x14ac:dyDescent="0.25">
      <c r="A134" s="477" t="s">
        <v>141</v>
      </c>
      <c r="B134" s="204" t="s">
        <v>207</v>
      </c>
      <c r="C134" s="388" t="s">
        <v>15</v>
      </c>
      <c r="D134" s="123"/>
      <c r="E134" s="64">
        <f>E122*0.5*0.8</f>
        <v>19.200000000000003</v>
      </c>
      <c r="F134" s="141"/>
      <c r="G134" s="141"/>
      <c r="H134" s="141"/>
      <c r="I134" s="141"/>
      <c r="J134" s="141"/>
      <c r="K134" s="141"/>
      <c r="L134" s="141"/>
    </row>
    <row r="135" spans="1:12" ht="27" x14ac:dyDescent="0.25">
      <c r="A135" s="479"/>
      <c r="B135" s="215" t="s">
        <v>74</v>
      </c>
      <c r="C135" s="388" t="s">
        <v>75</v>
      </c>
      <c r="D135" s="123">
        <v>1.21</v>
      </c>
      <c r="E135" s="294">
        <f>E134*D135</f>
        <v>23.232000000000003</v>
      </c>
      <c r="F135" s="141"/>
      <c r="G135" s="141"/>
      <c r="H135" s="141"/>
      <c r="I135" s="141"/>
      <c r="J135" s="141"/>
      <c r="K135" s="141"/>
      <c r="L135" s="141"/>
    </row>
    <row r="136" spans="1:12" ht="27" x14ac:dyDescent="0.25">
      <c r="A136" s="457" t="s">
        <v>34</v>
      </c>
      <c r="B136" s="300" t="s">
        <v>155</v>
      </c>
      <c r="C136" s="102" t="s">
        <v>121</v>
      </c>
      <c r="D136" s="301"/>
      <c r="E136" s="64">
        <f>E122*0.5*0.2*1.65</f>
        <v>7.9200000000000008</v>
      </c>
      <c r="F136" s="187"/>
      <c r="G136" s="40"/>
      <c r="H136" s="187"/>
      <c r="I136" s="40"/>
      <c r="J136" s="187"/>
      <c r="K136" s="40"/>
      <c r="L136" s="40"/>
    </row>
    <row r="137" spans="1:12" ht="25.5" x14ac:dyDescent="0.25">
      <c r="A137" s="459"/>
      <c r="B137" s="78" t="s">
        <v>28</v>
      </c>
      <c r="C137" s="99" t="s">
        <v>24</v>
      </c>
      <c r="D137" s="302">
        <v>0.53</v>
      </c>
      <c r="E137" s="303">
        <f>E136*D137</f>
        <v>4.1976000000000004</v>
      </c>
      <c r="F137" s="187"/>
      <c r="G137" s="40"/>
      <c r="H137" s="187"/>
      <c r="I137" s="40"/>
      <c r="J137" s="187"/>
      <c r="K137" s="40"/>
      <c r="L137" s="40"/>
    </row>
    <row r="138" spans="1:12" ht="40.5" x14ac:dyDescent="0.25">
      <c r="A138" s="412" t="s">
        <v>136</v>
      </c>
      <c r="B138" s="304" t="s">
        <v>150</v>
      </c>
      <c r="C138" s="116" t="s">
        <v>18</v>
      </c>
      <c r="D138" s="305"/>
      <c r="E138" s="64">
        <f>E136</f>
        <v>7.9200000000000008</v>
      </c>
      <c r="F138" s="187"/>
      <c r="G138" s="40"/>
      <c r="H138" s="187"/>
      <c r="I138" s="40"/>
      <c r="J138" s="306"/>
      <c r="K138" s="40"/>
      <c r="L138" s="40"/>
    </row>
    <row r="139" spans="1:12" ht="31.5" x14ac:dyDescent="0.25">
      <c r="A139" s="457" t="s">
        <v>142</v>
      </c>
      <c r="B139" s="204" t="s">
        <v>104</v>
      </c>
      <c r="C139" s="388" t="s">
        <v>105</v>
      </c>
      <c r="D139" s="123"/>
      <c r="E139" s="64">
        <f>E122/100</f>
        <v>0.48</v>
      </c>
      <c r="F139" s="141"/>
      <c r="G139" s="141"/>
      <c r="H139" s="141"/>
      <c r="I139" s="141"/>
      <c r="J139" s="141"/>
      <c r="K139" s="141"/>
      <c r="L139" s="141"/>
    </row>
    <row r="140" spans="1:12" ht="27" x14ac:dyDescent="0.25">
      <c r="A140" s="458"/>
      <c r="B140" s="215" t="s">
        <v>74</v>
      </c>
      <c r="C140" s="388" t="s">
        <v>75</v>
      </c>
      <c r="D140" s="123">
        <v>5.16</v>
      </c>
      <c r="E140" s="294">
        <f>E139*D140</f>
        <v>2.4767999999999999</v>
      </c>
      <c r="F140" s="141"/>
      <c r="G140" s="141"/>
      <c r="H140" s="141"/>
      <c r="I140" s="141"/>
      <c r="J140" s="141"/>
      <c r="K140" s="141"/>
      <c r="L140" s="141"/>
    </row>
    <row r="141" spans="1:12" ht="15.75" x14ac:dyDescent="0.25">
      <c r="A141" s="458"/>
      <c r="B141" s="215" t="s">
        <v>106</v>
      </c>
      <c r="C141" s="388" t="s">
        <v>15</v>
      </c>
      <c r="D141" s="123">
        <v>1</v>
      </c>
      <c r="E141" s="294">
        <f>E139*D141</f>
        <v>0.48</v>
      </c>
      <c r="F141" s="141"/>
      <c r="G141" s="141"/>
      <c r="H141" s="141"/>
      <c r="I141" s="141"/>
      <c r="J141" s="141"/>
      <c r="K141" s="141"/>
      <c r="L141" s="141"/>
    </row>
    <row r="142" spans="1:12" ht="15.75" x14ac:dyDescent="0.25">
      <c r="A142" s="459"/>
      <c r="B142" s="215" t="s">
        <v>27</v>
      </c>
      <c r="C142" s="388" t="s">
        <v>20</v>
      </c>
      <c r="D142" s="123">
        <v>0.11</v>
      </c>
      <c r="E142" s="294">
        <f>E139*D142</f>
        <v>5.28E-2</v>
      </c>
      <c r="F142" s="141"/>
      <c r="G142" s="141"/>
      <c r="H142" s="141"/>
      <c r="I142" s="141"/>
      <c r="J142" s="141"/>
      <c r="K142" s="141"/>
      <c r="L142" s="141"/>
    </row>
    <row r="143" spans="1:12" ht="27" x14ac:dyDescent="0.25">
      <c r="A143" s="317" t="s">
        <v>35</v>
      </c>
      <c r="B143" s="53" t="s">
        <v>309</v>
      </c>
      <c r="C143" s="101" t="s">
        <v>52</v>
      </c>
      <c r="D143" s="318"/>
      <c r="E143" s="319">
        <v>1</v>
      </c>
      <c r="F143" s="320"/>
      <c r="G143" s="40"/>
      <c r="H143" s="187"/>
      <c r="I143" s="40"/>
      <c r="J143" s="187"/>
      <c r="K143" s="40"/>
      <c r="L143" s="174"/>
    </row>
    <row r="144" spans="1:12" ht="40.5" x14ac:dyDescent="0.25">
      <c r="A144" s="477" t="s">
        <v>244</v>
      </c>
      <c r="B144" s="128" t="s">
        <v>221</v>
      </c>
      <c r="C144" s="111" t="s">
        <v>15</v>
      </c>
      <c r="D144" s="321"/>
      <c r="E144" s="64">
        <f>3.14*0.65*0.65*1.2*E143</f>
        <v>1.5919800000000004</v>
      </c>
      <c r="F144" s="322"/>
      <c r="G144" s="40"/>
      <c r="H144" s="322"/>
      <c r="I144" s="40"/>
      <c r="J144" s="322"/>
      <c r="K144" s="40"/>
      <c r="L144" s="174"/>
    </row>
    <row r="145" spans="1:12" x14ac:dyDescent="0.25">
      <c r="A145" s="479"/>
      <c r="B145" s="109" t="s">
        <v>22</v>
      </c>
      <c r="C145" s="111" t="s">
        <v>222</v>
      </c>
      <c r="D145" s="323">
        <v>3.88</v>
      </c>
      <c r="E145" s="324">
        <f>D145*E144</f>
        <v>6.1768824000000011</v>
      </c>
      <c r="F145" s="322"/>
      <c r="G145" s="40"/>
      <c r="H145" s="322"/>
      <c r="I145" s="40"/>
      <c r="J145" s="322"/>
      <c r="K145" s="40"/>
      <c r="L145" s="174"/>
    </row>
    <row r="146" spans="1:12" ht="47.25" x14ac:dyDescent="0.25">
      <c r="A146" s="416">
        <v>8.1999999999999993</v>
      </c>
      <c r="B146" s="332" t="s">
        <v>232</v>
      </c>
      <c r="C146" s="333" t="s">
        <v>14</v>
      </c>
      <c r="D146" s="123"/>
      <c r="E146" s="64">
        <f>E143</f>
        <v>1</v>
      </c>
      <c r="F146" s="141"/>
      <c r="G146" s="141"/>
      <c r="H146" s="141"/>
      <c r="I146" s="141"/>
      <c r="J146" s="141"/>
      <c r="K146" s="141"/>
      <c r="L146" s="141"/>
    </row>
    <row r="147" spans="1:12" ht="31.5" x14ac:dyDescent="0.25">
      <c r="A147" s="417"/>
      <c r="B147" s="334" t="s">
        <v>22</v>
      </c>
      <c r="C147" s="333" t="s">
        <v>24</v>
      </c>
      <c r="D147" s="123">
        <v>17.2</v>
      </c>
      <c r="E147" s="123">
        <f>E146*D147</f>
        <v>17.2</v>
      </c>
      <c r="F147" s="141"/>
      <c r="G147" s="141"/>
      <c r="H147" s="141"/>
      <c r="I147" s="141"/>
      <c r="J147" s="141"/>
      <c r="K147" s="141"/>
      <c r="L147" s="141"/>
    </row>
    <row r="148" spans="1:12" ht="31.5" x14ac:dyDescent="0.25">
      <c r="A148" s="417"/>
      <c r="B148" s="334" t="s">
        <v>83</v>
      </c>
      <c r="C148" s="333" t="s">
        <v>20</v>
      </c>
      <c r="D148" s="123">
        <v>8.66</v>
      </c>
      <c r="E148" s="123">
        <f>E146*D148</f>
        <v>8.66</v>
      </c>
      <c r="F148" s="335"/>
      <c r="G148" s="335"/>
      <c r="H148" s="141"/>
      <c r="I148" s="141"/>
      <c r="J148" s="141"/>
      <c r="K148" s="141"/>
      <c r="L148" s="141"/>
    </row>
    <row r="149" spans="1:12" ht="31.5" x14ac:dyDescent="0.25">
      <c r="A149" s="417"/>
      <c r="B149" s="334" t="s">
        <v>230</v>
      </c>
      <c r="C149" s="333" t="s">
        <v>14</v>
      </c>
      <c r="D149" s="123">
        <v>1</v>
      </c>
      <c r="E149" s="123">
        <f>E146*D149</f>
        <v>1</v>
      </c>
      <c r="F149" s="141"/>
      <c r="G149" s="141"/>
      <c r="H149" s="141"/>
      <c r="I149" s="141"/>
      <c r="J149" s="141"/>
      <c r="K149" s="141"/>
      <c r="L149" s="141"/>
    </row>
    <row r="150" spans="1:12" ht="31.5" x14ac:dyDescent="0.25">
      <c r="A150" s="417"/>
      <c r="B150" s="334" t="s">
        <v>233</v>
      </c>
      <c r="C150" s="333" t="s">
        <v>14</v>
      </c>
      <c r="D150" s="123">
        <v>1</v>
      </c>
      <c r="E150" s="123">
        <f>E146*D150</f>
        <v>1</v>
      </c>
      <c r="F150" s="141"/>
      <c r="G150" s="141"/>
      <c r="H150" s="141"/>
      <c r="I150" s="141"/>
      <c r="J150" s="141"/>
      <c r="K150" s="141"/>
      <c r="L150" s="141"/>
    </row>
    <row r="151" spans="1:12" ht="31.5" x14ac:dyDescent="0.25">
      <c r="A151" s="417"/>
      <c r="B151" s="334" t="s">
        <v>235</v>
      </c>
      <c r="C151" s="333" t="s">
        <v>52</v>
      </c>
      <c r="D151" s="123">
        <v>1</v>
      </c>
      <c r="E151" s="123">
        <f>E146*D151</f>
        <v>1</v>
      </c>
      <c r="F151" s="141"/>
      <c r="G151" s="141"/>
      <c r="H151" s="141"/>
      <c r="I151" s="141"/>
      <c r="J151" s="141"/>
      <c r="K151" s="141"/>
      <c r="L151" s="141"/>
    </row>
    <row r="152" spans="1:12" ht="15.75" x14ac:dyDescent="0.25">
      <c r="A152" s="417"/>
      <c r="B152" s="334" t="s">
        <v>234</v>
      </c>
      <c r="C152" s="333" t="s">
        <v>64</v>
      </c>
      <c r="D152" s="123">
        <f>0.258+0.117</f>
        <v>0.375</v>
      </c>
      <c r="E152" s="123">
        <f>E146*D152</f>
        <v>0.375</v>
      </c>
      <c r="F152" s="141"/>
      <c r="G152" s="141"/>
      <c r="H152" s="141"/>
      <c r="I152" s="141"/>
      <c r="J152" s="141"/>
      <c r="K152" s="141"/>
      <c r="L152" s="141"/>
    </row>
    <row r="153" spans="1:12" ht="15.75" x14ac:dyDescent="0.25">
      <c r="A153" s="417"/>
      <c r="B153" s="334" t="s">
        <v>231</v>
      </c>
      <c r="C153" s="333" t="s">
        <v>17</v>
      </c>
      <c r="D153" s="123">
        <v>61</v>
      </c>
      <c r="E153" s="123">
        <f>E146*D153</f>
        <v>61</v>
      </c>
      <c r="F153" s="336"/>
      <c r="G153" s="141"/>
      <c r="H153" s="141"/>
      <c r="I153" s="141"/>
      <c r="J153" s="141"/>
      <c r="K153" s="141"/>
      <c r="L153" s="141"/>
    </row>
    <row r="154" spans="1:12" ht="15.75" x14ac:dyDescent="0.25">
      <c r="A154" s="417"/>
      <c r="B154" s="334" t="s">
        <v>129</v>
      </c>
      <c r="C154" s="333" t="s">
        <v>17</v>
      </c>
      <c r="D154" s="123">
        <v>5.0599999999999996</v>
      </c>
      <c r="E154" s="123">
        <f>E146*D154</f>
        <v>5.0599999999999996</v>
      </c>
      <c r="F154" s="336"/>
      <c r="G154" s="141"/>
      <c r="H154" s="141"/>
      <c r="I154" s="141"/>
      <c r="J154" s="141"/>
      <c r="K154" s="141"/>
      <c r="L154" s="141"/>
    </row>
    <row r="155" spans="1:12" ht="31.5" x14ac:dyDescent="0.25">
      <c r="A155" s="418"/>
      <c r="B155" s="334" t="s">
        <v>27</v>
      </c>
      <c r="C155" s="333" t="s">
        <v>20</v>
      </c>
      <c r="D155" s="123">
        <v>7.39</v>
      </c>
      <c r="E155" s="123">
        <f>E146*D155</f>
        <v>7.39</v>
      </c>
      <c r="F155" s="141"/>
      <c r="G155" s="141"/>
      <c r="H155" s="141"/>
      <c r="I155" s="141"/>
      <c r="J155" s="141"/>
      <c r="K155" s="141"/>
      <c r="L155" s="141"/>
    </row>
    <row r="156" spans="1:12" ht="40.5" x14ac:dyDescent="0.25">
      <c r="A156" s="484">
        <v>8.3000000000000007</v>
      </c>
      <c r="B156" s="338" t="s">
        <v>308</v>
      </c>
      <c r="C156" s="394" t="s">
        <v>16</v>
      </c>
      <c r="D156" s="395"/>
      <c r="E156" s="396">
        <f>3.14*1.3*1*E143</f>
        <v>4.0820000000000007</v>
      </c>
      <c r="F156" s="309"/>
      <c r="G156" s="118"/>
      <c r="H156" s="402"/>
      <c r="I156" s="118"/>
      <c r="J156" s="402"/>
      <c r="K156" s="118"/>
      <c r="L156" s="386"/>
    </row>
    <row r="157" spans="1:12" ht="27" x14ac:dyDescent="0.25">
      <c r="A157" s="485"/>
      <c r="B157" s="398" t="s">
        <v>28</v>
      </c>
      <c r="C157" s="394" t="s">
        <v>24</v>
      </c>
      <c r="D157" s="395">
        <v>0.33600000000000002</v>
      </c>
      <c r="E157" s="395">
        <f>E156*D157</f>
        <v>1.3715520000000003</v>
      </c>
      <c r="F157" s="401"/>
      <c r="G157" s="118"/>
      <c r="H157" s="402"/>
      <c r="I157" s="118"/>
      <c r="J157" s="402"/>
      <c r="K157" s="118"/>
      <c r="L157" s="386"/>
    </row>
    <row r="158" spans="1:12" ht="16.5" x14ac:dyDescent="0.25">
      <c r="A158" s="485"/>
      <c r="B158" s="398" t="s">
        <v>23</v>
      </c>
      <c r="C158" s="394" t="s">
        <v>20</v>
      </c>
      <c r="D158" s="395">
        <v>1.4999999999999999E-2</v>
      </c>
      <c r="E158" s="395">
        <f>E156*D158</f>
        <v>6.1230000000000007E-2</v>
      </c>
      <c r="F158" s="402"/>
      <c r="G158" s="118"/>
      <c r="H158" s="402"/>
      <c r="I158" s="118"/>
      <c r="J158" s="402"/>
      <c r="K158" s="118"/>
      <c r="L158" s="386"/>
    </row>
    <row r="159" spans="1:12" ht="16.5" x14ac:dyDescent="0.25">
      <c r="A159" s="485"/>
      <c r="B159" s="398" t="s">
        <v>226</v>
      </c>
      <c r="C159" s="394" t="s">
        <v>17</v>
      </c>
      <c r="D159" s="395">
        <v>2.4</v>
      </c>
      <c r="E159" s="395">
        <f>E156*D159</f>
        <v>9.7968000000000011</v>
      </c>
      <c r="F159" s="309"/>
      <c r="G159" s="118"/>
      <c r="H159" s="402"/>
      <c r="I159" s="118"/>
      <c r="J159" s="402"/>
      <c r="K159" s="118"/>
      <c r="L159" s="386"/>
    </row>
    <row r="160" spans="1:12" ht="16.5" x14ac:dyDescent="0.25">
      <c r="A160" s="486"/>
      <c r="B160" s="398" t="s">
        <v>32</v>
      </c>
      <c r="C160" s="394" t="s">
        <v>20</v>
      </c>
      <c r="D160" s="395">
        <v>2.2800000000000001E-2</v>
      </c>
      <c r="E160" s="395">
        <f>E156*D160</f>
        <v>9.3069600000000016E-2</v>
      </c>
      <c r="F160" s="402"/>
      <c r="G160" s="118"/>
      <c r="H160" s="402"/>
      <c r="I160" s="118"/>
      <c r="J160" s="402"/>
      <c r="K160" s="118"/>
      <c r="L160" s="386"/>
    </row>
    <row r="161" spans="1:12" x14ac:dyDescent="0.25">
      <c r="A161" s="389"/>
      <c r="B161" s="399"/>
      <c r="C161" s="111"/>
      <c r="D161" s="321"/>
      <c r="E161" s="93"/>
      <c r="F161" s="327"/>
      <c r="G161" s="40"/>
      <c r="H161" s="327"/>
      <c r="I161" s="40"/>
      <c r="J161" s="327"/>
      <c r="K161" s="40"/>
      <c r="L161" s="174"/>
    </row>
    <row r="162" spans="1:12" ht="27" x14ac:dyDescent="0.25">
      <c r="A162" s="483" t="s">
        <v>313</v>
      </c>
      <c r="B162" s="338" t="s">
        <v>227</v>
      </c>
      <c r="C162" s="100" t="s">
        <v>18</v>
      </c>
      <c r="D162" s="329"/>
      <c r="E162" s="64">
        <f>E144*1.65</f>
        <v>2.6267670000000005</v>
      </c>
      <c r="F162" s="306"/>
      <c r="G162" s="40"/>
      <c r="H162" s="306"/>
      <c r="I162" s="40"/>
      <c r="J162" s="306"/>
      <c r="K162" s="40"/>
      <c r="L162" s="174"/>
    </row>
    <row r="163" spans="1:12" x14ac:dyDescent="0.25">
      <c r="A163" s="483"/>
      <c r="B163" s="339"/>
      <c r="C163" s="100" t="s">
        <v>15</v>
      </c>
      <c r="D163" s="329"/>
      <c r="E163" s="64">
        <f>E144</f>
        <v>1.5919800000000004</v>
      </c>
      <c r="F163" s="306"/>
      <c r="G163" s="40"/>
      <c r="H163" s="306"/>
      <c r="I163" s="40"/>
      <c r="J163" s="306"/>
      <c r="K163" s="40"/>
      <c r="L163" s="174"/>
    </row>
    <row r="164" spans="1:12" ht="25.5" x14ac:dyDescent="0.25">
      <c r="A164" s="483"/>
      <c r="B164" s="340" t="s">
        <v>33</v>
      </c>
      <c r="C164" s="330" t="s">
        <v>24</v>
      </c>
      <c r="D164" s="329">
        <v>0.53</v>
      </c>
      <c r="E164" s="331">
        <f>E162*D164</f>
        <v>1.3921865100000004</v>
      </c>
      <c r="F164" s="306"/>
      <c r="G164" s="40"/>
      <c r="H164" s="306"/>
      <c r="I164" s="40"/>
      <c r="J164" s="306"/>
      <c r="K164" s="40"/>
      <c r="L164" s="174"/>
    </row>
    <row r="165" spans="1:12" x14ac:dyDescent="0.25">
      <c r="A165" s="483"/>
      <c r="B165" s="130" t="s">
        <v>310</v>
      </c>
      <c r="C165" s="100" t="s">
        <v>18</v>
      </c>
      <c r="D165" s="329"/>
      <c r="E165" s="64">
        <f>E162</f>
        <v>2.6267670000000005</v>
      </c>
      <c r="F165" s="306"/>
      <c r="G165" s="40"/>
      <c r="H165" s="306"/>
      <c r="I165" s="40"/>
      <c r="J165" s="306"/>
      <c r="K165" s="40"/>
      <c r="L165" s="174"/>
    </row>
    <row r="166" spans="1:12" ht="15.75" x14ac:dyDescent="0.25">
      <c r="A166" s="387"/>
      <c r="B166" s="215"/>
      <c r="C166" s="388"/>
      <c r="D166" s="123"/>
      <c r="E166" s="294"/>
      <c r="F166" s="141"/>
      <c r="G166" s="141"/>
      <c r="H166" s="141"/>
      <c r="I166" s="141"/>
      <c r="J166" s="141"/>
      <c r="K166" s="141"/>
      <c r="L166" s="141"/>
    </row>
    <row r="167" spans="1:12" ht="47.25" x14ac:dyDescent="0.25">
      <c r="A167" s="477" t="s">
        <v>51</v>
      </c>
      <c r="B167" s="204" t="s">
        <v>208</v>
      </c>
      <c r="C167" s="25" t="s">
        <v>61</v>
      </c>
      <c r="D167" s="307"/>
      <c r="E167" s="64">
        <v>1</v>
      </c>
      <c r="F167" s="296"/>
      <c r="G167" s="141"/>
      <c r="H167" s="246"/>
      <c r="I167" s="141"/>
      <c r="J167" s="246"/>
      <c r="K167" s="141"/>
      <c r="L167" s="141"/>
    </row>
    <row r="168" spans="1:12" ht="27" x14ac:dyDescent="0.25">
      <c r="A168" s="478"/>
      <c r="B168" s="215" t="s">
        <v>22</v>
      </c>
      <c r="C168" s="388" t="s">
        <v>24</v>
      </c>
      <c r="D168" s="123">
        <v>3.15</v>
      </c>
      <c r="E168" s="294">
        <f>E167*D168</f>
        <v>3.15</v>
      </c>
      <c r="F168" s="246"/>
      <c r="G168" s="141"/>
      <c r="H168" s="246"/>
      <c r="I168" s="141"/>
      <c r="J168" s="246"/>
      <c r="K168" s="141"/>
      <c r="L168" s="141"/>
    </row>
    <row r="169" spans="1:12" ht="15.75" x14ac:dyDescent="0.25">
      <c r="A169" s="478"/>
      <c r="B169" s="308" t="s">
        <v>23</v>
      </c>
      <c r="C169" s="390" t="s">
        <v>20</v>
      </c>
      <c r="D169" s="309">
        <v>0.84</v>
      </c>
      <c r="E169" s="310">
        <f>E167*D169</f>
        <v>0.84</v>
      </c>
      <c r="F169" s="246"/>
      <c r="G169" s="141"/>
      <c r="H169" s="246"/>
      <c r="I169" s="141"/>
      <c r="J169" s="246"/>
      <c r="K169" s="141"/>
      <c r="L169" s="141"/>
    </row>
    <row r="170" spans="1:12" ht="15.75" x14ac:dyDescent="0.25">
      <c r="A170" s="478"/>
      <c r="B170" s="308" t="s">
        <v>209</v>
      </c>
      <c r="C170" s="390" t="s">
        <v>102</v>
      </c>
      <c r="D170" s="309">
        <v>20</v>
      </c>
      <c r="E170" s="311">
        <f>D170*E167</f>
        <v>20</v>
      </c>
      <c r="F170" s="246"/>
      <c r="G170" s="141"/>
      <c r="H170" s="246"/>
      <c r="I170" s="141"/>
      <c r="J170" s="246"/>
      <c r="K170" s="141"/>
      <c r="L170" s="141"/>
    </row>
    <row r="171" spans="1:12" ht="15.75" x14ac:dyDescent="0.25">
      <c r="A171" s="479"/>
      <c r="B171" s="308" t="s">
        <v>32</v>
      </c>
      <c r="C171" s="390" t="s">
        <v>20</v>
      </c>
      <c r="D171" s="309">
        <v>0.47</v>
      </c>
      <c r="E171" s="310">
        <f>E167*D171</f>
        <v>0.47</v>
      </c>
      <c r="F171" s="246"/>
      <c r="G171" s="141"/>
      <c r="H171" s="246"/>
      <c r="I171" s="141"/>
      <c r="J171" s="246"/>
      <c r="K171" s="141"/>
      <c r="L171" s="141"/>
    </row>
    <row r="172" spans="1:12" ht="15.75" x14ac:dyDescent="0.25">
      <c r="A172" s="391"/>
      <c r="B172" s="334"/>
      <c r="C172" s="333"/>
      <c r="D172" s="123"/>
      <c r="E172" s="123"/>
      <c r="F172" s="141"/>
      <c r="G172" s="141"/>
      <c r="H172" s="141"/>
      <c r="I172" s="141"/>
      <c r="J172" s="141"/>
      <c r="K172" s="141"/>
      <c r="L172" s="393"/>
    </row>
    <row r="173" spans="1:12" ht="31.5" x14ac:dyDescent="0.25">
      <c r="A173" s="492" t="s">
        <v>216</v>
      </c>
      <c r="B173" s="233" t="s">
        <v>253</v>
      </c>
      <c r="C173" s="29" t="s">
        <v>10</v>
      </c>
      <c r="D173" s="249"/>
      <c r="E173" s="292">
        <v>45</v>
      </c>
      <c r="F173" s="312"/>
      <c r="G173" s="141"/>
      <c r="H173" s="246"/>
      <c r="I173" s="141"/>
      <c r="J173" s="246"/>
      <c r="K173" s="141"/>
      <c r="L173" s="141"/>
    </row>
    <row r="174" spans="1:12" ht="15.75" x14ac:dyDescent="0.25">
      <c r="A174" s="493"/>
      <c r="B174" s="233" t="s">
        <v>254</v>
      </c>
      <c r="C174" s="29" t="s">
        <v>10</v>
      </c>
      <c r="D174" s="346"/>
      <c r="E174" s="292">
        <v>30</v>
      </c>
      <c r="F174" s="312"/>
      <c r="G174" s="141"/>
      <c r="H174" s="315"/>
      <c r="I174" s="141"/>
      <c r="J174" s="315"/>
      <c r="K174" s="141"/>
      <c r="L174" s="141"/>
    </row>
    <row r="175" spans="1:12" ht="31.5" x14ac:dyDescent="0.25">
      <c r="A175" s="477">
        <v>1</v>
      </c>
      <c r="B175" s="313" t="s">
        <v>210</v>
      </c>
      <c r="C175" s="25" t="s">
        <v>161</v>
      </c>
      <c r="D175" s="314"/>
      <c r="E175" s="64">
        <f>E174*0.7*1</f>
        <v>21</v>
      </c>
      <c r="F175" s="312"/>
      <c r="G175" s="141"/>
      <c r="H175" s="312"/>
      <c r="I175" s="141"/>
      <c r="J175" s="312"/>
      <c r="K175" s="141"/>
      <c r="L175" s="141"/>
    </row>
    <row r="176" spans="1:12" ht="15.75" x14ac:dyDescent="0.25">
      <c r="A176" s="479"/>
      <c r="B176" s="308" t="s">
        <v>22</v>
      </c>
      <c r="C176" s="115" t="s">
        <v>160</v>
      </c>
      <c r="D176" s="314">
        <v>2.06</v>
      </c>
      <c r="E176" s="311">
        <f>D176*E175</f>
        <v>43.26</v>
      </c>
      <c r="F176" s="315"/>
      <c r="G176" s="141"/>
      <c r="H176" s="315"/>
      <c r="I176" s="141"/>
      <c r="J176" s="246"/>
      <c r="K176" s="141"/>
      <c r="L176" s="141"/>
    </row>
    <row r="177" spans="1:12" ht="31.5" x14ac:dyDescent="0.25">
      <c r="A177" s="483">
        <v>2</v>
      </c>
      <c r="B177" s="295" t="s">
        <v>211</v>
      </c>
      <c r="C177" s="180" t="s">
        <v>161</v>
      </c>
      <c r="D177" s="293"/>
      <c r="E177" s="64">
        <f>0.7*0.4*E174-3.14*0.1*0.1*E174</f>
        <v>7.4579999999999984</v>
      </c>
      <c r="F177" s="315"/>
      <c r="G177" s="141"/>
      <c r="H177" s="315"/>
      <c r="I177" s="141"/>
      <c r="J177" s="246"/>
      <c r="K177" s="141"/>
      <c r="L177" s="141"/>
    </row>
    <row r="178" spans="1:12" ht="27" x14ac:dyDescent="0.25">
      <c r="A178" s="483"/>
      <c r="B178" s="215" t="s">
        <v>110</v>
      </c>
      <c r="C178" s="280" t="s">
        <v>24</v>
      </c>
      <c r="D178" s="123">
        <f>18/10</f>
        <v>1.8</v>
      </c>
      <c r="E178" s="294">
        <f>D178*E177</f>
        <v>13.424399999999997</v>
      </c>
      <c r="F178" s="315"/>
      <c r="G178" s="141"/>
      <c r="H178" s="315"/>
      <c r="I178" s="141"/>
      <c r="J178" s="246"/>
      <c r="K178" s="141"/>
      <c r="L178" s="141"/>
    </row>
    <row r="179" spans="1:12" ht="15.75" x14ac:dyDescent="0.25">
      <c r="A179" s="483"/>
      <c r="B179" s="215" t="s">
        <v>206</v>
      </c>
      <c r="C179" s="280" t="s">
        <v>160</v>
      </c>
      <c r="D179" s="123">
        <v>1.1499999999999999</v>
      </c>
      <c r="E179" s="294">
        <f>E177*D179</f>
        <v>8.5766999999999971</v>
      </c>
      <c r="F179" s="315"/>
      <c r="G179" s="141"/>
      <c r="H179" s="315"/>
      <c r="I179" s="141"/>
      <c r="J179" s="246"/>
      <c r="K179" s="141"/>
      <c r="L179" s="141"/>
    </row>
    <row r="180" spans="1:12" ht="47.25" x14ac:dyDescent="0.25">
      <c r="A180" s="477">
        <v>3</v>
      </c>
      <c r="B180" s="295" t="s">
        <v>255</v>
      </c>
      <c r="C180" s="25" t="s">
        <v>10</v>
      </c>
      <c r="D180" s="307"/>
      <c r="E180" s="400">
        <f>E173</f>
        <v>45</v>
      </c>
      <c r="F180" s="296"/>
      <c r="G180" s="141"/>
      <c r="H180" s="246"/>
      <c r="I180" s="141"/>
      <c r="J180" s="246"/>
      <c r="K180" s="141"/>
      <c r="L180" s="141"/>
    </row>
    <row r="181" spans="1:12" ht="27" x14ac:dyDescent="0.25">
      <c r="A181" s="478"/>
      <c r="B181" s="215" t="s">
        <v>22</v>
      </c>
      <c r="C181" s="280" t="s">
        <v>24</v>
      </c>
      <c r="D181" s="309">
        <f>95.9*0.001</f>
        <v>9.5900000000000013E-2</v>
      </c>
      <c r="E181" s="310">
        <f>E180*D181</f>
        <v>4.315500000000001</v>
      </c>
      <c r="F181" s="246"/>
      <c r="G181" s="141"/>
      <c r="H181" s="246"/>
      <c r="I181" s="141"/>
      <c r="J181" s="246"/>
      <c r="K181" s="141"/>
      <c r="L181" s="141"/>
    </row>
    <row r="182" spans="1:12" ht="15.75" x14ac:dyDescent="0.25">
      <c r="A182" s="478"/>
      <c r="B182" s="308" t="s">
        <v>23</v>
      </c>
      <c r="C182" s="115" t="s">
        <v>20</v>
      </c>
      <c r="D182" s="309">
        <f>45.2/1000</f>
        <v>4.5200000000000004E-2</v>
      </c>
      <c r="E182" s="310">
        <f>E180*D182</f>
        <v>2.0340000000000003</v>
      </c>
      <c r="F182" s="316"/>
      <c r="G182" s="141"/>
      <c r="H182" s="316"/>
      <c r="I182" s="141"/>
      <c r="J182" s="316"/>
      <c r="K182" s="141"/>
      <c r="L182" s="141"/>
    </row>
    <row r="183" spans="1:12" ht="47.25" x14ac:dyDescent="0.25">
      <c r="A183" s="478"/>
      <c r="B183" s="308" t="s">
        <v>304</v>
      </c>
      <c r="C183" s="115" t="str">
        <f>C180</f>
        <v>g/m</v>
      </c>
      <c r="D183" s="309">
        <f>1010*0.001</f>
        <v>1.01</v>
      </c>
      <c r="E183" s="310">
        <f>E180*D183</f>
        <v>45.45</v>
      </c>
      <c r="F183" s="246"/>
      <c r="G183" s="141"/>
      <c r="H183" s="246"/>
      <c r="I183" s="141"/>
      <c r="J183" s="246"/>
      <c r="K183" s="141"/>
      <c r="L183" s="141"/>
    </row>
    <row r="184" spans="1:12" ht="15.75" x14ac:dyDescent="0.25">
      <c r="A184" s="478"/>
      <c r="B184" s="206" t="s">
        <v>303</v>
      </c>
      <c r="C184" s="16" t="s">
        <v>14</v>
      </c>
      <c r="D184" s="309"/>
      <c r="E184" s="310">
        <v>7</v>
      </c>
      <c r="F184" s="246"/>
      <c r="G184" s="141"/>
      <c r="H184" s="246"/>
      <c r="I184" s="141"/>
      <c r="J184" s="246"/>
      <c r="K184" s="141"/>
      <c r="L184" s="141"/>
    </row>
    <row r="185" spans="1:12" ht="15.75" x14ac:dyDescent="0.25">
      <c r="A185" s="479"/>
      <c r="B185" s="308" t="s">
        <v>32</v>
      </c>
      <c r="C185" s="115" t="s">
        <v>20</v>
      </c>
      <c r="D185" s="309">
        <f>0.6*0.001</f>
        <v>5.9999999999999995E-4</v>
      </c>
      <c r="E185" s="310">
        <f>E180*D185</f>
        <v>2.6999999999999996E-2</v>
      </c>
      <c r="F185" s="246"/>
      <c r="G185" s="141"/>
      <c r="H185" s="246"/>
      <c r="I185" s="141"/>
      <c r="J185" s="246"/>
      <c r="K185" s="141"/>
      <c r="L185" s="141"/>
    </row>
    <row r="186" spans="1:12" ht="15.75" x14ac:dyDescent="0.25">
      <c r="A186" s="477" t="s">
        <v>141</v>
      </c>
      <c r="B186" s="204" t="s">
        <v>207</v>
      </c>
      <c r="C186" s="280" t="s">
        <v>15</v>
      </c>
      <c r="D186" s="123"/>
      <c r="E186" s="64">
        <f>E174*0.7*(1-0.4)</f>
        <v>12.6</v>
      </c>
      <c r="F186" s="141"/>
      <c r="G186" s="141"/>
      <c r="H186" s="141"/>
      <c r="I186" s="141"/>
      <c r="J186" s="141"/>
      <c r="K186" s="141"/>
      <c r="L186" s="141"/>
    </row>
    <row r="187" spans="1:12" ht="27" x14ac:dyDescent="0.25">
      <c r="A187" s="479"/>
      <c r="B187" s="215" t="s">
        <v>74</v>
      </c>
      <c r="C187" s="280" t="s">
        <v>75</v>
      </c>
      <c r="D187" s="123">
        <v>1.21</v>
      </c>
      <c r="E187" s="294">
        <f>E186*D187</f>
        <v>15.245999999999999</v>
      </c>
      <c r="F187" s="141"/>
      <c r="G187" s="141"/>
      <c r="H187" s="141"/>
      <c r="I187" s="141"/>
      <c r="J187" s="141"/>
      <c r="K187" s="141"/>
      <c r="L187" s="141"/>
    </row>
    <row r="188" spans="1:12" ht="31.5" x14ac:dyDescent="0.25">
      <c r="A188" s="483" t="s">
        <v>34</v>
      </c>
      <c r="B188" s="298" t="s">
        <v>229</v>
      </c>
      <c r="C188" s="180" t="s">
        <v>161</v>
      </c>
      <c r="D188" s="299"/>
      <c r="E188" s="64">
        <v>0</v>
      </c>
      <c r="F188" s="315"/>
      <c r="G188" s="141"/>
      <c r="H188" s="315"/>
      <c r="I188" s="141"/>
      <c r="J188" s="246"/>
      <c r="K188" s="141"/>
      <c r="L188" s="141"/>
    </row>
    <row r="189" spans="1:12" ht="27" x14ac:dyDescent="0.25">
      <c r="A189" s="483"/>
      <c r="B189" s="215" t="s">
        <v>110</v>
      </c>
      <c r="C189" s="280" t="s">
        <v>24</v>
      </c>
      <c r="D189" s="123">
        <f>17.8/10</f>
        <v>1.78</v>
      </c>
      <c r="E189" s="294">
        <f>D189*E188</f>
        <v>0</v>
      </c>
      <c r="F189" s="315"/>
      <c r="G189" s="141"/>
      <c r="H189" s="315"/>
      <c r="I189" s="141"/>
      <c r="J189" s="246"/>
      <c r="K189" s="141"/>
      <c r="L189" s="141"/>
    </row>
    <row r="190" spans="1:12" ht="15.75" x14ac:dyDescent="0.25">
      <c r="A190" s="483"/>
      <c r="B190" s="215" t="s">
        <v>119</v>
      </c>
      <c r="C190" s="280" t="s">
        <v>160</v>
      </c>
      <c r="D190" s="123">
        <v>1.1000000000000001</v>
      </c>
      <c r="E190" s="294">
        <f>D190*E188</f>
        <v>0</v>
      </c>
      <c r="F190" s="315"/>
      <c r="G190" s="141"/>
      <c r="H190" s="315"/>
      <c r="I190" s="141"/>
      <c r="J190" s="246"/>
      <c r="K190" s="141"/>
      <c r="L190" s="141"/>
    </row>
    <row r="191" spans="1:12" ht="27" x14ac:dyDescent="0.25">
      <c r="A191" s="458" t="s">
        <v>136</v>
      </c>
      <c r="B191" s="300" t="s">
        <v>155</v>
      </c>
      <c r="C191" s="102" t="s">
        <v>121</v>
      </c>
      <c r="D191" s="301"/>
      <c r="E191" s="64">
        <f>E174*0.7*0.4*1.65</f>
        <v>13.86</v>
      </c>
      <c r="F191" s="187"/>
      <c r="G191" s="40"/>
      <c r="H191" s="187"/>
      <c r="I191" s="40"/>
      <c r="J191" s="187"/>
      <c r="K191" s="40"/>
      <c r="L191" s="40"/>
    </row>
    <row r="192" spans="1:12" ht="25.5" x14ac:dyDescent="0.25">
      <c r="A192" s="459"/>
      <c r="B192" s="78" t="s">
        <v>28</v>
      </c>
      <c r="C192" s="99" t="s">
        <v>24</v>
      </c>
      <c r="D192" s="302">
        <v>0.53</v>
      </c>
      <c r="E192" s="303">
        <f>E191*D192</f>
        <v>7.3457999999999997</v>
      </c>
      <c r="F192" s="187"/>
      <c r="G192" s="40"/>
      <c r="H192" s="187"/>
      <c r="I192" s="40"/>
      <c r="J192" s="187"/>
      <c r="K192" s="40"/>
      <c r="L192" s="40"/>
    </row>
    <row r="193" spans="1:12" ht="40.5" x14ac:dyDescent="0.25">
      <c r="A193" s="412" t="s">
        <v>142</v>
      </c>
      <c r="B193" s="304" t="s">
        <v>150</v>
      </c>
      <c r="C193" s="116" t="s">
        <v>18</v>
      </c>
      <c r="D193" s="305"/>
      <c r="E193" s="64">
        <f>E191</f>
        <v>13.86</v>
      </c>
      <c r="F193" s="187"/>
      <c r="G193" s="40"/>
      <c r="H193" s="187"/>
      <c r="I193" s="40"/>
      <c r="J193" s="306"/>
      <c r="K193" s="40"/>
      <c r="L193" s="40"/>
    </row>
    <row r="194" spans="1:12" ht="15.75" x14ac:dyDescent="0.25">
      <c r="A194" s="115"/>
      <c r="B194" s="215"/>
      <c r="C194" s="280"/>
      <c r="D194" s="123"/>
      <c r="E194" s="294"/>
      <c r="F194" s="315"/>
      <c r="G194" s="141"/>
      <c r="H194" s="315"/>
      <c r="I194" s="141"/>
      <c r="J194" s="246"/>
      <c r="K194" s="141"/>
      <c r="L194" s="141"/>
    </row>
    <row r="195" spans="1:12" ht="27" x14ac:dyDescent="0.25">
      <c r="A195" s="317" t="s">
        <v>35</v>
      </c>
      <c r="B195" s="53" t="s">
        <v>228</v>
      </c>
      <c r="C195" s="101" t="s">
        <v>52</v>
      </c>
      <c r="D195" s="318"/>
      <c r="E195" s="319">
        <v>3</v>
      </c>
      <c r="F195" s="320"/>
      <c r="G195" s="40"/>
      <c r="H195" s="187"/>
      <c r="I195" s="40"/>
      <c r="J195" s="187"/>
      <c r="K195" s="40"/>
      <c r="L195" s="174"/>
    </row>
    <row r="196" spans="1:12" ht="40.5" x14ac:dyDescent="0.25">
      <c r="A196" s="477" t="s">
        <v>244</v>
      </c>
      <c r="B196" s="128" t="s">
        <v>221</v>
      </c>
      <c r="C196" s="111" t="s">
        <v>15</v>
      </c>
      <c r="D196" s="321"/>
      <c r="E196" s="64">
        <f>3.14*0.65*0.65*1.2*E195</f>
        <v>4.7759400000000012</v>
      </c>
      <c r="F196" s="322"/>
      <c r="G196" s="40"/>
      <c r="H196" s="322"/>
      <c r="I196" s="40"/>
      <c r="J196" s="322"/>
      <c r="K196" s="40"/>
      <c r="L196" s="174"/>
    </row>
    <row r="197" spans="1:12" x14ac:dyDescent="0.25">
      <c r="A197" s="479"/>
      <c r="B197" s="109" t="s">
        <v>22</v>
      </c>
      <c r="C197" s="111" t="s">
        <v>222</v>
      </c>
      <c r="D197" s="323">
        <v>3.88</v>
      </c>
      <c r="E197" s="324">
        <f>D197*E196</f>
        <v>18.530647200000004</v>
      </c>
      <c r="F197" s="322"/>
      <c r="G197" s="40"/>
      <c r="H197" s="322"/>
      <c r="I197" s="40"/>
      <c r="J197" s="322"/>
      <c r="K197" s="40"/>
      <c r="L197" s="174"/>
    </row>
    <row r="198" spans="1:12" ht="27" x14ac:dyDescent="0.25">
      <c r="A198" s="477" t="s">
        <v>245</v>
      </c>
      <c r="B198" s="337" t="s">
        <v>224</v>
      </c>
      <c r="C198" s="110" t="s">
        <v>61</v>
      </c>
      <c r="D198" s="325"/>
      <c r="E198" s="64">
        <f>E195</f>
        <v>3</v>
      </c>
      <c r="F198" s="326"/>
      <c r="G198" s="40"/>
      <c r="H198" s="327"/>
      <c r="I198" s="40"/>
      <c r="J198" s="327"/>
      <c r="K198" s="40"/>
      <c r="L198" s="174"/>
    </row>
    <row r="199" spans="1:12" ht="25.5" x14ac:dyDescent="0.25">
      <c r="A199" s="478"/>
      <c r="B199" s="109" t="s">
        <v>28</v>
      </c>
      <c r="C199" s="111" t="s">
        <v>24</v>
      </c>
      <c r="D199" s="321">
        <v>14.6</v>
      </c>
      <c r="E199" s="93">
        <f>E198*D199</f>
        <v>43.8</v>
      </c>
      <c r="F199" s="328"/>
      <c r="G199" s="40"/>
      <c r="H199" s="327"/>
      <c r="I199" s="40"/>
      <c r="J199" s="327"/>
      <c r="K199" s="40"/>
      <c r="L199" s="174"/>
    </row>
    <row r="200" spans="1:12" x14ac:dyDescent="0.25">
      <c r="A200" s="478"/>
      <c r="B200" s="109" t="s">
        <v>23</v>
      </c>
      <c r="C200" s="111" t="s">
        <v>20</v>
      </c>
      <c r="D200" s="321">
        <v>5.5</v>
      </c>
      <c r="E200" s="93">
        <f>E198*D200</f>
        <v>16.5</v>
      </c>
      <c r="F200" s="327"/>
      <c r="G200" s="40"/>
      <c r="H200" s="327"/>
      <c r="I200" s="40"/>
      <c r="J200" s="327"/>
      <c r="K200" s="40"/>
      <c r="L200" s="174"/>
    </row>
    <row r="201" spans="1:12" ht="27" x14ac:dyDescent="0.25">
      <c r="A201" s="478"/>
      <c r="B201" s="109" t="s">
        <v>225</v>
      </c>
      <c r="C201" s="111" t="s">
        <v>61</v>
      </c>
      <c r="D201" s="321">
        <v>1</v>
      </c>
      <c r="E201" s="93">
        <f>E198</f>
        <v>3</v>
      </c>
      <c r="F201" s="327"/>
      <c r="G201" s="40"/>
      <c r="H201" s="327"/>
      <c r="I201" s="40"/>
      <c r="J201" s="187"/>
      <c r="K201" s="40"/>
      <c r="L201" s="174"/>
    </row>
    <row r="202" spans="1:12" ht="31.5" x14ac:dyDescent="0.25">
      <c r="A202" s="478"/>
      <c r="B202" s="334" t="s">
        <v>233</v>
      </c>
      <c r="C202" s="111" t="s">
        <v>61</v>
      </c>
      <c r="D202" s="321">
        <v>1</v>
      </c>
      <c r="E202" s="93">
        <f>E198*D202</f>
        <v>3</v>
      </c>
      <c r="F202" s="327"/>
      <c r="G202" s="40"/>
      <c r="H202" s="327"/>
      <c r="I202" s="40"/>
      <c r="J202" s="187"/>
      <c r="K202" s="40"/>
      <c r="L202" s="174"/>
    </row>
    <row r="203" spans="1:12" ht="31.5" x14ac:dyDescent="0.25">
      <c r="A203" s="478"/>
      <c r="B203" s="334" t="s">
        <v>235</v>
      </c>
      <c r="C203" s="111" t="s">
        <v>61</v>
      </c>
      <c r="D203" s="321">
        <v>1</v>
      </c>
      <c r="E203" s="93">
        <f>E198*D203</f>
        <v>3</v>
      </c>
      <c r="F203" s="327"/>
      <c r="G203" s="40"/>
      <c r="H203" s="327"/>
      <c r="I203" s="40"/>
      <c r="J203" s="187"/>
      <c r="K203" s="40"/>
      <c r="L203" s="174"/>
    </row>
    <row r="204" spans="1:12" x14ac:dyDescent="0.25">
      <c r="A204" s="478"/>
      <c r="B204" s="109" t="s">
        <v>236</v>
      </c>
      <c r="C204" s="111" t="s">
        <v>222</v>
      </c>
      <c r="D204" s="321">
        <f>(4.13+1.24)/10</f>
        <v>0.53700000000000003</v>
      </c>
      <c r="E204" s="324">
        <f>E198*D204</f>
        <v>1.6110000000000002</v>
      </c>
      <c r="F204" s="327"/>
      <c r="G204" s="40"/>
      <c r="H204" s="327"/>
      <c r="I204" s="40"/>
      <c r="J204" s="187"/>
      <c r="K204" s="40"/>
      <c r="L204" s="174"/>
    </row>
    <row r="205" spans="1:12" x14ac:dyDescent="0.25">
      <c r="A205" s="478"/>
      <c r="B205" s="109" t="s">
        <v>226</v>
      </c>
      <c r="C205" s="111" t="s">
        <v>18</v>
      </c>
      <c r="D205" s="321">
        <v>7.0000000000000001E-3</v>
      </c>
      <c r="E205" s="324">
        <f>E198*D205</f>
        <v>2.1000000000000001E-2</v>
      </c>
      <c r="F205" s="327"/>
      <c r="G205" s="40"/>
      <c r="H205" s="327"/>
      <c r="I205" s="40"/>
      <c r="J205" s="187"/>
      <c r="K205" s="40"/>
      <c r="L205" s="174"/>
    </row>
    <row r="206" spans="1:12" x14ac:dyDescent="0.25">
      <c r="A206" s="478"/>
      <c r="B206" s="52" t="s">
        <v>129</v>
      </c>
      <c r="C206" s="101" t="s">
        <v>17</v>
      </c>
      <c r="D206" s="321">
        <v>7.85</v>
      </c>
      <c r="E206" s="324">
        <f>E198*D206</f>
        <v>23.549999999999997</v>
      </c>
      <c r="F206" s="327"/>
      <c r="G206" s="40"/>
      <c r="H206" s="327"/>
      <c r="I206" s="40"/>
      <c r="J206" s="187"/>
      <c r="K206" s="40"/>
      <c r="L206" s="174"/>
    </row>
    <row r="207" spans="1:12" x14ac:dyDescent="0.25">
      <c r="A207" s="479"/>
      <c r="B207" s="109" t="s">
        <v>32</v>
      </c>
      <c r="C207" s="111" t="s">
        <v>20</v>
      </c>
      <c r="D207" s="321">
        <v>6.77</v>
      </c>
      <c r="E207" s="93">
        <f>E198*D207</f>
        <v>20.309999999999999</v>
      </c>
      <c r="F207" s="327"/>
      <c r="G207" s="40"/>
      <c r="H207" s="327"/>
      <c r="I207" s="40"/>
      <c r="J207" s="327"/>
      <c r="K207" s="40"/>
      <c r="L207" s="174"/>
    </row>
    <row r="208" spans="1:12" ht="40.5" x14ac:dyDescent="0.25">
      <c r="A208" s="484">
        <v>8.3000000000000007</v>
      </c>
      <c r="B208" s="338" t="s">
        <v>308</v>
      </c>
      <c r="C208" s="394" t="s">
        <v>16</v>
      </c>
      <c r="D208" s="395"/>
      <c r="E208" s="396">
        <f>3.14*1.3*1*E195</f>
        <v>12.246000000000002</v>
      </c>
      <c r="F208" s="395"/>
      <c r="G208" s="118"/>
      <c r="H208" s="397"/>
      <c r="I208" s="118"/>
      <c r="J208" s="397"/>
      <c r="K208" s="118"/>
      <c r="L208" s="386"/>
    </row>
    <row r="209" spans="1:12" ht="27" x14ac:dyDescent="0.25">
      <c r="A209" s="485"/>
      <c r="B209" s="398" t="s">
        <v>28</v>
      </c>
      <c r="C209" s="394" t="s">
        <v>24</v>
      </c>
      <c r="D209" s="395">
        <v>0.33600000000000002</v>
      </c>
      <c r="E209" s="395">
        <f>E208*D209</f>
        <v>4.114656000000001</v>
      </c>
      <c r="F209" s="401"/>
      <c r="G209" s="118"/>
      <c r="H209" s="402"/>
      <c r="I209" s="118"/>
      <c r="J209" s="402"/>
      <c r="K209" s="118"/>
      <c r="L209" s="386"/>
    </row>
    <row r="210" spans="1:12" ht="16.5" x14ac:dyDescent="0.25">
      <c r="A210" s="485"/>
      <c r="B210" s="398" t="s">
        <v>23</v>
      </c>
      <c r="C210" s="394" t="s">
        <v>20</v>
      </c>
      <c r="D210" s="395">
        <v>1.4999999999999999E-2</v>
      </c>
      <c r="E210" s="395">
        <f>E208*D210</f>
        <v>0.18369000000000002</v>
      </c>
      <c r="F210" s="402"/>
      <c r="G210" s="118"/>
      <c r="H210" s="402"/>
      <c r="I210" s="118"/>
      <c r="J210" s="402"/>
      <c r="K210" s="118"/>
      <c r="L210" s="386"/>
    </row>
    <row r="211" spans="1:12" ht="16.5" x14ac:dyDescent="0.25">
      <c r="A211" s="485"/>
      <c r="B211" s="398" t="s">
        <v>226</v>
      </c>
      <c r="C211" s="394" t="s">
        <v>17</v>
      </c>
      <c r="D211" s="395">
        <v>2.4</v>
      </c>
      <c r="E211" s="395">
        <f>E208*D211</f>
        <v>29.390400000000003</v>
      </c>
      <c r="F211" s="309"/>
      <c r="G211" s="118"/>
      <c r="H211" s="402"/>
      <c r="I211" s="118"/>
      <c r="J211" s="402"/>
      <c r="K211" s="118"/>
      <c r="L211" s="386"/>
    </row>
    <row r="212" spans="1:12" ht="16.5" x14ac:dyDescent="0.25">
      <c r="A212" s="486"/>
      <c r="B212" s="398" t="s">
        <v>32</v>
      </c>
      <c r="C212" s="394" t="s">
        <v>20</v>
      </c>
      <c r="D212" s="395">
        <v>2.2800000000000001E-2</v>
      </c>
      <c r="E212" s="395">
        <f>E208*D212</f>
        <v>0.27920880000000003</v>
      </c>
      <c r="F212" s="402"/>
      <c r="G212" s="118"/>
      <c r="H212" s="402"/>
      <c r="I212" s="118"/>
      <c r="J212" s="402"/>
      <c r="K212" s="118"/>
      <c r="L212" s="386"/>
    </row>
    <row r="213" spans="1:12" x14ac:dyDescent="0.25">
      <c r="A213" s="389"/>
      <c r="B213" s="399"/>
      <c r="C213" s="111"/>
      <c r="D213" s="321"/>
      <c r="E213" s="93"/>
      <c r="F213" s="327"/>
      <c r="G213" s="40"/>
      <c r="H213" s="327"/>
      <c r="I213" s="40"/>
      <c r="J213" s="327"/>
      <c r="K213" s="40"/>
      <c r="L213" s="174"/>
    </row>
    <row r="214" spans="1:12" ht="27" x14ac:dyDescent="0.25">
      <c r="A214" s="483" t="s">
        <v>313</v>
      </c>
      <c r="B214" s="338" t="s">
        <v>227</v>
      </c>
      <c r="C214" s="100" t="s">
        <v>18</v>
      </c>
      <c r="D214" s="329"/>
      <c r="E214" s="64">
        <f>E196*1.65</f>
        <v>7.8803010000000011</v>
      </c>
      <c r="F214" s="306"/>
      <c r="G214" s="40"/>
      <c r="H214" s="306"/>
      <c r="I214" s="40"/>
      <c r="J214" s="306"/>
      <c r="K214" s="40"/>
      <c r="L214" s="174"/>
    </row>
    <row r="215" spans="1:12" x14ac:dyDescent="0.25">
      <c r="A215" s="483"/>
      <c r="B215" s="339"/>
      <c r="C215" s="100" t="s">
        <v>15</v>
      </c>
      <c r="D215" s="329"/>
      <c r="E215" s="64">
        <f>E196</f>
        <v>4.7759400000000012</v>
      </c>
      <c r="F215" s="306"/>
      <c r="G215" s="40"/>
      <c r="H215" s="306"/>
      <c r="I215" s="40"/>
      <c r="J215" s="306"/>
      <c r="K215" s="40"/>
      <c r="L215" s="174"/>
    </row>
    <row r="216" spans="1:12" ht="25.5" x14ac:dyDescent="0.25">
      <c r="A216" s="483"/>
      <c r="B216" s="340" t="s">
        <v>33</v>
      </c>
      <c r="C216" s="330" t="s">
        <v>24</v>
      </c>
      <c r="D216" s="329">
        <v>0.53</v>
      </c>
      <c r="E216" s="331">
        <f>E214*D216</f>
        <v>4.1765595300000005</v>
      </c>
      <c r="F216" s="306"/>
      <c r="G216" s="40"/>
      <c r="H216" s="306"/>
      <c r="I216" s="40"/>
      <c r="J216" s="306"/>
      <c r="K216" s="40"/>
      <c r="L216" s="174"/>
    </row>
    <row r="217" spans="1:12" x14ac:dyDescent="0.25">
      <c r="A217" s="483"/>
      <c r="B217" s="130" t="s">
        <v>310</v>
      </c>
      <c r="C217" s="100" t="s">
        <v>18</v>
      </c>
      <c r="D217" s="329"/>
      <c r="E217" s="64">
        <f>E214</f>
        <v>7.8803010000000011</v>
      </c>
      <c r="F217" s="306"/>
      <c r="G217" s="40"/>
      <c r="H217" s="306"/>
      <c r="I217" s="40"/>
      <c r="J217" s="306"/>
      <c r="K217" s="40"/>
      <c r="L217" s="174"/>
    </row>
    <row r="218" spans="1:12" ht="15.75" x14ac:dyDescent="0.25">
      <c r="A218" s="281"/>
      <c r="B218" s="215"/>
      <c r="C218" s="280"/>
      <c r="D218" s="186"/>
      <c r="E218" s="123"/>
      <c r="F218" s="141"/>
      <c r="G218" s="118"/>
      <c r="H218" s="238"/>
      <c r="I218" s="118"/>
      <c r="J218" s="238"/>
      <c r="K218" s="118"/>
      <c r="L218" s="118"/>
    </row>
    <row r="219" spans="1:12" ht="63" x14ac:dyDescent="0.25">
      <c r="A219" s="480" t="s">
        <v>51</v>
      </c>
      <c r="B219" s="298" t="s">
        <v>127</v>
      </c>
      <c r="C219" s="127" t="s">
        <v>128</v>
      </c>
      <c r="D219" s="299"/>
      <c r="E219" s="64">
        <v>1</v>
      </c>
      <c r="F219" s="245"/>
      <c r="G219" s="141"/>
      <c r="H219" s="245"/>
      <c r="I219" s="141"/>
      <c r="J219" s="245"/>
      <c r="K219" s="141"/>
      <c r="L219" s="141"/>
    </row>
    <row r="220" spans="1:12" ht="27" x14ac:dyDescent="0.25">
      <c r="A220" s="481"/>
      <c r="B220" s="215" t="s">
        <v>110</v>
      </c>
      <c r="C220" s="280" t="s">
        <v>24</v>
      </c>
      <c r="D220" s="123">
        <v>17</v>
      </c>
      <c r="E220" s="294">
        <f>E219*D220</f>
        <v>17</v>
      </c>
      <c r="F220" s="141"/>
      <c r="G220" s="141"/>
      <c r="H220" s="141"/>
      <c r="I220" s="141"/>
      <c r="J220" s="141"/>
      <c r="K220" s="141"/>
      <c r="L220" s="141"/>
    </row>
    <row r="221" spans="1:12" ht="15.75" x14ac:dyDescent="0.25">
      <c r="A221" s="481"/>
      <c r="B221" s="215" t="s">
        <v>212</v>
      </c>
      <c r="C221" s="280" t="s">
        <v>64</v>
      </c>
      <c r="D221" s="123">
        <v>0.05</v>
      </c>
      <c r="E221" s="294">
        <f>D221*E219</f>
        <v>0.05</v>
      </c>
      <c r="F221" s="246"/>
      <c r="G221" s="141"/>
      <c r="H221" s="246"/>
      <c r="I221" s="141"/>
      <c r="J221" s="246"/>
      <c r="K221" s="141"/>
      <c r="L221" s="141"/>
    </row>
    <row r="222" spans="1:12" ht="15.75" x14ac:dyDescent="0.25">
      <c r="A222" s="481"/>
      <c r="B222" s="215" t="s">
        <v>132</v>
      </c>
      <c r="C222" s="280" t="s">
        <v>160</v>
      </c>
      <c r="D222" s="123">
        <v>1.1000000000000001</v>
      </c>
      <c r="E222" s="294">
        <f>D222*E220</f>
        <v>18.700000000000003</v>
      </c>
      <c r="F222" s="246"/>
      <c r="G222" s="141"/>
      <c r="H222" s="246"/>
      <c r="I222" s="141"/>
      <c r="J222" s="246"/>
      <c r="K222" s="141"/>
      <c r="L222" s="141"/>
    </row>
    <row r="223" spans="1:12" ht="15.75" x14ac:dyDescent="0.25">
      <c r="A223" s="481"/>
      <c r="B223" s="215" t="s">
        <v>129</v>
      </c>
      <c r="C223" s="280" t="s">
        <v>17</v>
      </c>
      <c r="D223" s="123">
        <v>7.8</v>
      </c>
      <c r="E223" s="294">
        <f>D223*E219</f>
        <v>7.8</v>
      </c>
      <c r="F223" s="141"/>
      <c r="G223" s="141"/>
      <c r="H223" s="141"/>
      <c r="I223" s="141"/>
      <c r="J223" s="246"/>
      <c r="K223" s="141"/>
      <c r="L223" s="141"/>
    </row>
    <row r="224" spans="1:12" ht="15.75" x14ac:dyDescent="0.25">
      <c r="A224" s="482"/>
      <c r="B224" s="215" t="s">
        <v>27</v>
      </c>
      <c r="C224" s="280" t="s">
        <v>20</v>
      </c>
      <c r="D224" s="123">
        <v>1.08</v>
      </c>
      <c r="E224" s="294">
        <f>D224*E219</f>
        <v>1.08</v>
      </c>
      <c r="F224" s="141"/>
      <c r="G224" s="141"/>
      <c r="H224" s="141"/>
      <c r="I224" s="141"/>
      <c r="J224" s="246"/>
      <c r="K224" s="141"/>
      <c r="L224" s="141"/>
    </row>
    <row r="225" spans="1:12" ht="15.75" x14ac:dyDescent="0.25">
      <c r="A225" s="281"/>
      <c r="B225" s="215"/>
      <c r="C225" s="280"/>
      <c r="D225" s="186"/>
      <c r="E225" s="123"/>
      <c r="F225" s="141"/>
      <c r="G225" s="118"/>
      <c r="H225" s="238"/>
      <c r="I225" s="118"/>
      <c r="J225" s="238"/>
      <c r="K225" s="118"/>
      <c r="L225" s="118"/>
    </row>
    <row r="226" spans="1:12" ht="15.75" x14ac:dyDescent="0.25">
      <c r="A226" s="281"/>
      <c r="B226" s="215"/>
      <c r="C226" s="280"/>
      <c r="D226" s="186"/>
      <c r="E226" s="123"/>
      <c r="F226" s="141"/>
      <c r="G226" s="118"/>
      <c r="H226" s="238"/>
      <c r="I226" s="118"/>
      <c r="J226" s="238"/>
      <c r="K226" s="118"/>
      <c r="L226" s="118"/>
    </row>
    <row r="227" spans="1:12" ht="15.75" x14ac:dyDescent="0.25">
      <c r="A227" s="183"/>
      <c r="B227" s="215"/>
      <c r="C227" s="179"/>
      <c r="D227" s="186"/>
      <c r="E227" s="123"/>
      <c r="F227" s="141"/>
      <c r="G227" s="118"/>
      <c r="H227" s="238"/>
      <c r="I227" s="118"/>
      <c r="J227" s="238"/>
      <c r="K227" s="118"/>
      <c r="L227" s="168"/>
    </row>
    <row r="228" spans="1:12" ht="15.75" x14ac:dyDescent="0.25">
      <c r="A228" s="31"/>
      <c r="B228" s="233" t="s">
        <v>153</v>
      </c>
      <c r="C228" s="29"/>
      <c r="D228" s="73"/>
      <c r="E228" s="247"/>
      <c r="F228" s="248"/>
      <c r="G228" s="19"/>
      <c r="H228" s="19"/>
      <c r="I228" s="19"/>
      <c r="J228" s="19"/>
      <c r="K228" s="19"/>
      <c r="L228" s="19"/>
    </row>
    <row r="229" spans="1:12" ht="27" x14ac:dyDescent="0.25">
      <c r="A229" s="376"/>
      <c r="B229" s="377" t="s">
        <v>300</v>
      </c>
      <c r="C229" s="268" t="s">
        <v>319</v>
      </c>
      <c r="D229" s="378"/>
      <c r="E229" s="379"/>
      <c r="F229" s="380"/>
      <c r="G229" s="380"/>
      <c r="H229" s="380"/>
      <c r="I229" s="380"/>
      <c r="J229" s="380"/>
      <c r="K229" s="380"/>
      <c r="L229" s="287"/>
    </row>
    <row r="230" spans="1:12" x14ac:dyDescent="0.25">
      <c r="A230" s="376"/>
      <c r="B230" s="268"/>
      <c r="C230" s="268"/>
      <c r="D230" s="378"/>
      <c r="E230" s="378"/>
      <c r="F230" s="380"/>
      <c r="G230" s="380"/>
      <c r="H230" s="380"/>
      <c r="I230" s="287" t="s">
        <v>19</v>
      </c>
      <c r="J230" s="380"/>
      <c r="K230" s="380"/>
      <c r="L230" s="287"/>
    </row>
    <row r="231" spans="1:12" x14ac:dyDescent="0.25">
      <c r="A231" s="50"/>
      <c r="B231" s="10" t="s">
        <v>13</v>
      </c>
      <c r="C231" s="422" t="s">
        <v>319</v>
      </c>
      <c r="D231" s="153"/>
      <c r="E231" s="381"/>
      <c r="F231" s="382"/>
      <c r="G231" s="382"/>
      <c r="H231" s="382"/>
      <c r="I231" s="382"/>
      <c r="J231" s="382"/>
      <c r="K231" s="382"/>
      <c r="L231" s="382"/>
    </row>
    <row r="232" spans="1:12" x14ac:dyDescent="0.25">
      <c r="A232" s="51"/>
      <c r="B232" s="11"/>
      <c r="C232" s="423"/>
      <c r="D232" s="86"/>
      <c r="E232" s="86"/>
      <c r="F232" s="383"/>
      <c r="G232" s="383"/>
      <c r="H232" s="383"/>
      <c r="I232" s="383" t="s">
        <v>9</v>
      </c>
      <c r="J232" s="383"/>
      <c r="K232" s="383"/>
      <c r="L232" s="383"/>
    </row>
    <row r="233" spans="1:12" x14ac:dyDescent="0.25">
      <c r="A233" s="51"/>
      <c r="B233" s="11" t="s">
        <v>12</v>
      </c>
      <c r="C233" s="423" t="s">
        <v>319</v>
      </c>
      <c r="D233" s="86"/>
      <c r="E233" s="384"/>
      <c r="F233" s="383"/>
      <c r="G233" s="383"/>
      <c r="H233" s="383"/>
      <c r="I233" s="383"/>
      <c r="J233" s="383"/>
      <c r="K233" s="383"/>
      <c r="L233" s="383"/>
    </row>
    <row r="234" spans="1:12" ht="40.5" x14ac:dyDescent="0.25">
      <c r="A234" s="96"/>
      <c r="B234" s="23" t="s">
        <v>302</v>
      </c>
      <c r="C234" s="144"/>
      <c r="D234" s="97"/>
      <c r="E234" s="97"/>
      <c r="F234" s="385"/>
      <c r="G234" s="385"/>
      <c r="H234" s="385"/>
      <c r="I234" s="385" t="s">
        <v>9</v>
      </c>
      <c r="J234" s="385"/>
      <c r="K234" s="385"/>
      <c r="L234" s="98"/>
    </row>
    <row r="239" spans="1:12" ht="15.75" x14ac:dyDescent="0.25">
      <c r="B239" s="90"/>
      <c r="C239" s="134"/>
      <c r="D239" s="61"/>
      <c r="E239" s="251"/>
      <c r="F239" s="26"/>
      <c r="G239" s="26"/>
      <c r="H239" s="252"/>
      <c r="I239" s="252"/>
      <c r="J239" s="252"/>
      <c r="K239" s="252"/>
      <c r="L239" s="252"/>
    </row>
    <row r="240" spans="1:12" x14ac:dyDescent="0.25">
      <c r="B240" s="234"/>
      <c r="C240" s="92"/>
      <c r="D240" s="164"/>
    </row>
    <row r="241" spans="2:4" x14ac:dyDescent="0.25">
      <c r="B241" s="461"/>
      <c r="C241" s="461"/>
      <c r="D241" s="461"/>
    </row>
  </sheetData>
  <mergeCells count="51">
    <mergeCell ref="A23:A27"/>
    <mergeCell ref="A173:A174"/>
    <mergeCell ref="A15:A19"/>
    <mergeCell ref="A10:A14"/>
    <mergeCell ref="A20:A22"/>
    <mergeCell ref="A123:A124"/>
    <mergeCell ref="A125:A127"/>
    <mergeCell ref="A75:A79"/>
    <mergeCell ref="A128:A133"/>
    <mergeCell ref="A134:A135"/>
    <mergeCell ref="A136:A137"/>
    <mergeCell ref="A144:A145"/>
    <mergeCell ref="A156:A160"/>
    <mergeCell ref="A162:A165"/>
    <mergeCell ref="E5:E6"/>
    <mergeCell ref="F5:G5"/>
    <mergeCell ref="H5:I5"/>
    <mergeCell ref="J5:K5"/>
    <mergeCell ref="L5:L6"/>
    <mergeCell ref="B241:D241"/>
    <mergeCell ref="A28:A33"/>
    <mergeCell ref="A34:A35"/>
    <mergeCell ref="A111:A113"/>
    <mergeCell ref="A114:A120"/>
    <mergeCell ref="A81:A86"/>
    <mergeCell ref="A87:A92"/>
    <mergeCell ref="A65:A67"/>
    <mergeCell ref="A68:A74"/>
    <mergeCell ref="A38:A43"/>
    <mergeCell ref="A93:A97"/>
    <mergeCell ref="A44:A50"/>
    <mergeCell ref="A177:A179"/>
    <mergeCell ref="A180:A185"/>
    <mergeCell ref="A175:A176"/>
    <mergeCell ref="A139:A142"/>
    <mergeCell ref="K1:L1"/>
    <mergeCell ref="A167:A171"/>
    <mergeCell ref="A219:A224"/>
    <mergeCell ref="A196:A197"/>
    <mergeCell ref="A198:A207"/>
    <mergeCell ref="A214:A217"/>
    <mergeCell ref="A186:A187"/>
    <mergeCell ref="A188:A190"/>
    <mergeCell ref="A191:A192"/>
    <mergeCell ref="A208:A212"/>
    <mergeCell ref="A2:L2"/>
    <mergeCell ref="A3:L3"/>
    <mergeCell ref="A5:A6"/>
    <mergeCell ref="B5:B6"/>
    <mergeCell ref="C5:C6"/>
    <mergeCell ref="D5:D6"/>
  </mergeCells>
  <pageMargins left="0.47244094488188981" right="0.27559055118110237" top="0.5" bottom="0.46" header="0.31496062992125984" footer="0.23622047244094491"/>
  <pageSetup paperSize="9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krebsiti</vt:lpstr>
      <vt:lpstr>#1-1</vt:lpstr>
      <vt:lpstr>#1-2</vt:lpstr>
      <vt:lpstr>#1-3</vt:lpstr>
      <vt:lpstr>'#1-1'!Print_Area</vt:lpstr>
      <vt:lpstr>'#1-2'!Print_Area</vt:lpstr>
      <vt:lpstr>'#1-3'!Print_Area</vt:lpstr>
      <vt:lpstr>krebsiti!Print_Area</vt:lpstr>
      <vt:lpstr>'#1-1'!Print_Titles</vt:lpstr>
      <vt:lpstr>'#1-2'!Print_Titles</vt:lpstr>
      <vt:lpstr>'#1-3'!Print_Titles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2019-05-15T08:03:50Z</dcterms:modified>
</cp:coreProperties>
</file>