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65" yWindow="45" windowWidth="19110" windowHeight="11730" tabRatio="845" firstSheet="1" activeTab="2"/>
  </bookViews>
  <sheets>
    <sheet name="თავფურცელ" sheetId="1" state="hidden" r:id="rId1"/>
    <sheet name="კრებსიტი" sheetId="2" r:id="rId2"/>
    <sheet name="სამშენ-მოსაპირკეთ." sheetId="3" r:id="rId3"/>
    <sheet name="El-sam." sheetId="4" r:id="rId4"/>
    <sheet name="susti denebi " sheetId="5" r:id="rId5"/>
    <sheet name="Video" sheetId="6" r:id="rId6"/>
    <sheet name="შიდა W.C." sheetId="7" r:id="rId7"/>
    <sheet name="HVAC" sheetId="8" r:id="rId8"/>
    <sheet name="Stelajebi" sheetId="9" r:id="rId9"/>
  </sheets>
  <externalReferences>
    <externalReference r:id="rId12"/>
    <externalReference r:id="rId13"/>
    <externalReference r:id="rId14"/>
  </externalReferences>
  <definedNames>
    <definedName name="_xlnm._FilterDatabase" localSheetId="3" hidden="1">'El-sam.'!$A$9:$R$233</definedName>
    <definedName name="_xlnm._FilterDatabase" localSheetId="7" hidden="1">'HVAC'!$A$9:$M$170</definedName>
    <definedName name="_xlnm._FilterDatabase" localSheetId="4" hidden="1">'susti denebi '!$A$9:$O$105</definedName>
    <definedName name="_xlnm._FilterDatabase" localSheetId="5" hidden="1">'Video'!$A$9:$O$37</definedName>
    <definedName name="_xlnm._FilterDatabase" localSheetId="6" hidden="1">'შიდა W.C.'!$A$9:$O$157</definedName>
    <definedName name="_xlnm.Print_Area" localSheetId="3">'El-sam.'!$A$1:$M$256</definedName>
    <definedName name="_xlnm.Print_Area" localSheetId="7">'HVAC'!$A$1:$M$175</definedName>
    <definedName name="_xlnm.Print_Area" localSheetId="8">'Stelajebi'!$A$1:$M$27</definedName>
    <definedName name="_xlnm.Print_Area" localSheetId="4">'susti denebi '!$A$1:$M$118</definedName>
    <definedName name="_xlnm.Print_Area" localSheetId="5">'Video'!$A$1:$M$46</definedName>
    <definedName name="_xlnm.Print_Area" localSheetId="0">'თავფურცელ'!$A$1:$N$28</definedName>
    <definedName name="_xlnm.Print_Area" localSheetId="1">'კრებსიტი'!$A$1:$D$22</definedName>
    <definedName name="_xlnm.Print_Area" localSheetId="2">'სამშენ-მოსაპირკეთ.'!$A$1:$M$245</definedName>
    <definedName name="_xlnm.Print_Area" localSheetId="6">'შიდა W.C.'!$A$1:$M$167</definedName>
    <definedName name="_xlnm.Print_Titles" localSheetId="3">'El-sam.'!$9:$9</definedName>
    <definedName name="_xlnm.Print_Titles" localSheetId="7">'HVAC'!$9:$9</definedName>
    <definedName name="_xlnm.Print_Titles" localSheetId="4">'susti denebi '!$9:$9</definedName>
    <definedName name="_xlnm.Print_Titles" localSheetId="5">'Video'!$9:$9</definedName>
    <definedName name="_xlnm.Print_Titles" localSheetId="6">'შიდა W.C.'!$9:$9</definedName>
    <definedName name="Summary" localSheetId="4">#REF!</definedName>
    <definedName name="Summary" localSheetId="5">#REF!</definedName>
    <definedName name="Summary" localSheetId="0">#REF!</definedName>
    <definedName name="Summary" localSheetId="1">#REF!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<sst xmlns="http://schemas.openxmlformats.org/spreadsheetml/2006/main" count="2102" uniqueCount="651">
  <si>
    <t>ganz. erT.</t>
  </si>
  <si>
    <t>raodenoba</t>
  </si>
  <si>
    <t>samuSaoebis da danaxarjebis dasaxeleba</t>
  </si>
  <si>
    <t>samSeneblo samuSaoebi</t>
  </si>
  <si>
    <t>#</t>
  </si>
  <si>
    <t>normativis nomeri da Sifri</t>
  </si>
  <si>
    <t>lari</t>
  </si>
  <si>
    <t>grZ.m.</t>
  </si>
  <si>
    <t>tona</t>
  </si>
  <si>
    <t>jami</t>
  </si>
  <si>
    <t xml:space="preserve">sul </t>
  </si>
  <si>
    <t>gegmiuri dagroveba</t>
  </si>
  <si>
    <t>cali</t>
  </si>
  <si>
    <t>Sromis danaxarjebi</t>
  </si>
  <si>
    <t>zednadebi xarjebi</t>
  </si>
  <si>
    <t>11-8-1-2</t>
  </si>
  <si>
    <t>11-20-3</t>
  </si>
  <si>
    <t>15-168-7</t>
  </si>
  <si>
    <t>Werebis SeRebva wyalemulsiuri saRebaviT</t>
  </si>
  <si>
    <t>wyalemulsiuri saRebavi</t>
  </si>
  <si>
    <t>safiTxni</t>
  </si>
  <si>
    <t>15-14-1</t>
  </si>
  <si>
    <t>10-20-1</t>
  </si>
  <si>
    <t xml:space="preserve">kafeli </t>
  </si>
  <si>
    <t>kafelis kuTxovana</t>
  </si>
  <si>
    <t>eleqtrosamontaJo samuSaoebi</t>
  </si>
  <si>
    <t>sul</t>
  </si>
  <si>
    <t>jami:</t>
  </si>
  <si>
    <t>webocementi</t>
  </si>
  <si>
    <t>xis masala</t>
  </si>
  <si>
    <t>yalibis fari</t>
  </si>
  <si>
    <t>xelfasi</t>
  </si>
  <si>
    <t>sul, jami:</t>
  </si>
  <si>
    <t>ganz. erT-ze</t>
  </si>
  <si>
    <t>masala</t>
  </si>
  <si>
    <t>koef.</t>
  </si>
  <si>
    <t>transporti (meqanizmebi)</t>
  </si>
  <si>
    <t>avtoTviTmcleli</t>
  </si>
  <si>
    <t>gauTvaliswinebeli xarjebi</t>
  </si>
  <si>
    <t>dRg</t>
  </si>
  <si>
    <t>mosapirkeTebeli samuSaoebi</t>
  </si>
  <si>
    <t>_</t>
  </si>
  <si>
    <t>kg.</t>
  </si>
  <si>
    <t>qviSa</t>
  </si>
  <si>
    <t>cementi</t>
  </si>
  <si>
    <t>qviSa-cementis xsnari m100</t>
  </si>
  <si>
    <t>sabazro</t>
  </si>
  <si>
    <t>wyalsaden-kanalizaciis samuSaoebi</t>
  </si>
  <si>
    <t>gaTboba-ventilacia-kondicirebis samuSaoebi</t>
  </si>
  <si>
    <t>samuSaos dasaxeleba</t>
  </si>
  <si>
    <t>Rirebuleba, lari</t>
  </si>
  <si>
    <t>samaliaro kuTxovana</t>
  </si>
  <si>
    <r>
      <t xml:space="preserve"> betoni </t>
    </r>
    <r>
      <rPr>
        <sz val="11"/>
        <rFont val="Arial"/>
        <family val="2"/>
      </rPr>
      <t>B25</t>
    </r>
  </si>
  <si>
    <t>raod.</t>
  </si>
  <si>
    <t>კაბელები</t>
  </si>
  <si>
    <t>გრძ.მ</t>
  </si>
  <si>
    <t>სანათები</t>
  </si>
  <si>
    <t>კომპლ.</t>
  </si>
  <si>
    <t>komp.</t>
  </si>
  <si>
    <t>aqsesuarebi</t>
  </si>
  <si>
    <t>Riobebi</t>
  </si>
  <si>
    <r>
      <t>m</t>
    </r>
    <r>
      <rPr>
        <vertAlign val="superscript"/>
        <sz val="10"/>
        <rFont val="AcadNusx"/>
        <family val="0"/>
      </rPr>
      <t>2</t>
    </r>
  </si>
  <si>
    <t>erT.</t>
  </si>
  <si>
    <t>susti denebis qselebis mowyobis samuSaoebi</t>
  </si>
  <si>
    <t>zednadebi xarjebi (saxelfaso fondidan)</t>
  </si>
  <si>
    <t>ცალი</t>
  </si>
  <si>
    <t>ფურნიტურა</t>
  </si>
  <si>
    <t>saxanZro signalizacia</t>
  </si>
  <si>
    <r>
      <rPr>
        <sz val="11"/>
        <rFont val="Arial"/>
        <family val="2"/>
      </rPr>
      <t xml:space="preserve">Door Stop </t>
    </r>
    <r>
      <rPr>
        <sz val="11"/>
        <rFont val="AcadNusx"/>
        <family val="0"/>
      </rPr>
      <t>(karebis gamaCerebeli)</t>
    </r>
  </si>
  <si>
    <t>sxva masalebi</t>
  </si>
  <si>
    <t>sxva manqanebi</t>
  </si>
  <si>
    <t>I</t>
  </si>
  <si>
    <t>17-4-1</t>
  </si>
  <si>
    <t>17-3-3</t>
  </si>
  <si>
    <t>II</t>
  </si>
  <si>
    <t>16-6-2</t>
  </si>
  <si>
    <t>plastmasis sakanalizacio milebis montaJi Ø50 mm</t>
  </si>
  <si>
    <t>plastmasis sakanalizacio milebis montaJi Ø100 mm</t>
  </si>
  <si>
    <t>16-6-1</t>
  </si>
  <si>
    <t xml:space="preserve">spilenZis kabelgayvaniloba </t>
  </si>
  <si>
    <t>gamanawilebeli farebis montaJi</t>
  </si>
  <si>
    <t>21-27-3 gam.</t>
  </si>
  <si>
    <t>20-7-1 gam.</t>
  </si>
  <si>
    <r>
      <rPr>
        <b/>
        <sz val="11"/>
        <rFont val="Arial"/>
        <family val="2"/>
      </rPr>
      <t xml:space="preserve">PVC </t>
    </r>
    <r>
      <rPr>
        <b/>
        <sz val="11"/>
        <rFont val="AcadNusx"/>
        <family val="0"/>
      </rPr>
      <t>milebis mowyoba kabelebis gasayvanad</t>
    </r>
  </si>
  <si>
    <t xml:space="preserve">Sromis danaxarjebi </t>
  </si>
  <si>
    <t>kac.sT.</t>
  </si>
  <si>
    <t>manqanebi</t>
  </si>
  <si>
    <t>sxva masala</t>
  </si>
  <si>
    <t>10-54-1.</t>
  </si>
  <si>
    <t>sul, saxanZro signalizacia:</t>
  </si>
  <si>
    <t>sul, samSeneblo samuSaoebi:</t>
  </si>
  <si>
    <t>sul, mosapirkeTebeli samuSaoebi:</t>
  </si>
  <si>
    <t>zednadebi xarjebi samSeneblo - mosapirkeTebel samuSaoebze</t>
  </si>
  <si>
    <t>masalis Rirebuleba</t>
  </si>
  <si>
    <t>grZ.m</t>
  </si>
  <si>
    <t>monataJis Rirebuleba</t>
  </si>
  <si>
    <t>transportis Rirebuleba</t>
  </si>
  <si>
    <t>სამონტაჟო კოლოფი</t>
  </si>
  <si>
    <t>გამანაწილებელი კოლოფი</t>
  </si>
  <si>
    <r>
      <t xml:space="preserve"> keramikuli filebis plintusebis mowyoba </t>
    </r>
    <r>
      <rPr>
        <sz val="11"/>
        <rFont val="AcadNusx"/>
        <family val="0"/>
      </rPr>
      <t xml:space="preserve"> </t>
    </r>
  </si>
  <si>
    <t xml:space="preserve">cxaurebis mowyoba </t>
  </si>
  <si>
    <t>samagri elementebi</t>
  </si>
  <si>
    <t>სპილენძის კაბელი ორმაგი იზოლაციით NYM-J 3x1,5</t>
  </si>
  <si>
    <t>სპილენძის კაბელი ორმაგი იზოლაციით NYM-J 5x2,5</t>
  </si>
  <si>
    <t>სპილენძის კაბელი ორმაგი იზოლაციით NYM-J 5x4</t>
  </si>
  <si>
    <t>saStepselo rozetebis mowyoba</t>
  </si>
  <si>
    <t>საშტეფსელო როზეტი დამიწების კონტაქტით,  2P+E-16A, IP44</t>
  </si>
  <si>
    <r>
      <rPr>
        <b/>
        <sz val="11"/>
        <rFont val="AcadNusx"/>
        <family val="0"/>
      </rPr>
      <t xml:space="preserve">saStepselo rozetebis mowyoba </t>
    </r>
    <r>
      <rPr>
        <sz val="11"/>
        <rFont val="AcadNusx"/>
        <family val="0"/>
      </rPr>
      <t>(hermetiuli an naxevrad hermetiuli)</t>
    </r>
  </si>
  <si>
    <t>კბ/ც</t>
  </si>
  <si>
    <t>საკაბელო არხები</t>
  </si>
  <si>
    <t>qviSa-cementis xsnari m150</t>
  </si>
  <si>
    <r>
      <t xml:space="preserve">armatura </t>
    </r>
    <r>
      <rPr>
        <sz val="11"/>
        <rFont val="Arial"/>
        <family val="2"/>
      </rPr>
      <t>A-III</t>
    </r>
  </si>
  <si>
    <t>.</t>
  </si>
  <si>
    <t>iatakebze moWimvebis mowyoba qviSa-cementis xsnariT, sisqiT 40mm</t>
  </si>
  <si>
    <t>krebsiTi xarjTaRricxva 1</t>
  </si>
  <si>
    <t>lokaluri xarjTaRricxva 1-4</t>
  </si>
  <si>
    <t>lokaluri xarjTaRricxva 1-5</t>
  </si>
  <si>
    <t>1-1</t>
  </si>
  <si>
    <t>lokaluri xarjTaRricxva 1-1</t>
  </si>
  <si>
    <t>1-4</t>
  </si>
  <si>
    <t>1-5</t>
  </si>
  <si>
    <t>1-6</t>
  </si>
  <si>
    <t>lokaluri xarjTaRricxva 1-6</t>
  </si>
  <si>
    <t>1-7</t>
  </si>
  <si>
    <t>damxmare masalebi</t>
  </si>
  <si>
    <t>18-6-1</t>
  </si>
  <si>
    <t>18-15-4</t>
  </si>
  <si>
    <t>Termometrebis montaJi</t>
  </si>
  <si>
    <t>Termometri</t>
  </si>
  <si>
    <t>18-15-2</t>
  </si>
  <si>
    <t>manometrebis montaJi</t>
  </si>
  <si>
    <t>manometri</t>
  </si>
  <si>
    <t>ventilebis da sarqvelebis mowyoba</t>
  </si>
  <si>
    <t>ganz. raod.</t>
  </si>
  <si>
    <t>zednadebi xarjebi liTonis konstruqciebze</t>
  </si>
  <si>
    <t>kedlebi</t>
  </si>
  <si>
    <t>lokaluri xarjTaRricxva 1-7</t>
  </si>
  <si>
    <t>keramogranitis filebis dageba iatakebze</t>
  </si>
  <si>
    <t>kompl.</t>
  </si>
  <si>
    <t>kac/sT</t>
  </si>
  <si>
    <t>SromiTi resursebi</t>
  </si>
  <si>
    <t>manq/sT</t>
  </si>
  <si>
    <t>16-24-2</t>
  </si>
  <si>
    <t>16-24-3</t>
  </si>
  <si>
    <t>16-24-5</t>
  </si>
  <si>
    <t>16-24-4</t>
  </si>
  <si>
    <t>16-12-1</t>
  </si>
  <si>
    <t>kg</t>
  </si>
  <si>
    <t>8-417-1</t>
  </si>
  <si>
    <t>18-8-1</t>
  </si>
  <si>
    <t>8-409-2</t>
  </si>
  <si>
    <t>8-409-3</t>
  </si>
  <si>
    <t>8-409-4</t>
  </si>
  <si>
    <t xml:space="preserve">21-26-6 </t>
  </si>
  <si>
    <t>sanaTebis montaJi</t>
  </si>
  <si>
    <t xml:space="preserve">21-26-5 </t>
  </si>
  <si>
    <t>8-604-4</t>
  </si>
  <si>
    <t>8-417-5</t>
  </si>
  <si>
    <t>21-28-1</t>
  </si>
  <si>
    <t>fuga (Semavsebeli)</t>
  </si>
  <si>
    <t xml:space="preserve">Seadgina: </t>
  </si>
  <si>
    <t>sWvali</t>
  </si>
  <si>
    <t>sawevara anZuri tvirTamweobiT 0.5 t</t>
  </si>
  <si>
    <t>maq/sT</t>
  </si>
  <si>
    <t>hidravlikuri sawevara</t>
  </si>
  <si>
    <t>17-1-5</t>
  </si>
  <si>
    <t>fasonuri detalebi</t>
  </si>
  <si>
    <t>ganz. 
erT-ze</t>
  </si>
  <si>
    <t>დამხმარე სამონტაჟო მასალების ნაკრები</t>
  </si>
  <si>
    <t>22-8-5</t>
  </si>
  <si>
    <t>sul, krebsiTi xarjTaRricxviT:</t>
  </si>
  <si>
    <t>Sida wyalsaden-kanalizaciis samuSaoebi</t>
  </si>
  <si>
    <t>wyalmomarageba</t>
  </si>
  <si>
    <t>civi wylis wyalsadeni</t>
  </si>
  <si>
    <t xml:space="preserve">mili polipropilenis </t>
  </si>
  <si>
    <t>cxeli wylis wyalsadeni</t>
  </si>
  <si>
    <t>ventilebis  mowyoba</t>
  </si>
  <si>
    <t>ventili plastm. kuTx.  Ø20 mm</t>
  </si>
  <si>
    <t>ventili sferuli Ø20 mm</t>
  </si>
  <si>
    <t>kanalizacia</t>
  </si>
  <si>
    <t xml:space="preserve">trapis montaJi </t>
  </si>
  <si>
    <t>III</t>
  </si>
  <si>
    <t>xelsabanebis montaJi</t>
  </si>
  <si>
    <t>unitazebis montaJi</t>
  </si>
  <si>
    <t>Seadgina:</t>
  </si>
  <si>
    <t>8-591-3</t>
  </si>
  <si>
    <t xml:space="preserve">CamrTvelebis da gadamrTvelebis mowyoba </t>
  </si>
  <si>
    <t>სხვა მანქანები</t>
  </si>
  <si>
    <t>ლარი</t>
  </si>
  <si>
    <t>1 კლავიშიანი ჩამრთველი, 10A</t>
  </si>
  <si>
    <t>8-591-10</t>
  </si>
  <si>
    <t>2 კლავიშიანი ჩამრთველი, 10A</t>
  </si>
  <si>
    <t>8-591-7</t>
  </si>
  <si>
    <t>8-591-8</t>
  </si>
  <si>
    <r>
      <t xml:space="preserve">ელ. გამანაწილებელი ფარი </t>
    </r>
    <r>
      <rPr>
        <b/>
        <sz val="11"/>
        <rFont val="Arial"/>
        <family val="2"/>
      </rPr>
      <t xml:space="preserve">DB-1   </t>
    </r>
  </si>
  <si>
    <t>keramograniti (arapriala zedapiriT)</t>
  </si>
  <si>
    <t>kompl</t>
  </si>
  <si>
    <r>
      <rPr>
        <sz val="11"/>
        <rFont val="AcadNusx"/>
        <family val="0"/>
      </rPr>
      <t>mili polipropilenis minaboWkovani</t>
    </r>
    <r>
      <rPr>
        <sz val="11"/>
        <rFont val="Arial"/>
        <family val="2"/>
      </rPr>
      <t xml:space="preserve"> PN25 </t>
    </r>
    <r>
      <rPr>
        <sz val="11"/>
        <rFont val="Avaza Mtavruli"/>
        <family val="2"/>
      </rPr>
      <t xml:space="preserve"> Ø50 mm.</t>
    </r>
  </si>
  <si>
    <r>
      <rPr>
        <sz val="11"/>
        <rFont val="AcadNusx"/>
        <family val="0"/>
      </rPr>
      <t>mili polipropilenis minaboWkovani</t>
    </r>
    <r>
      <rPr>
        <sz val="11"/>
        <rFont val="Arial"/>
        <family val="2"/>
      </rPr>
      <t xml:space="preserve"> PN25 </t>
    </r>
    <r>
      <rPr>
        <sz val="11"/>
        <rFont val="Avaza Mtavruli"/>
        <family val="2"/>
      </rPr>
      <t xml:space="preserve"> Ø40 mm.</t>
    </r>
  </si>
  <si>
    <r>
      <rPr>
        <sz val="11"/>
        <rFont val="AcadNusx"/>
        <family val="0"/>
      </rPr>
      <t>mili polipropilenis minaboWkovani</t>
    </r>
    <r>
      <rPr>
        <sz val="11"/>
        <rFont val="Arial"/>
        <family val="2"/>
      </rPr>
      <t xml:space="preserve"> PN25 </t>
    </r>
    <r>
      <rPr>
        <sz val="11"/>
        <rFont val="Avaza Mtavruli"/>
        <family val="2"/>
      </rPr>
      <t xml:space="preserve"> Ø32 mm.</t>
    </r>
  </si>
  <si>
    <r>
      <rPr>
        <sz val="11"/>
        <rFont val="AcadNusx"/>
        <family val="0"/>
      </rPr>
      <t>mili polipropilenis minaboWkovani</t>
    </r>
    <r>
      <rPr>
        <sz val="11"/>
        <rFont val="Arial"/>
        <family val="2"/>
      </rPr>
      <t xml:space="preserve"> PN25 </t>
    </r>
    <r>
      <rPr>
        <sz val="11"/>
        <rFont val="Avaza Mtavruli"/>
        <family val="2"/>
      </rPr>
      <t xml:space="preserve"> Ø25 mm.</t>
    </r>
  </si>
  <si>
    <r>
      <rPr>
        <sz val="11"/>
        <rFont val="AcadNusx"/>
        <family val="0"/>
      </rPr>
      <t>mili polipropilenis minaboWkovani</t>
    </r>
    <r>
      <rPr>
        <sz val="11"/>
        <rFont val="Arial"/>
        <family val="2"/>
      </rPr>
      <t xml:space="preserve"> PN25 </t>
    </r>
    <r>
      <rPr>
        <sz val="11"/>
        <rFont val="Avaza Mtavruli"/>
        <family val="2"/>
      </rPr>
      <t xml:space="preserve"> Ø20 mm.</t>
    </r>
  </si>
  <si>
    <r>
      <t xml:space="preserve">mili polipropilenis minaboCkovani </t>
    </r>
    <r>
      <rPr>
        <b/>
        <sz val="11"/>
        <rFont val="Calibri"/>
        <family val="2"/>
      </rPr>
      <t>Ø</t>
    </r>
    <r>
      <rPr>
        <b/>
        <sz val="11"/>
        <rFont val="AcadNusx"/>
        <family val="0"/>
      </rPr>
      <t>50 mm.</t>
    </r>
  </si>
  <si>
    <r>
      <t xml:space="preserve">mili polipropilenis minaboCkovani </t>
    </r>
    <r>
      <rPr>
        <b/>
        <sz val="11"/>
        <rFont val="Calibri"/>
        <family val="2"/>
      </rPr>
      <t>Ø</t>
    </r>
    <r>
      <rPr>
        <b/>
        <sz val="11"/>
        <rFont val="AcadNusx"/>
        <family val="0"/>
      </rPr>
      <t>40 mm.</t>
    </r>
  </si>
  <si>
    <r>
      <t xml:space="preserve">mili polipropilenis minaboCkovani </t>
    </r>
    <r>
      <rPr>
        <b/>
        <sz val="11"/>
        <rFont val="Calibri"/>
        <family val="2"/>
      </rPr>
      <t>Ø</t>
    </r>
    <r>
      <rPr>
        <b/>
        <sz val="11"/>
        <rFont val="AcadNusx"/>
        <family val="0"/>
      </rPr>
      <t>32 mm.</t>
    </r>
  </si>
  <si>
    <r>
      <t xml:space="preserve">mili polipropilenis minaboCkovani </t>
    </r>
    <r>
      <rPr>
        <b/>
        <sz val="11"/>
        <rFont val="Calibri"/>
        <family val="2"/>
      </rPr>
      <t>Ø25</t>
    </r>
    <r>
      <rPr>
        <b/>
        <sz val="11"/>
        <rFont val="AcadNusx"/>
        <family val="0"/>
      </rPr>
      <t xml:space="preserve"> mm.</t>
    </r>
  </si>
  <si>
    <r>
      <t xml:space="preserve">mili polipropilenis minaboCkovani </t>
    </r>
    <r>
      <rPr>
        <b/>
        <sz val="11"/>
        <rFont val="Calibri"/>
        <family val="2"/>
      </rPr>
      <t>Ø20</t>
    </r>
    <r>
      <rPr>
        <b/>
        <sz val="11"/>
        <rFont val="AcadNusx"/>
        <family val="0"/>
      </rPr>
      <t xml:space="preserve"> mm.</t>
    </r>
  </si>
  <si>
    <t>8-398-1</t>
  </si>
  <si>
    <t>liTonis sakabelo arxebis gayvana</t>
  </si>
  <si>
    <t>ლითონის საკაბელო არხის იატაკის სამაგრი კრონშტეინი</t>
  </si>
  <si>
    <t>ლითონის მოთუთიებული საკაბელო არხი 300x60</t>
  </si>
  <si>
    <t>ლითონის საკაბელო არხის ჭერის სამაგრი კრონშტეინი</t>
  </si>
  <si>
    <t>განანაწილებელი კოლოფი</t>
  </si>
  <si>
    <t>ინფრაწითელი მოძრაობის დეტექტორი</t>
  </si>
  <si>
    <t>ინფრაწითელი მოძრაობის დეტექტორის მოწყობა</t>
  </si>
  <si>
    <t>საშტეფსელო როზეტი დამიწების კონტაქტით,  2P+E-16A</t>
  </si>
  <si>
    <t>21-23-10 gam.</t>
  </si>
  <si>
    <t>iatakis samontaJo rozetebis yuTis mowyoba</t>
  </si>
  <si>
    <t>იატაკის ყუთში სამონტაჟო საშტეფსელო როზეტი დამიწების კონტაქტით,  2P+E-16A</t>
  </si>
  <si>
    <t>Zalovani agregatebi</t>
  </si>
  <si>
    <t>maT Soris: danadgarebis da mowyobilobebis montaJi</t>
  </si>
  <si>
    <t>zednadebi xarjebi danadgarebis da mowyobilobebis montaJis xelfasze</t>
  </si>
  <si>
    <t>gegmiuri dagroveba danadgarebis da mowyobilobebis Rirebulebis gamoklebiT</t>
  </si>
  <si>
    <r>
      <t>RJ</t>
    </r>
    <r>
      <rPr>
        <b/>
        <sz val="11"/>
        <rFont val="AcadNusx"/>
        <family val="0"/>
      </rPr>
      <t>-45 kompiuteruli rozeti</t>
    </r>
  </si>
  <si>
    <r>
      <t xml:space="preserve">Cat.5 - 24 x RJ45 FTP </t>
    </r>
    <r>
      <rPr>
        <sz val="11"/>
        <rFont val="AcadNusx"/>
        <family val="0"/>
      </rPr>
      <t>პატჩ-პანელი</t>
    </r>
  </si>
  <si>
    <t>videomeTvalyureobis qselis mowyobis samuSaoebi</t>
  </si>
  <si>
    <t>10-383-2</t>
  </si>
  <si>
    <t>video kamerebis montaJi</t>
  </si>
  <si>
    <r>
      <t xml:space="preserve">ქსელური ციფრული ვიდეო ჩამწერი - NVR </t>
    </r>
    <r>
      <rPr>
        <sz val="10"/>
        <rFont val="Sylfaen"/>
        <family val="1"/>
      </rPr>
      <t>(პარამეტრები შეთანხმდეს დამკვეთის IT სამსახურთან)</t>
    </r>
  </si>
  <si>
    <t>19" კაბელების ორგანაიზერი - ჰორიზონტალური</t>
  </si>
  <si>
    <t>კონექტორი RJ45, Cat.5 FTP</t>
  </si>
  <si>
    <t>კაბელის სამაგრი</t>
  </si>
  <si>
    <t>samisamarTo Tburi deteqtori</t>
  </si>
  <si>
    <t>sul, Tavebis jami:</t>
  </si>
  <si>
    <t>gegmiuri dagroveba (danadgarebis da mowyobilobebis gamoklebiT)</t>
  </si>
  <si>
    <t>10-743-3</t>
  </si>
  <si>
    <t>samisamarTo optikur eleqtronuli kvamlis deteqtori</t>
  </si>
  <si>
    <t>detetoris baza izolatoriT</t>
  </si>
  <si>
    <t>samisamarTo saxanZro sagangaSo Rilaki</t>
  </si>
  <si>
    <t>10_744-6</t>
  </si>
  <si>
    <t>saxanZro sirena strobiT</t>
  </si>
  <si>
    <t>materialuri resursi</t>
  </si>
  <si>
    <t>10-54-4</t>
  </si>
  <si>
    <r>
      <t>stabilizirebuli kvebis bloki 24</t>
    </r>
    <r>
      <rPr>
        <sz val="11"/>
        <rFont val="Cambria"/>
        <family val="1"/>
      </rPr>
      <t xml:space="preserve">VDC </t>
    </r>
    <r>
      <rPr>
        <sz val="11"/>
        <rFont val="AcadNusx"/>
        <family val="0"/>
      </rPr>
      <t>damteniT</t>
    </r>
  </si>
  <si>
    <t>8-123-12</t>
  </si>
  <si>
    <t xml:space="preserve">17a/sT hermetuli akumulatori </t>
  </si>
  <si>
    <r>
      <t>stabilizirebuli kvebis bloki 24</t>
    </r>
    <r>
      <rPr>
        <b/>
        <sz val="11"/>
        <rFont val="Cambria"/>
        <family val="1"/>
      </rPr>
      <t xml:space="preserve">VDC </t>
    </r>
    <r>
      <rPr>
        <b/>
        <sz val="11"/>
        <rFont val="AcadNusx"/>
        <family val="0"/>
      </rPr>
      <t>damteniT</t>
    </r>
  </si>
  <si>
    <r>
      <t>ormagi tixrebis mowyoba nestgamZle TabaSirmuyaos filebiT</t>
    </r>
    <r>
      <rPr>
        <sz val="11"/>
        <rFont val="Arial"/>
        <family val="2"/>
      </rPr>
      <t xml:space="preserve"> </t>
    </r>
  </si>
  <si>
    <r>
      <t>Sekiduli Weris mowyoba nestgamZle TabaSirmuyaos filebiT</t>
    </r>
    <r>
      <rPr>
        <sz val="11"/>
        <rFont val="Arial"/>
        <family val="2"/>
      </rPr>
      <t xml:space="preserve"> </t>
    </r>
  </si>
  <si>
    <t>9-14-6</t>
  </si>
  <si>
    <t>17-3-4 gam.</t>
  </si>
  <si>
    <t>urna</t>
  </si>
  <si>
    <t>unitazis sawmendi CoTqi</t>
  </si>
  <si>
    <t>sakidi kauWi</t>
  </si>
  <si>
    <t>saSrobi qaRaldis</t>
  </si>
  <si>
    <t>Txevadi sapnis dispenseri</t>
  </si>
  <si>
    <t xml:space="preserve">samSeneblo-mosapirkeTebeli samuSaoebi </t>
  </si>
  <si>
    <t xml:space="preserve">გოფრირებული მილი 20მმ; cecxlgamZle </t>
  </si>
  <si>
    <r>
      <t>polipropilenis mili</t>
    </r>
    <r>
      <rPr>
        <sz val="10"/>
        <rFont val="Arial"/>
        <family val="2"/>
      </rPr>
      <t xml:space="preserve"> Ø20 </t>
    </r>
  </si>
  <si>
    <r>
      <t>polipropilenis mili</t>
    </r>
    <r>
      <rPr>
        <sz val="10"/>
        <rFont val="Arial"/>
        <family val="2"/>
      </rPr>
      <t xml:space="preserve"> Ø25 </t>
    </r>
  </si>
  <si>
    <t>სპილენძის კაბელი ორმაგი იზოლაციით NYM-J 3x2.5</t>
  </si>
  <si>
    <t>სპილენძის დასაპარალელებელი სავარცხელა 3P-63A</t>
  </si>
  <si>
    <r>
      <t xml:space="preserve">ელ. გამანაწილებელი ფარი </t>
    </r>
    <r>
      <rPr>
        <b/>
        <sz val="11"/>
        <rFont val="Arial"/>
        <family val="2"/>
      </rPr>
      <t xml:space="preserve">DB-2 </t>
    </r>
  </si>
  <si>
    <t>კომპიუტერული ქსელის როზეტი  2 x RJ45</t>
  </si>
  <si>
    <t>კომპიუტერული ქსელის როზეტი  1 x RJ45</t>
  </si>
  <si>
    <t>სამისამართო თბური დეტექტორი</t>
  </si>
  <si>
    <t>qseluri sacirkulacio tumboebis mowyoba</t>
  </si>
  <si>
    <r>
      <t xml:space="preserve">kauCukis Tboizolacia </t>
    </r>
    <r>
      <rPr>
        <b/>
        <sz val="11"/>
        <rFont val="Arial"/>
        <family val="2"/>
      </rPr>
      <t>D35</t>
    </r>
    <r>
      <rPr>
        <sz val="11"/>
        <rFont val="AcadNusx"/>
        <family val="0"/>
      </rPr>
      <t xml:space="preserve"> p/p milebisaTvis</t>
    </r>
  </si>
  <si>
    <r>
      <t xml:space="preserve">kauCukis Tboizolacia </t>
    </r>
    <r>
      <rPr>
        <b/>
        <sz val="11"/>
        <rFont val="Arial"/>
        <family val="2"/>
      </rPr>
      <t>D28</t>
    </r>
    <r>
      <rPr>
        <sz val="11"/>
        <rFont val="AcadNusx"/>
        <family val="0"/>
      </rPr>
      <t xml:space="preserve"> p/p milebisaTvis</t>
    </r>
  </si>
  <si>
    <r>
      <t xml:space="preserve">kauCukis Tboizolacia </t>
    </r>
    <r>
      <rPr>
        <b/>
        <sz val="11"/>
        <rFont val="Arial"/>
        <family val="2"/>
      </rPr>
      <t>D22</t>
    </r>
    <r>
      <rPr>
        <sz val="11"/>
        <rFont val="AcadNusx"/>
        <family val="0"/>
      </rPr>
      <t xml:space="preserve"> p/p milebisaTvis</t>
    </r>
  </si>
  <si>
    <t>1-2</t>
  </si>
  <si>
    <t>1-3</t>
  </si>
  <si>
    <t>lokaluri xarjTaRricxva 1-3</t>
  </si>
  <si>
    <t>sarke</t>
  </si>
  <si>
    <t>unitazis qaRaldis sakidi</t>
  </si>
  <si>
    <t>46-23-4</t>
  </si>
  <si>
    <t xml:space="preserve">samSeneblo narCenebis datvirTva avtoTviTmclelebze </t>
  </si>
  <si>
    <t>iatakebi</t>
  </si>
  <si>
    <t>Werebi</t>
  </si>
  <si>
    <r>
      <t xml:space="preserve">kedlebis da svetebis damuSaveba da SeRebva nestgamZle wyalemulsiuri saRebaviT </t>
    </r>
    <r>
      <rPr>
        <sz val="11"/>
        <rFont val="Arial"/>
        <family val="2"/>
      </rPr>
      <t>(WC)</t>
    </r>
  </si>
  <si>
    <r>
      <t>sankvanZebze, "</t>
    </r>
    <r>
      <rPr>
        <sz val="11"/>
        <rFont val="Arial"/>
        <family val="2"/>
      </rPr>
      <t>WC</t>
    </r>
    <r>
      <rPr>
        <sz val="11"/>
        <rFont val="AcadNusx"/>
        <family val="0"/>
      </rPr>
      <t>"-s maCveneblebi</t>
    </r>
  </si>
  <si>
    <t>saqsovi mavTuli</t>
  </si>
  <si>
    <t>sademontaJo samuSaoebi</t>
  </si>
  <si>
    <t>samSeneblo narCenebis gatana avtoTviTmclelebiT 20 km. - mde manZilze</t>
  </si>
  <si>
    <t>sul, sademontaJo samuSaoebi:</t>
  </si>
  <si>
    <t xml:space="preserve">sul, Tavebis jami: </t>
  </si>
  <si>
    <t>milgayvaniloba:</t>
  </si>
  <si>
    <r>
      <t xml:space="preserve">kauCukis Tboizolacia </t>
    </r>
    <r>
      <rPr>
        <b/>
        <sz val="11"/>
        <rFont val="Arial"/>
        <family val="2"/>
      </rPr>
      <t xml:space="preserve"> D50*8,4;  D40*6,2;  D32*5,4;  D25*4,2; D20*2,8; </t>
    </r>
    <r>
      <rPr>
        <sz val="11"/>
        <rFont val="AcadNusx"/>
        <family val="0"/>
      </rPr>
      <t xml:space="preserve"> p/p milebisaTvis</t>
    </r>
  </si>
  <si>
    <r>
      <t xml:space="preserve">kauCukis Tboizolacia </t>
    </r>
    <r>
      <rPr>
        <b/>
        <sz val="11"/>
        <rFont val="Arial"/>
        <family val="2"/>
      </rPr>
      <t>D42</t>
    </r>
    <r>
      <rPr>
        <sz val="11"/>
        <rFont val="AcadNusx"/>
        <family val="0"/>
      </rPr>
      <t xml:space="preserve"> p/p milebisaTvis</t>
    </r>
  </si>
  <si>
    <r>
      <t xml:space="preserve">kauCukis Tboizolacia </t>
    </r>
    <r>
      <rPr>
        <b/>
        <sz val="11"/>
        <rFont val="Arial"/>
        <family val="2"/>
      </rPr>
      <t>D48</t>
    </r>
    <r>
      <rPr>
        <sz val="11"/>
        <rFont val="AcadNusx"/>
        <family val="0"/>
      </rPr>
      <t xml:space="preserve"> p/p milebisaTvis</t>
    </r>
  </si>
  <si>
    <t>sankvanZebis gamwovi sistema</t>
  </si>
  <si>
    <t>plastmasis sakanalizacio milebis montaJi Ø150 mm</t>
  </si>
  <si>
    <t>muxli plastmasis, Sida xraxniT Ø20 mm</t>
  </si>
  <si>
    <t xml:space="preserve">arsebul kanalizaciis qselSi SeWra </t>
  </si>
  <si>
    <r>
      <t xml:space="preserve">xelsabani boTlisebri sifoniT </t>
    </r>
    <r>
      <rPr>
        <sz val="10"/>
        <rFont val="AcadNusx"/>
        <family val="0"/>
      </rPr>
      <t>(maRali xarisxis)</t>
    </r>
  </si>
  <si>
    <t>Semrevebis montaJi</t>
  </si>
  <si>
    <r>
      <t xml:space="preserve">Semrevi </t>
    </r>
    <r>
      <rPr>
        <sz val="10"/>
        <rFont val="AcadNusx"/>
        <family val="0"/>
      </rPr>
      <t>(maRali xarisxis)</t>
    </r>
  </si>
  <si>
    <t>Sxapis Semrevis montaJi</t>
  </si>
  <si>
    <t>Sxapis Semrevi</t>
  </si>
  <si>
    <t>17-1-8</t>
  </si>
  <si>
    <t>saSxape qveSis mowyoba</t>
  </si>
  <si>
    <r>
      <t xml:space="preserve">unitazi </t>
    </r>
    <r>
      <rPr>
        <sz val="10"/>
        <rFont val="AcadNusx"/>
        <family val="0"/>
      </rPr>
      <t>(maRali xarisxis; CamrecxiT da gofrirebuli miliT)</t>
    </r>
  </si>
  <si>
    <r>
      <t xml:space="preserve">saSxape qveSi </t>
    </r>
    <r>
      <rPr>
        <sz val="10"/>
        <rFont val="AcadNusx"/>
        <family val="0"/>
      </rPr>
      <t>(maRali xarisxis)</t>
    </r>
  </si>
  <si>
    <r>
      <t>trapi Ø50 mm.</t>
    </r>
    <r>
      <rPr>
        <sz val="10"/>
        <rFont val="Avaza Mtavruli"/>
        <family val="2"/>
      </rPr>
      <t xml:space="preserve"> (maRali xarisxis)</t>
    </r>
  </si>
  <si>
    <r>
      <t xml:space="preserve">sxva damxmare aqsesuarebi </t>
    </r>
    <r>
      <rPr>
        <sz val="10"/>
        <rFont val="Avaza Mtavruli"/>
        <family val="2"/>
      </rPr>
      <t>(maRali xarisxis)</t>
    </r>
  </si>
  <si>
    <t xml:space="preserve">el. gamacxelebeli avzebis montaJi </t>
  </si>
  <si>
    <t>el. gamacxelebeli avzi 80 ltr.</t>
  </si>
  <si>
    <t>17-9-1</t>
  </si>
  <si>
    <t>სპილენძის კაბელი ორმაგი იზოლაციით NYM-J 5x25</t>
  </si>
  <si>
    <t>8-403-2</t>
  </si>
  <si>
    <t>დამიწების მრავალძარღვა კაბელი 1x16</t>
  </si>
  <si>
    <r>
      <t xml:space="preserve">susti denebis qselebis mowyobis samuSaoebi </t>
    </r>
    <r>
      <rPr>
        <sz val="11"/>
        <rFont val="AcadNusx"/>
        <family val="0"/>
      </rPr>
      <t>(kompiuteruli da saxanZro qselebi)</t>
    </r>
  </si>
  <si>
    <t>16 არხიანი ციფრული ვიდეო ჩამწერი, (პარამეტრები დაზუსტდეს დამკვეთთან !)</t>
  </si>
  <si>
    <r>
      <t xml:space="preserve">kompiuteruli qseli </t>
    </r>
    <r>
      <rPr>
        <sz val="10"/>
        <rFont val="AcadNusx"/>
        <family val="0"/>
      </rPr>
      <t>(შენიშვნა: სპეციფიკაცია არ შეიცავს აქტიურ კომპონენტებს)</t>
    </r>
  </si>
  <si>
    <t>PVC გოფრირებული მილი Ø 16</t>
  </si>
  <si>
    <t>კაბელი Cat.6a S/FTP მაღალი ხარისხის, სპილენძის 100% შემცველობით</t>
  </si>
  <si>
    <t>sul, kompiuteruli qseli:</t>
  </si>
  <si>
    <t>სახარჯი მასალები (კაბელის სამაგრი, ხამუთები, სკობები, RJ-45 კონექტორები, საკომუნიკაციო კოლოფები, საიზოლაციო ლენტა, შურუპები და ა.შ.)</t>
  </si>
  <si>
    <t>nakrebi</t>
  </si>
  <si>
    <t>samisamarTo gazis deteqtori</t>
  </si>
  <si>
    <t>Ethernet TCP/IP ინტერფეისის პლატა</t>
  </si>
  <si>
    <t>ლითონის მოთუთიებული საკაბელო არხი 150x60</t>
  </si>
  <si>
    <r>
      <t xml:space="preserve">CamrTvelebis da gadamrTvelebis mowyoba </t>
    </r>
    <r>
      <rPr>
        <sz val="10"/>
        <rFont val="AcadNusx"/>
        <family val="0"/>
      </rPr>
      <t>(2 klaviSiani)</t>
    </r>
  </si>
  <si>
    <t>2 კლავიშიანი რევერსული ჩამრთველი, 10A</t>
  </si>
  <si>
    <t>ავარიული განათების  LED  სანათი 3W ინტეგრირებული აკუმულატორით</t>
  </si>
  <si>
    <t>ავარიული სანათი საევაკუაციო ნიშნით  ინტეგრირებული აკუმულატორით</t>
  </si>
  <si>
    <t>დიფერენციალური ავტომატური ამომრთველი 2xC16/30mA</t>
  </si>
  <si>
    <t>samSeneblo-mosapirkeTebeli samuSaoebi</t>
  </si>
  <si>
    <t>10-19-2 gamy.</t>
  </si>
  <si>
    <t>12-8-2</t>
  </si>
  <si>
    <t>46-31-12-13</t>
  </si>
  <si>
    <t xml:space="preserve">svel wertilebSi Txevadi hidroizolaciis fenis mowyoba  </t>
  </si>
  <si>
    <t>სპილენძის კაბელი ორმაგი იზოლაციით NYM-J 5x10</t>
  </si>
  <si>
    <t>8-409-5</t>
  </si>
  <si>
    <t>8-409-8</t>
  </si>
  <si>
    <t>სპილენძის კაბელი ორმაგი იზოლაციით NYM-J 5x35</t>
  </si>
  <si>
    <t>8-403-1</t>
  </si>
  <si>
    <t>დამიწების მრავალძარღვა კაბელი 1x6</t>
  </si>
  <si>
    <t>დასაპარალელებელი/გადასაბმელი საკლემო ბლოკი</t>
  </si>
  <si>
    <t>ლითონის მოთუთიებული საკაბელო არხი 200x60</t>
  </si>
  <si>
    <t>ძალოვანი გამანაწილებელი საკლემო ბლოკი 4P-125A</t>
  </si>
  <si>
    <r>
      <t xml:space="preserve">ელ. გამანაწილებელი ფარი </t>
    </r>
    <r>
      <rPr>
        <b/>
        <sz val="11"/>
        <rFont val="Arial"/>
        <family val="2"/>
      </rPr>
      <t xml:space="preserve">LP-1   </t>
    </r>
  </si>
  <si>
    <t>PVC გოფრირებული მილი Ø 20</t>
  </si>
  <si>
    <r>
      <t>RJ</t>
    </r>
    <r>
      <rPr>
        <b/>
        <sz val="11"/>
        <rFont val="AcadNusx"/>
        <family val="0"/>
      </rPr>
      <t xml:space="preserve">-45 kompiuteruli rozeti </t>
    </r>
    <r>
      <rPr>
        <sz val="11"/>
        <rFont val="AcadNusx"/>
        <family val="0"/>
      </rPr>
      <t>(iatakis yuTSi samontaJo)</t>
    </r>
  </si>
  <si>
    <t>იატაკის ყუთში სამონტაჟო როზეტი  2 x RJ-45</t>
  </si>
  <si>
    <t>Cat.5 - 24 x RJ45 FTP პატჩ-პანელი</t>
  </si>
  <si>
    <t xml:space="preserve"> კაბელების ორგანაიზერები</t>
  </si>
  <si>
    <t>19" კაბელების ჰორიზონტალური ორგანაიზერი</t>
  </si>
  <si>
    <t>კაბელების ვერტიკალური ორგანაიზერი 42U საკომუნიკაციო კარადისთვის</t>
  </si>
  <si>
    <t>LED პანელი 600x600 42W ნათურით , IP44, 3000K , 4000 lm</t>
  </si>
  <si>
    <t>LED  სანათი  1200 მმ 36W, IP65,  3000K</t>
  </si>
  <si>
    <t>LED  სანათი  600 მმ 9W, IP65,  3000K</t>
  </si>
  <si>
    <t>წერტილოვანი ჩაფლული LED  სანათი  18W , 3000K, 1470lm</t>
  </si>
  <si>
    <t>წერტილოვანი LED სანათი 10W, 3000K, 676lm</t>
  </si>
  <si>
    <t>PVC სამონტაჟო მილი  Ø 16</t>
  </si>
  <si>
    <t>Ø 16 PVC სამონტაჟო მილის ფიტინგები</t>
  </si>
  <si>
    <t>ბაზაზე სამონტაჟო სამისამართო სირენა, კვება მარყუჟიდან</t>
  </si>
  <si>
    <t>სამისამართო სირენა სტრობით, კვება მარყუჟიდან</t>
  </si>
  <si>
    <t xml:space="preserve">სამისამართო სახანძრო სიგნალიზაციის საკონტროლო პანელი 2 მარყუჟით </t>
  </si>
  <si>
    <t>კაბელი Cat.5e S/FTP მაღალი ხარისხის, სპილენძის 100% შემცველობით</t>
  </si>
  <si>
    <r>
      <t xml:space="preserve">Cat.5 - 24 x RJ45 FTP </t>
    </r>
    <r>
      <rPr>
        <b/>
        <sz val="11"/>
        <rFont val="AcadNusx"/>
        <family val="0"/>
      </rPr>
      <t>პატჩ-პანელი</t>
    </r>
  </si>
  <si>
    <t>შ/მ გუმბათისებრივი 2 მეგაპიქსელიანი PoE ვიდეო კამერა, POE-ს მხარდაჭერა IEEE 802.3AF (PoE) ან IEEE 802.3AT (PoE+) , f=2,8-12mm; H.264/MJPEG; 1080p(1~30fps); (აპარატურა უნდა იყოს თავსებადი არსებულ პროგრამულ უზრუნველყოფასთან, შეთანხმდეს დამკვეთთან)</t>
  </si>
  <si>
    <t>ventili sferuli Ø25 mm</t>
  </si>
  <si>
    <t xml:space="preserve">arsebul wyalsadenis qselSi SeWra </t>
  </si>
  <si>
    <t>liTonis milebi</t>
  </si>
  <si>
    <t>fasonuri detalebi  Ø100 mm</t>
  </si>
  <si>
    <t>revizia Ø 100 mm.</t>
  </si>
  <si>
    <r>
      <t>ventili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Ø</t>
    </r>
    <r>
      <rPr>
        <sz val="11"/>
        <rFont val="AcadNusx"/>
        <family val="0"/>
      </rPr>
      <t>40 mm sferuli</t>
    </r>
  </si>
  <si>
    <t>ჰაერგამშვები ავტომატიური</t>
  </si>
  <si>
    <t>18-15-5 gam.</t>
  </si>
  <si>
    <t>gamwov-modinebiTi orrigiani cxaura 200X300</t>
  </si>
  <si>
    <t xml:space="preserve">gaTboba-gagrileba </t>
  </si>
  <si>
    <t>RerZuli gamwovi ventilatori d-100 mm</t>
  </si>
  <si>
    <t xml:space="preserve">gamwovi difuzorebis mowyoba </t>
  </si>
  <si>
    <r>
      <t xml:space="preserve">gamwovi difuzori </t>
    </r>
    <r>
      <rPr>
        <sz val="11"/>
        <rFont val="Calibri"/>
        <family val="2"/>
      </rPr>
      <t>Ø</t>
    </r>
    <r>
      <rPr>
        <sz val="11"/>
        <rFont val="AcadNusx"/>
        <family val="0"/>
      </rPr>
      <t>150</t>
    </r>
    <r>
      <rPr>
        <sz val="9"/>
        <rFont val="AcadNusx"/>
        <family val="0"/>
      </rPr>
      <t>X</t>
    </r>
    <r>
      <rPr>
        <sz val="11"/>
        <rFont val="AcadNusx"/>
        <family val="0"/>
      </rPr>
      <t>150mm</t>
    </r>
  </si>
  <si>
    <r>
      <t xml:space="preserve">split sistemis kondicionerebis mowyoba </t>
    </r>
    <r>
      <rPr>
        <sz val="11"/>
        <rFont val="AcadNusx"/>
        <family val="0"/>
      </rPr>
      <t>(Sida da gare bloki; marTvis pultiT)</t>
    </r>
  </si>
  <si>
    <t>lokaluri xarjTaRricxva 1-2</t>
  </si>
  <si>
    <t>arsebuli gare fanjrebis demontaJi</t>
  </si>
  <si>
    <t>46-32-2</t>
  </si>
  <si>
    <t>sarTulSua da gadaxurvis Rrutaniani filebis fragmentulad Sevseba betoniT</t>
  </si>
  <si>
    <r>
      <t>ormagi tixrebis mowyoba TabaSirmuyaos filebiT</t>
    </r>
    <r>
      <rPr>
        <sz val="11"/>
        <rFont val="Arial"/>
        <family val="2"/>
      </rPr>
      <t xml:space="preserve"> </t>
    </r>
  </si>
  <si>
    <t>samSeneblo narCenebis gatana sarTulebidan</t>
  </si>
  <si>
    <r>
      <t>aweuli iataki (ix. pr.</t>
    </r>
    <r>
      <rPr>
        <sz val="11"/>
        <rFont val="Arial"/>
        <family val="2"/>
      </rPr>
      <t xml:space="preserve"> </t>
    </r>
    <r>
      <rPr>
        <sz val="11"/>
        <rFont val="AcadNusx"/>
        <family val="0"/>
      </rPr>
      <t>f. #008)</t>
    </r>
  </si>
  <si>
    <t>keramikuli filebis gakvra kedlebze</t>
  </si>
  <si>
    <t>SeRebili Tunuqi</t>
  </si>
  <si>
    <t xml:space="preserve">kedlebis da svetebis damuSaveba da SeRebva maRali xarisxis wyalemulsiuri saRebaviT </t>
  </si>
  <si>
    <t xml:space="preserve"> wyalemulsiuri saRebavi</t>
  </si>
  <si>
    <t>marmarilos fila (20 mm.)</t>
  </si>
  <si>
    <t>15-6-8</t>
  </si>
  <si>
    <t xml:space="preserve">სსიპ წიაღის ეროვნული სააგენტოსთვის დავით აღმაშენებლის გამზირზე #150 მდებარე შენობის მე-8 სართულის (საერთო ფართი 889.32 კვ.მ.) სარემონტო-სამონტაჟო სამუშაოებისთვის საჭირო საპროექტო-სახარჯთაღრიცხვო დოკუმენტაციის შედგენა. </t>
  </si>
  <si>
    <t>liTonis stelaJebis mowyoba</t>
  </si>
  <si>
    <t xml:space="preserve"> jami</t>
  </si>
  <si>
    <t>maT Soris, liTonis konstruqciebi</t>
  </si>
  <si>
    <t>sul:</t>
  </si>
  <si>
    <t>stelaJebi</t>
  </si>
  <si>
    <t>სპილენძის კაბელი ორმაგი იზოლაციით NYM-J 3x4</t>
  </si>
  <si>
    <t>8-403-3</t>
  </si>
  <si>
    <t>დამიწების მრავალძარღვა კაბელი 1x35</t>
  </si>
  <si>
    <t>თვითქრობადი გოფრირებული მილი Ø 16</t>
  </si>
  <si>
    <t>თვითქრობადი გოფრირებული მილი Ø 20</t>
  </si>
  <si>
    <t>საშტეფსელო როზეტი დამიწების კონტაქტით,  2P+E-16A, IP65</t>
  </si>
  <si>
    <t>იატაკის როზეტების ყუთი 8 მექანიზმზე</t>
  </si>
  <si>
    <r>
      <rPr>
        <sz val="11"/>
        <rFont val="AcadNusx"/>
        <family val="0"/>
      </rPr>
      <t>Weris sanaTi,</t>
    </r>
    <r>
      <rPr>
        <sz val="11"/>
        <rFont val="Sylfaen"/>
        <family val="1"/>
      </rPr>
      <t xml:space="preserve"> IP65</t>
    </r>
  </si>
  <si>
    <t>შუქდიოდური ავარიული სანათი ინტეგრირებული აკუმულატორით</t>
  </si>
  <si>
    <t>ავტომატური ამომრთველი MCCB 3x125A, გათიშვის მახასიათებლების ელექტრონული მარეგულირებელი ბლოკით</t>
  </si>
  <si>
    <t>ავტომატური ამომრთველი MCCB 3x100A, გათიშვის მახასიათებლების ელექტრონული მარეგულირებელი ბლოკით</t>
  </si>
  <si>
    <t>24VDC დამოუკიდებელი გამთიშველი MCB 3x80A ავტომატური ამომრთველისთვის</t>
  </si>
  <si>
    <t>მინიატურული ავტომატური ამომრთველი MCB C16/6kA</t>
  </si>
  <si>
    <t>3 ფაზა ქსელის ინდიკატორი</t>
  </si>
  <si>
    <t>სპილენძის დასაპარალელებელი სავარცხელა 3P 16mm2</t>
  </si>
  <si>
    <t>სპილენძის დასაპარალელებელი სავარცხელა L1+N/L2+N/L3+N 16mm2</t>
  </si>
  <si>
    <t>ელ. ფარი 144 მოდულზე, ზედაპირული</t>
  </si>
  <si>
    <t>ელ. ფარი 36 მოდულზე, ზედაპირული</t>
  </si>
  <si>
    <t>24VDC დამოუკიდებელი გამთიშველი MCB 3x100A ავტომატური ამომრთველისთვის</t>
  </si>
  <si>
    <t>ელ. ფარი 72 მოდულზე, ჩაფლული</t>
  </si>
  <si>
    <t xml:space="preserve">21 kVA დიზელ გენერატორი გარსაცმში, რეზერვის ავტომატური ჩართვის კარადით კომპლექტში, დაბალი ხმაურის დონით </t>
  </si>
  <si>
    <t xml:space="preserve">19" საკომუნიკაციო კარადა 42U, ვენტილატორების ბლოკით </t>
  </si>
  <si>
    <t>19" საკომუნიკაციო კარადის ჰორიზონტალური როზეტების ბლოკი PDU-6 (6x10A)</t>
  </si>
  <si>
    <t>4000 VA სიმძლავრის უწყვეტი კვების წყარო (UPS), აკუმულატორებით  კომპლექტში, მუშაობის ხანგრძლივობა 7წთ. 70% დატვირთვაზე, აკუმულატორების სრულად დამუხტვის დრო 3სთ. (დამატებითი პარამეტრები შეთანხმდეს დამკვეთთან)</t>
  </si>
  <si>
    <t>სახანძრო სიგნალიზაციის კაბელი JE-H(St)H...Bd FE180/E90 1x2x0.8</t>
  </si>
  <si>
    <t xml:space="preserve">სამისამართო სახანძრო სიგნალიზაციის საკონტროლო პანელი 1 მარყუჟით </t>
  </si>
  <si>
    <t xml:space="preserve">არანაკლებ 3TB მყარი დისკი, რეკომენდირებული  24/7 რეჟიმში მუშაობისთვის  </t>
  </si>
  <si>
    <t>16 პორტიანი ქსელური PoE კომუტატორი (16-Port 10/100 mbit PoE switch)</t>
  </si>
  <si>
    <t>saqvabe</t>
  </si>
  <si>
    <t>safarToebeli avzi 35 l</t>
  </si>
  <si>
    <t>damcavi sarqveli 3/4" 3 bari</t>
  </si>
  <si>
    <r>
      <t>ventili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Ø</t>
    </r>
    <r>
      <rPr>
        <sz val="11"/>
        <rFont val="AcadNusx"/>
        <family val="0"/>
      </rPr>
      <t>50 mm sferuli</t>
    </r>
  </si>
  <si>
    <t>avtomaturi Semavsebeli sarqveli 3/4"</t>
  </si>
  <si>
    <t>paneluri radiatorebis mowyoba</t>
  </si>
  <si>
    <t>kronSteini</t>
  </si>
  <si>
    <t>radiatorebis ventilebis mowyoba</t>
  </si>
  <si>
    <t>ventili radiatoris miwodebis  d-1/2"</t>
  </si>
  <si>
    <t>ventili radiatoris uku svlis d-1/2"</t>
  </si>
  <si>
    <r>
      <t>quro p/p milebi</t>
    </r>
    <r>
      <rPr>
        <b/>
        <sz val="11"/>
        <rFont val="Arial"/>
        <family val="2"/>
      </rPr>
      <t xml:space="preserve"> D20*2,8-1/2" </t>
    </r>
    <r>
      <rPr>
        <sz val="11"/>
        <rFont val="AcadNusx"/>
        <family val="0"/>
      </rPr>
      <t>gare xraxniT</t>
    </r>
  </si>
  <si>
    <t>WanWiki sayeluriT da qanCiT</t>
  </si>
  <si>
    <t>sankvanZebis arxuli gamwovi ventilatori sistema  280 m3/s 200 pa</t>
  </si>
  <si>
    <t>sankvanZebis arxuli gamwovi ventilatorebi</t>
  </si>
  <si>
    <r>
      <t xml:space="preserve">kauCukis Tboizolacia </t>
    </r>
    <r>
      <rPr>
        <b/>
        <sz val="11"/>
        <rFont val="Arial"/>
        <family val="2"/>
      </rPr>
      <t xml:space="preserve">D20*2,8; </t>
    </r>
    <r>
      <rPr>
        <sz val="11"/>
        <rFont val="AcadNusx"/>
        <family val="0"/>
      </rPr>
      <t xml:space="preserve"> p/p milebisaTvis</t>
    </r>
  </si>
  <si>
    <t>arsebuli Sida xis karebis demontaJi</t>
  </si>
  <si>
    <t xml:space="preserve"> aguris Sida kedlebis da tixrebis demontaJi</t>
  </si>
  <si>
    <t>iatakebidan metlaxis filebis demontaJi</t>
  </si>
  <si>
    <t>46-30-2</t>
  </si>
  <si>
    <t>iatakebidan laminatis safaris demontaJi</t>
  </si>
  <si>
    <t>arsebuli milgayvanilobis sistemis demontaJi</t>
  </si>
  <si>
    <t>11-7-3</t>
  </si>
  <si>
    <t xml:space="preserve"> damaTbunebeli fenis mowyoba  iatakebis qveS.</t>
  </si>
  <si>
    <r>
      <rPr>
        <sz val="11"/>
        <rFont val="Arial"/>
        <family val="2"/>
      </rPr>
      <t>XPS</t>
    </r>
    <r>
      <rPr>
        <sz val="11"/>
        <rFont val="AcadNusx"/>
        <family val="0"/>
      </rPr>
      <t xml:space="preserve"> - 50mm.</t>
    </r>
  </si>
  <si>
    <t>metlaxis filebis dageba iatakebze</t>
  </si>
  <si>
    <t>metlaxi (arapriala zedapiriT)</t>
  </si>
  <si>
    <t>11-27-4</t>
  </si>
  <si>
    <t>aluminis gadamyvani</t>
  </si>
  <si>
    <t>11-42-1</t>
  </si>
  <si>
    <t>yinvagamZle webocementi</t>
  </si>
  <si>
    <t>yinvagamZle keramograniti (arapriala zedapiriT)</t>
  </si>
  <si>
    <t xml:space="preserve">armstrongis Sekiduli Weris mowyoba nestgamZle filebiT  </t>
  </si>
  <si>
    <r>
      <rPr>
        <b/>
        <sz val="11"/>
        <rFont val="Arial"/>
        <family val="2"/>
      </rPr>
      <t>PVC</t>
    </r>
    <r>
      <rPr>
        <b/>
        <sz val="11"/>
        <rFont val="AcadNusx"/>
        <family val="0"/>
      </rPr>
      <t xml:space="preserve"> rafebis mowyoba</t>
    </r>
  </si>
  <si>
    <r>
      <rPr>
        <sz val="11"/>
        <rFont val="Arial"/>
        <family val="2"/>
      </rPr>
      <t>PVC</t>
    </r>
    <r>
      <rPr>
        <sz val="11"/>
        <rFont val="AcadNusx"/>
        <family val="0"/>
      </rPr>
      <t xml:space="preserve"> rafebi</t>
    </r>
  </si>
  <si>
    <r>
      <t xml:space="preserve">SeRebili mdf plintusis mowyoba </t>
    </r>
    <r>
      <rPr>
        <sz val="11"/>
        <rFont val="AcadNusx"/>
        <family val="0"/>
      </rPr>
      <t>(</t>
    </r>
    <r>
      <rPr>
        <sz val="11"/>
        <rFont val="Arial"/>
        <family val="2"/>
      </rPr>
      <t>H</t>
    </r>
    <r>
      <rPr>
        <sz val="11"/>
        <rFont val="AcadNusx"/>
        <family val="0"/>
      </rPr>
      <t>=10 sm.)</t>
    </r>
  </si>
  <si>
    <r>
      <t>SeRebili mdf plintusi (</t>
    </r>
    <r>
      <rPr>
        <sz val="11"/>
        <rFont val="Arial"/>
        <family val="2"/>
      </rPr>
      <t>H</t>
    </r>
    <r>
      <rPr>
        <sz val="11"/>
        <rFont val="AcadNusx"/>
        <family val="0"/>
      </rPr>
      <t>=10 sm.)</t>
    </r>
  </si>
  <si>
    <t>15-55-5</t>
  </si>
  <si>
    <t>Sida kedlebis da ferdobebis lesva qviSa-cementis xsnariT</t>
  </si>
  <si>
    <r>
      <t>xsnaris tumbo 1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>/sT</t>
    </r>
  </si>
  <si>
    <t>15-66-9</t>
  </si>
  <si>
    <r>
      <t>m</t>
    </r>
    <r>
      <rPr>
        <b/>
        <vertAlign val="superscript"/>
        <sz val="11"/>
        <rFont val="AcadNusx"/>
        <family val="0"/>
      </rPr>
      <t>2</t>
    </r>
  </si>
  <si>
    <r>
      <t>m</t>
    </r>
    <r>
      <rPr>
        <vertAlign val="superscript"/>
        <sz val="11"/>
        <rFont val="AcadNusx"/>
        <family val="0"/>
      </rPr>
      <t>2</t>
    </r>
  </si>
  <si>
    <t>gaji</t>
  </si>
  <si>
    <r>
      <t xml:space="preserve"> kedlebis Selesva gajiT </t>
    </r>
    <r>
      <rPr>
        <sz val="11"/>
        <rFont val="AcadNusx"/>
        <family val="0"/>
      </rPr>
      <t>(lokaluri amolesvebi)</t>
    </r>
  </si>
  <si>
    <r>
      <t xml:space="preserve">Semrevebis montaJi </t>
    </r>
    <r>
      <rPr>
        <sz val="10"/>
        <rFont val="Avaza Mtavruli"/>
        <family val="2"/>
      </rPr>
      <t>(oTaxebSi ganTavsebuli, avejSi ganTavsebuli niJarebi)</t>
    </r>
  </si>
  <si>
    <r>
      <t xml:space="preserve">niJarebis montaJi </t>
    </r>
    <r>
      <rPr>
        <sz val="10"/>
        <rFont val="Avaza Mtavruli"/>
        <family val="2"/>
      </rPr>
      <t>(oTaxebSi ganTavsebuli, avejSi ganTavsebuli niJarebi)</t>
    </r>
  </si>
  <si>
    <r>
      <t xml:space="preserve">niJarebi boTlisebri sifoniT </t>
    </r>
    <r>
      <rPr>
        <sz val="10"/>
        <rFont val="AcadNusx"/>
        <family val="0"/>
      </rPr>
      <t>(maRali xarisxis)</t>
    </r>
  </si>
  <si>
    <t>aweuli iatakis mowyoba</t>
  </si>
  <si>
    <t>9-32-12</t>
  </si>
  <si>
    <t>8-409-7</t>
  </si>
  <si>
    <t>10-14-2</t>
  </si>
  <si>
    <t>16-20-1</t>
  </si>
  <si>
    <t>18-2-6</t>
  </si>
  <si>
    <r>
      <t xml:space="preserve">liTonis konstruqciebi </t>
    </r>
    <r>
      <rPr>
        <sz val="10"/>
        <rFont val="AcadNusx"/>
        <family val="0"/>
      </rPr>
      <t>(kuTxovana: 30*30*3)</t>
    </r>
  </si>
  <si>
    <t>eleqtrodi</t>
  </si>
  <si>
    <r>
      <rPr>
        <b/>
        <sz val="11"/>
        <rFont val="AcadNusx"/>
        <family val="0"/>
      </rPr>
      <t>liTonis stelaJebi</t>
    </r>
    <r>
      <rPr>
        <sz val="10"/>
        <rFont val="AcadNusx"/>
        <family val="0"/>
      </rPr>
      <t xml:space="preserve"> (</t>
    </r>
    <r>
      <rPr>
        <sz val="10"/>
        <rFont val="Arial"/>
        <family val="2"/>
      </rPr>
      <t>H</t>
    </r>
    <r>
      <rPr>
        <sz val="10"/>
        <rFont val="AcadNusx"/>
        <family val="0"/>
      </rPr>
      <t>=2.0 m.; siganiT 600 (8.9 grZ.m.) da 300 mm. (8.2 grZ.m.) proeqtis mixedviT)</t>
    </r>
  </si>
  <si>
    <t>mdf (20 mm. sisqis)</t>
  </si>
  <si>
    <r>
      <t xml:space="preserve">სახარჯი მასალები </t>
    </r>
    <r>
      <rPr>
        <sz val="11"/>
        <rFont val="Sylfaen"/>
        <family val="1"/>
      </rPr>
      <t>(კაბელის სამაგრი, ხამუთები, სკობები, RJ-45 კონექტორები, საკომუნიკაციო კოლოფები, საიზოლაციო ლენტა, შურუპები და ა.შ.)</t>
    </r>
  </si>
  <si>
    <r>
      <rPr>
        <sz val="11"/>
        <rFont val="AcadNusx"/>
        <family val="0"/>
      </rPr>
      <t>kanalizaciis mili</t>
    </r>
    <r>
      <rPr>
        <sz val="11"/>
        <rFont val="Avaza Mtavruli"/>
        <family val="2"/>
      </rPr>
      <t xml:space="preserve"> Ø50 mm.</t>
    </r>
  </si>
  <si>
    <r>
      <rPr>
        <sz val="11"/>
        <rFont val="AcadNusx"/>
        <family val="0"/>
      </rPr>
      <t>kanalizaciis mili</t>
    </r>
    <r>
      <rPr>
        <sz val="11"/>
        <rFont val="Avaza Mtavruli"/>
        <family val="2"/>
      </rPr>
      <t xml:space="preserve"> Ø100 mm.</t>
    </r>
  </si>
  <si>
    <r>
      <t>kondensaturi kedelze dasakidi qvabi 50 kv. daxuruli wvis kameriT, sakvamuriT, momuSave temperaturul reJimSi 80-60*</t>
    </r>
    <r>
      <rPr>
        <b/>
        <sz val="11"/>
        <rFont val="Calibri"/>
        <family val="2"/>
      </rPr>
      <t xml:space="preserve">C </t>
    </r>
  </si>
  <si>
    <r>
      <t>kondensaturi kedelze dasakidi qvabi 50 kv. daxuruli wvis kameriT, sakvamuriT, momuSave temperaturul reJimSi 80-60*</t>
    </r>
    <r>
      <rPr>
        <sz val="11"/>
        <rFont val="Calibri"/>
        <family val="2"/>
      </rPr>
      <t xml:space="preserve">C </t>
    </r>
  </si>
  <si>
    <r>
      <t xml:space="preserve">qseluri sacirkulacio tumbo </t>
    </r>
    <r>
      <rPr>
        <sz val="11"/>
        <rFont val="Calibri"/>
        <family val="2"/>
      </rPr>
      <t>Q=5 M3 H=6 M</t>
    </r>
  </si>
  <si>
    <r>
      <t xml:space="preserve">radiatori paneluri </t>
    </r>
    <r>
      <rPr>
        <sz val="11"/>
        <rFont val="Calibri"/>
        <family val="2"/>
      </rPr>
      <t>PKKP22 600X1400</t>
    </r>
  </si>
  <si>
    <r>
      <t xml:space="preserve">radiatori paneluri </t>
    </r>
    <r>
      <rPr>
        <sz val="11"/>
        <rFont val="Calibri"/>
        <family val="2"/>
      </rPr>
      <t>PKKP22 600X1200</t>
    </r>
  </si>
  <si>
    <r>
      <t xml:space="preserve">radiatori paneluri </t>
    </r>
    <r>
      <rPr>
        <sz val="11"/>
        <rFont val="Calibri"/>
        <family val="2"/>
      </rPr>
      <t>PKKP22 600X1000</t>
    </r>
  </si>
  <si>
    <r>
      <t xml:space="preserve">radiatori paneluri </t>
    </r>
    <r>
      <rPr>
        <sz val="11"/>
        <rFont val="Calibri"/>
        <family val="2"/>
      </rPr>
      <t>PKKP22 600X900</t>
    </r>
  </si>
  <si>
    <r>
      <t xml:space="preserve">radiatori paneluri </t>
    </r>
    <r>
      <rPr>
        <sz val="11"/>
        <rFont val="Calibri"/>
        <family val="2"/>
      </rPr>
      <t>PKKP22 600X800</t>
    </r>
  </si>
  <si>
    <r>
      <t xml:space="preserve">radiatori paneluri </t>
    </r>
    <r>
      <rPr>
        <sz val="11"/>
        <rFont val="Calibri"/>
        <family val="2"/>
      </rPr>
      <t>PKKP22 600X600</t>
    </r>
  </si>
  <si>
    <r>
      <t xml:space="preserve">radiatori paneluri </t>
    </r>
    <r>
      <rPr>
        <sz val="11"/>
        <rFont val="Calibri"/>
        <family val="2"/>
      </rPr>
      <t>PKKP22 600X400</t>
    </r>
  </si>
  <si>
    <r>
      <t xml:space="preserve">gare cxaura </t>
    </r>
    <r>
      <rPr>
        <sz val="11"/>
        <rFont val="Arial"/>
        <family val="2"/>
      </rPr>
      <t>Ø100</t>
    </r>
    <r>
      <rPr>
        <sz val="11"/>
        <rFont val="AcadNusx"/>
        <family val="0"/>
      </rPr>
      <t xml:space="preserve"> mm</t>
    </r>
  </si>
  <si>
    <r>
      <t xml:space="preserve">gare cxaura </t>
    </r>
    <r>
      <rPr>
        <sz val="11"/>
        <rFont val="Arial"/>
        <family val="2"/>
      </rPr>
      <t>Ø150</t>
    </r>
    <r>
      <rPr>
        <sz val="11"/>
        <rFont val="AcadNusx"/>
        <family val="0"/>
      </rPr>
      <t xml:space="preserve"> mm</t>
    </r>
  </si>
  <si>
    <r>
      <rPr>
        <sz val="11"/>
        <rFont val="AcadNusx"/>
        <family val="0"/>
      </rPr>
      <t>kanalizaciis mili</t>
    </r>
    <r>
      <rPr>
        <sz val="11"/>
        <rFont val="Avaza Mtavruli"/>
        <family val="2"/>
      </rPr>
      <t xml:space="preserve"> Ø150 mm.</t>
    </r>
  </si>
  <si>
    <r>
      <t>kondicioneris Sida da gare bloki 24 000 \</t>
    </r>
    <r>
      <rPr>
        <sz val="11"/>
        <rFont val="Arial"/>
        <family val="2"/>
      </rPr>
      <t>Btu</t>
    </r>
    <r>
      <rPr>
        <sz val="11"/>
        <rFont val="AcadNusx"/>
        <family val="0"/>
      </rPr>
      <t xml:space="preserve"> (7 kv)</t>
    </r>
  </si>
  <si>
    <r>
      <t xml:space="preserve">kondicioneris Sida da gare bloki 18 000 </t>
    </r>
    <r>
      <rPr>
        <sz val="11"/>
        <rFont val="Arial"/>
        <family val="2"/>
      </rPr>
      <t>Btu</t>
    </r>
    <r>
      <rPr>
        <sz val="11"/>
        <rFont val="AcadNusx"/>
        <family val="0"/>
      </rPr>
      <t>/s (5.2 kv)</t>
    </r>
  </si>
  <si>
    <r>
      <t xml:space="preserve">kondicioneris Sida da gare bloki 12 000 </t>
    </r>
    <r>
      <rPr>
        <sz val="11"/>
        <rFont val="Arial"/>
        <family val="2"/>
      </rPr>
      <t>Btu</t>
    </r>
    <r>
      <rPr>
        <sz val="11"/>
        <rFont val="AcadNusx"/>
        <family val="0"/>
      </rPr>
      <t>/s (3.5 kv)</t>
    </r>
  </si>
  <si>
    <r>
      <t xml:space="preserve">kondicioneris Sida da gare bloki 9 000 </t>
    </r>
    <r>
      <rPr>
        <sz val="11"/>
        <rFont val="Arial"/>
        <family val="2"/>
      </rPr>
      <t>Btu</t>
    </r>
    <r>
      <rPr>
        <sz val="11"/>
        <rFont val="AcadNusx"/>
        <family val="0"/>
      </rPr>
      <t>/s (2.7 kv)</t>
    </r>
  </si>
  <si>
    <t>46-32-3</t>
  </si>
  <si>
    <r>
      <t>m</t>
    </r>
    <r>
      <rPr>
        <b/>
        <vertAlign val="superscript"/>
        <sz val="11"/>
        <rFont val="AcadNusx"/>
        <family val="0"/>
      </rPr>
      <t>3</t>
    </r>
  </si>
  <si>
    <t>46-31-2</t>
  </si>
  <si>
    <r>
      <t xml:space="preserve">iatakebidan qviSa-cementis moWimvis moxsna </t>
    </r>
    <r>
      <rPr>
        <sz val="11"/>
        <rFont val="AcadNusx"/>
        <family val="0"/>
      </rPr>
      <t>(saS. sisqiT 4 sm.)</t>
    </r>
  </si>
  <si>
    <r>
      <t>m</t>
    </r>
    <r>
      <rPr>
        <vertAlign val="superscript"/>
        <sz val="11"/>
        <rFont val="AcadNusx"/>
        <family val="0"/>
      </rPr>
      <t>3</t>
    </r>
  </si>
  <si>
    <t>Е1-22-1-а</t>
  </si>
  <si>
    <t>6-16-1          gam.</t>
  </si>
  <si>
    <t>10-60-4        knaufi</t>
  </si>
  <si>
    <r>
      <t xml:space="preserve">profili </t>
    </r>
    <r>
      <rPr>
        <sz val="11"/>
        <rFont val="Arial"/>
        <family val="2"/>
      </rPr>
      <t xml:space="preserve">UW </t>
    </r>
  </si>
  <si>
    <r>
      <t xml:space="preserve">profili </t>
    </r>
    <r>
      <rPr>
        <sz val="11"/>
        <rFont val="Arial"/>
        <family val="2"/>
      </rPr>
      <t xml:space="preserve">CW  </t>
    </r>
  </si>
  <si>
    <t>c</t>
  </si>
  <si>
    <t xml:space="preserve">dubeli </t>
  </si>
  <si>
    <t>nakerebis Semavsebeli lenta</t>
  </si>
  <si>
    <t>TviTmwebadi lenta</t>
  </si>
  <si>
    <t>damaTbunebeli fena (qvabamba)</t>
  </si>
  <si>
    <t>TabaSirmuyaos fila 2500X1200X12.5mm</t>
  </si>
  <si>
    <t>8-4-7</t>
  </si>
  <si>
    <t>mastika</t>
  </si>
  <si>
    <t>11-36-3</t>
  </si>
  <si>
    <r>
      <t xml:space="preserve">yinvagamZle keramogranitis filebis dageba iatakebze </t>
    </r>
    <r>
      <rPr>
        <sz val="11"/>
        <rFont val="AcadNusx"/>
        <family val="0"/>
      </rPr>
      <t>(aivnebi)</t>
    </r>
  </si>
  <si>
    <r>
      <t xml:space="preserve">kedlebis mopirkeTeba marmarilos filebiT </t>
    </r>
    <r>
      <rPr>
        <sz val="11"/>
        <rFont val="AcadNusx"/>
        <family val="0"/>
      </rPr>
      <t>(liftis karebis Sida ferdi da karebis gare perimetri)</t>
    </r>
  </si>
  <si>
    <t>10-10-3 misadag        knaufi</t>
  </si>
  <si>
    <t>nestgamZle TabaSirmuyaos fila 2500X1200X12.5mm</t>
  </si>
  <si>
    <r>
      <t xml:space="preserve">profili </t>
    </r>
    <r>
      <rPr>
        <sz val="11"/>
        <rFont val="Arial"/>
        <family val="2"/>
      </rPr>
      <t xml:space="preserve">CD </t>
    </r>
  </si>
  <si>
    <r>
      <t xml:space="preserve">profili </t>
    </r>
    <r>
      <rPr>
        <sz val="11"/>
        <rFont val="Arial"/>
        <family val="2"/>
      </rPr>
      <t xml:space="preserve">UD </t>
    </r>
  </si>
  <si>
    <r>
      <t xml:space="preserve">CD </t>
    </r>
    <r>
      <rPr>
        <sz val="11"/>
        <rFont val="AcadNusx"/>
        <family val="0"/>
      </rPr>
      <t>profilis gadasabmeli</t>
    </r>
  </si>
  <si>
    <t>pirdapiri sakidi</t>
  </si>
  <si>
    <t>sWavli</t>
  </si>
  <si>
    <t>armirebis lenti</t>
  </si>
  <si>
    <t>34-58-1          misadag</t>
  </si>
  <si>
    <t xml:space="preserve">sxva manqana </t>
  </si>
  <si>
    <t>m2</t>
  </si>
  <si>
    <t>15-168-10</t>
  </si>
  <si>
    <t>9-14-5</t>
  </si>
  <si>
    <r>
      <t xml:space="preserve">metaloplastmasis fanjrebis damzadeba da montaJi </t>
    </r>
    <r>
      <rPr>
        <sz val="11"/>
        <rFont val="AcadNusx"/>
        <family val="0"/>
      </rPr>
      <t>(f-1; f-2)</t>
    </r>
  </si>
  <si>
    <t>14-43</t>
  </si>
  <si>
    <t>amwe saavtomobilo svlaze 3t</t>
  </si>
  <si>
    <t>14-92</t>
  </si>
  <si>
    <t>jalambari 3t</t>
  </si>
  <si>
    <t>10.3-3</t>
  </si>
  <si>
    <t>metaloplastmasis fanjara (gaRebebis da gadmokidebebis gaTvaliswinebiT)</t>
  </si>
  <si>
    <r>
      <t xml:space="preserve">Sida aluminis vitraJis mowyoba </t>
    </r>
    <r>
      <rPr>
        <sz val="11"/>
        <rFont val="AcadNusx"/>
        <family val="0"/>
      </rPr>
      <t>(karebis gaTvaliswinebiT; 10 mm. nawrTobi minebiT.)</t>
    </r>
  </si>
  <si>
    <t xml:space="preserve"> aluminis vitraJi (karebis gaTvaliswinebiT; 10 mm. nawrTobi minebiT.)</t>
  </si>
  <si>
    <t>Sida Jaluzi (horizontaluri, liTonis)</t>
  </si>
  <si>
    <t>amwe saavtomobilo svlaze 25t</t>
  </si>
  <si>
    <t>samontaJo elementebi</t>
  </si>
  <si>
    <r>
      <t xml:space="preserve">Sida mdf-is karebis blokis mowyoba </t>
    </r>
    <r>
      <rPr>
        <sz val="11"/>
        <rFont val="AcadNusx"/>
        <family val="0"/>
      </rPr>
      <t xml:space="preserve">(maRali xarisxis; k-1 </t>
    </r>
    <r>
      <rPr>
        <sz val="11"/>
        <rFont val="Arial"/>
        <family val="2"/>
      </rPr>
      <t>÷</t>
    </r>
    <r>
      <rPr>
        <sz val="11"/>
        <rFont val="AcadNusx"/>
        <family val="0"/>
      </rPr>
      <t xml:space="preserve"> k-4)</t>
    </r>
  </si>
  <si>
    <t>mdf karebis bloki (maRali xarisxis; aqsesuarebiT)</t>
  </si>
  <si>
    <t>avtoadministratori (sankvanZebis karebi)</t>
  </si>
  <si>
    <r>
      <t xml:space="preserve">fanjrebze SeRebili Tunuqis sacremleebis mowyoba </t>
    </r>
    <r>
      <rPr>
        <sz val="11"/>
        <rFont val="AcadNusx"/>
        <family val="0"/>
      </rPr>
      <t>(Tunuqis sisqe 0,55 mm.)</t>
    </r>
  </si>
  <si>
    <t>srf.        15-20</t>
  </si>
  <si>
    <t>10-743-2</t>
  </si>
  <si>
    <t xml:space="preserve">fasonuri detalebi </t>
  </si>
  <si>
    <t>muxli plastmasis Ø20 mm</t>
  </si>
  <si>
    <t>muxli plastmasis Ø25 mm</t>
  </si>
  <si>
    <t>igive, Sida xraxniT Ø20 mm</t>
  </si>
  <si>
    <t>plastmasis samkapi Ø20/20 mm</t>
  </si>
  <si>
    <t>plastmasis samkapi Ø25/20 mm</t>
  </si>
  <si>
    <t>plastmasis samkapi Ø25/25 mm</t>
  </si>
  <si>
    <t>plastmasis gadamyvani fol/pl.  Ø25/20 mm</t>
  </si>
  <si>
    <t>plastmasis milis samagri Ø20 mm</t>
  </si>
  <si>
    <t>plastmasis  milis samagri Ø25 mm</t>
  </si>
  <si>
    <t>plastmasis quro Ø20 mm</t>
  </si>
  <si>
    <t>plastmasis quro Ø25 mm</t>
  </si>
  <si>
    <t>betonis lursmani</t>
  </si>
  <si>
    <t>civi da cxeli wylis fasonuri nawilebi</t>
  </si>
  <si>
    <t>fasonuri detalebi  Ø50 mm</t>
  </si>
  <si>
    <r>
      <t>muxli</t>
    </r>
    <r>
      <rPr>
        <sz val="11"/>
        <rFont val="Arial"/>
        <family val="2"/>
      </rPr>
      <t xml:space="preserve"> Ø50 </t>
    </r>
    <r>
      <rPr>
        <sz val="11"/>
        <rFont val="AcadNusx"/>
        <family val="0"/>
      </rPr>
      <t>mm</t>
    </r>
  </si>
  <si>
    <r>
      <t>samkapi Ø 50/50/50 mm, 90</t>
    </r>
    <r>
      <rPr>
        <sz val="10"/>
        <rFont val="Arial"/>
        <family val="2"/>
      </rPr>
      <t>°</t>
    </r>
  </si>
  <si>
    <r>
      <t>samkapi Ø 50/50/50 mm, 45</t>
    </r>
    <r>
      <rPr>
        <sz val="10"/>
        <rFont val="Arial"/>
        <family val="2"/>
      </rPr>
      <t>°</t>
    </r>
  </si>
  <si>
    <t>plastmasis quro Ø 50 mm.</t>
  </si>
  <si>
    <t>plastmasis samagri Ø 50 mm.</t>
  </si>
  <si>
    <r>
      <t>muxli</t>
    </r>
    <r>
      <rPr>
        <sz val="11"/>
        <rFont val="Arial"/>
        <family val="2"/>
      </rPr>
      <t xml:space="preserve"> Ø110 </t>
    </r>
    <r>
      <rPr>
        <sz val="11"/>
        <rFont val="AcadNusx"/>
        <family val="0"/>
      </rPr>
      <t>mm</t>
    </r>
  </si>
  <si>
    <r>
      <t xml:space="preserve">plastmasis jvaredi  </t>
    </r>
    <r>
      <rPr>
        <sz val="10"/>
        <rFont val="Arial"/>
        <family val="2"/>
      </rPr>
      <t>Ø110/110; 90°</t>
    </r>
  </si>
  <si>
    <t>plastmasis gadamyvani Ø 100/50 mm</t>
  </si>
  <si>
    <r>
      <t>samkapi Ø 100/100/100 mm, 90</t>
    </r>
    <r>
      <rPr>
        <sz val="10"/>
        <rFont val="Arial"/>
        <family val="2"/>
      </rPr>
      <t>°</t>
    </r>
  </si>
  <si>
    <r>
      <t>samkapi Ø 100/100/100 mm, 45</t>
    </r>
    <r>
      <rPr>
        <sz val="10"/>
        <rFont val="Arial"/>
        <family val="2"/>
      </rPr>
      <t>°</t>
    </r>
  </si>
  <si>
    <r>
      <t>samkapi Ø 100/50/100 mm, 90</t>
    </r>
    <r>
      <rPr>
        <sz val="10"/>
        <rFont val="Arial"/>
        <family val="2"/>
      </rPr>
      <t>°</t>
    </r>
  </si>
  <si>
    <r>
      <t>samkapi Ø 100/50/100 mm, 45</t>
    </r>
    <r>
      <rPr>
        <sz val="10"/>
        <rFont val="Arial"/>
        <family val="2"/>
      </rPr>
      <t>°</t>
    </r>
  </si>
  <si>
    <t>gamwmendi Ø 100 mm.</t>
  </si>
  <si>
    <t>plastmasis quro Ø 100 mm.</t>
  </si>
  <si>
    <t>plastmasis samagri Ø 100 mm.</t>
  </si>
  <si>
    <t>10-51-5</t>
  </si>
  <si>
    <t>21-27-4 gam.</t>
  </si>
  <si>
    <t>8.14-401</t>
  </si>
  <si>
    <t>8-574-24</t>
  </si>
  <si>
    <t>el. avtomatebis montaJi</t>
  </si>
  <si>
    <t>8-574-23</t>
  </si>
  <si>
    <t>8-574-19</t>
  </si>
  <si>
    <t>8-574-18</t>
  </si>
  <si>
    <t>მინიატურული ავტომატური ამომრთველი MCB 3xC16/6kA</t>
  </si>
  <si>
    <t>მინიატურული ავტომატური ამომრთველი MCB 3xC10/6kA</t>
  </si>
  <si>
    <t>მინიატურული ავტომატური ამომრთველი MCB C6/6kA</t>
  </si>
  <si>
    <t>მინიატურული ავტომატური ამომრთველი MCB C10/6kA</t>
  </si>
  <si>
    <t>მინიატურული ავტომატური ამომრთველი MCB 3xC20/6kA</t>
  </si>
  <si>
    <t>მინიატურული ავტომატური ამომრთველი MCB 3xC40/6kA</t>
  </si>
  <si>
    <t>მინიატურული ავტომატური ამომრთველი MCB 3xC80/10kA</t>
  </si>
  <si>
    <t>მინიატურული ავტომატური ამომრთველი MCB 3xC100/10kA</t>
  </si>
  <si>
    <r>
      <t xml:space="preserve">samkapi p/p milisaTvis </t>
    </r>
    <r>
      <rPr>
        <b/>
        <sz val="11"/>
        <rFont val="Arial"/>
        <family val="2"/>
      </rPr>
      <t>Ø25</t>
    </r>
  </si>
  <si>
    <r>
      <t xml:space="preserve">samkapi p/p milisaTvis </t>
    </r>
    <r>
      <rPr>
        <b/>
        <sz val="11"/>
        <rFont val="Arial"/>
        <family val="2"/>
      </rPr>
      <t>Ø32</t>
    </r>
  </si>
  <si>
    <r>
      <t xml:space="preserve">samkapi p/p milisaTvis </t>
    </r>
    <r>
      <rPr>
        <b/>
        <sz val="11"/>
        <rFont val="Arial"/>
        <family val="2"/>
      </rPr>
      <t>Ø40</t>
    </r>
  </si>
  <si>
    <r>
      <t xml:space="preserve">samkapi p/p milisaTvis </t>
    </r>
    <r>
      <rPr>
        <b/>
        <sz val="11"/>
        <rFont val="Arial"/>
        <family val="2"/>
      </rPr>
      <t>Ø50</t>
    </r>
  </si>
  <si>
    <r>
      <t>quro p/p milebi</t>
    </r>
    <r>
      <rPr>
        <sz val="11"/>
        <rFont val="Arial"/>
        <family val="2"/>
      </rPr>
      <t xml:space="preserve"> Ø20</t>
    </r>
  </si>
  <si>
    <r>
      <t>quro p/p milebi</t>
    </r>
    <r>
      <rPr>
        <sz val="11"/>
        <rFont val="Arial"/>
        <family val="2"/>
      </rPr>
      <t xml:space="preserve"> Ø25</t>
    </r>
  </si>
  <si>
    <r>
      <t>quro p/p milebi</t>
    </r>
    <r>
      <rPr>
        <sz val="11"/>
        <rFont val="Arial"/>
        <family val="2"/>
      </rPr>
      <t xml:space="preserve"> Ø32</t>
    </r>
  </si>
  <si>
    <r>
      <t xml:space="preserve">quro p/p milebi </t>
    </r>
    <r>
      <rPr>
        <sz val="11"/>
        <rFont val="Arial"/>
        <family val="2"/>
      </rPr>
      <t>Ø40</t>
    </r>
  </si>
  <si>
    <r>
      <t>quro p/p milebi</t>
    </r>
    <r>
      <rPr>
        <sz val="11"/>
        <rFont val="Arial"/>
        <family val="2"/>
      </rPr>
      <t xml:space="preserve"> Ø50</t>
    </r>
  </si>
  <si>
    <r>
      <t xml:space="preserve">gadamyvani </t>
    </r>
    <r>
      <rPr>
        <b/>
        <sz val="11"/>
        <rFont val="Arial"/>
        <family val="2"/>
      </rPr>
      <t>Ø25X20</t>
    </r>
  </si>
  <si>
    <r>
      <t xml:space="preserve">gadamyvani </t>
    </r>
    <r>
      <rPr>
        <b/>
        <sz val="11"/>
        <rFont val="Arial"/>
        <family val="2"/>
      </rPr>
      <t>Ø32X20</t>
    </r>
  </si>
  <si>
    <r>
      <t xml:space="preserve">gadamyvani </t>
    </r>
    <r>
      <rPr>
        <b/>
        <sz val="11"/>
        <rFont val="Arial"/>
        <family val="2"/>
      </rPr>
      <t>Ø32X25</t>
    </r>
  </si>
  <si>
    <r>
      <t xml:space="preserve">gadamyvani </t>
    </r>
    <r>
      <rPr>
        <b/>
        <sz val="11"/>
        <rFont val="Arial"/>
        <family val="2"/>
      </rPr>
      <t>Ø40X25</t>
    </r>
  </si>
  <si>
    <r>
      <t xml:space="preserve">gadamyvani </t>
    </r>
    <r>
      <rPr>
        <b/>
        <sz val="11"/>
        <rFont val="Arial"/>
        <family val="2"/>
      </rPr>
      <t>Ø40X32</t>
    </r>
  </si>
  <si>
    <r>
      <t xml:space="preserve">gadamyvani </t>
    </r>
    <r>
      <rPr>
        <b/>
        <sz val="11"/>
        <rFont val="Arial"/>
        <family val="2"/>
      </rPr>
      <t>Ø50X32</t>
    </r>
  </si>
  <si>
    <r>
      <t xml:space="preserve">gadamyvani </t>
    </r>
    <r>
      <rPr>
        <b/>
        <sz val="11"/>
        <rFont val="Arial"/>
        <family val="2"/>
      </rPr>
      <t>Ø50X40</t>
    </r>
  </si>
  <si>
    <t>quro 25 g.x.</t>
  </si>
  <si>
    <t xml:space="preserve">quro 20 g.x. </t>
  </si>
  <si>
    <r>
      <t xml:space="preserve">Semovla </t>
    </r>
    <r>
      <rPr>
        <sz val="11"/>
        <rFont val="Calibri"/>
        <family val="2"/>
      </rPr>
      <t>Ø</t>
    </r>
    <r>
      <rPr>
        <sz val="11"/>
        <rFont val="AcadNusx"/>
        <family val="0"/>
      </rPr>
      <t>20</t>
    </r>
  </si>
  <si>
    <r>
      <t xml:space="preserve">Semovla </t>
    </r>
    <r>
      <rPr>
        <sz val="11"/>
        <rFont val="Calibri"/>
        <family val="2"/>
      </rPr>
      <t>Ø</t>
    </r>
    <r>
      <rPr>
        <sz val="11"/>
        <rFont val="AcadNusx"/>
        <family val="0"/>
      </rPr>
      <t>25</t>
    </r>
  </si>
  <si>
    <r>
      <t xml:space="preserve">Semovla </t>
    </r>
    <r>
      <rPr>
        <sz val="11"/>
        <rFont val="Calibri"/>
        <family val="2"/>
      </rPr>
      <t>Ø</t>
    </r>
    <r>
      <rPr>
        <sz val="11"/>
        <rFont val="AcadNusx"/>
        <family val="0"/>
      </rPr>
      <t>32</t>
    </r>
  </si>
  <si>
    <r>
      <t xml:space="preserve">muxli </t>
    </r>
    <r>
      <rPr>
        <sz val="11"/>
        <rFont val="Arial"/>
        <family val="2"/>
      </rPr>
      <t>Ø</t>
    </r>
    <r>
      <rPr>
        <sz val="11"/>
        <rFont val="AcadNusx"/>
        <family val="0"/>
      </rPr>
      <t>20</t>
    </r>
  </si>
  <si>
    <r>
      <t xml:space="preserve">muxli </t>
    </r>
    <r>
      <rPr>
        <sz val="11"/>
        <rFont val="Arial"/>
        <family val="2"/>
      </rPr>
      <t>Ø</t>
    </r>
    <r>
      <rPr>
        <sz val="11"/>
        <rFont val="AcadNusx"/>
        <family val="0"/>
      </rPr>
      <t>25</t>
    </r>
  </si>
  <si>
    <r>
      <t xml:space="preserve">muxli </t>
    </r>
    <r>
      <rPr>
        <sz val="11"/>
        <rFont val="Arial"/>
        <family val="2"/>
      </rPr>
      <t>Ø</t>
    </r>
    <r>
      <rPr>
        <sz val="11"/>
        <rFont val="AcadNusx"/>
        <family val="0"/>
      </rPr>
      <t>32</t>
    </r>
  </si>
  <si>
    <r>
      <t xml:space="preserve">muxli </t>
    </r>
    <r>
      <rPr>
        <sz val="11"/>
        <rFont val="Arial"/>
        <family val="2"/>
      </rPr>
      <t>Ø</t>
    </r>
    <r>
      <rPr>
        <sz val="11"/>
        <rFont val="AcadNusx"/>
        <family val="0"/>
      </rPr>
      <t>40</t>
    </r>
  </si>
  <si>
    <r>
      <t xml:space="preserve">muxli </t>
    </r>
    <r>
      <rPr>
        <sz val="11"/>
        <rFont val="Arial"/>
        <family val="2"/>
      </rPr>
      <t>Ø</t>
    </r>
    <r>
      <rPr>
        <sz val="11"/>
        <rFont val="AcadNusx"/>
        <family val="0"/>
      </rPr>
      <t>50</t>
    </r>
  </si>
  <si>
    <t>22-23-2</t>
  </si>
  <si>
    <t>16-21-2</t>
  </si>
  <si>
    <t>17-1-9</t>
  </si>
  <si>
    <t xml:space="preserve">maT Soris: danadgarebi da mowyobilobebi </t>
  </si>
  <si>
    <r>
      <t xml:space="preserve">plastmasis wamgvari Ø135 mm, </t>
    </r>
    <r>
      <rPr>
        <sz val="10"/>
        <rFont val="Arial"/>
        <family val="2"/>
      </rPr>
      <t>Ø110</t>
    </r>
  </si>
  <si>
    <t>pirsaxocis saSrobi 500/800</t>
  </si>
  <si>
    <t>20-22-1 gam.</t>
  </si>
  <si>
    <t xml:space="preserve">zednadebi xarjebi </t>
  </si>
  <si>
    <t>10-742-1 gam.</t>
  </si>
  <si>
    <t>10_744-5 gam.</t>
  </si>
  <si>
    <t>maT Soris: danadgarebi</t>
  </si>
  <si>
    <t>maT Soris: danadgarebi da mowyobilobebi</t>
  </si>
  <si>
    <t>xarjTaRricxva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</si>
  <si>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</si>
  <si>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q. Tbilisi 2018 weli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</si>
  <si>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</si>
  <si>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Ø 63 მილის კედლის სამაგრი</t>
  </si>
  <si>
    <t>Ø 30-40 მმ დიამეტრის კაბელის სამაგრი</t>
  </si>
  <si>
    <r>
      <t>ელ. გამანაწილებელი ფარი P</t>
    </r>
    <r>
      <rPr>
        <b/>
        <sz val="11"/>
        <rFont val="Arial"/>
        <family val="2"/>
      </rPr>
      <t xml:space="preserve">PDB-1   </t>
    </r>
  </si>
  <si>
    <t>ლითონის ელ. ფარი 800x600x250 მმ , ზედაპირული მონტაჟის, სამონტაჟო ფირფიტით,  გასაღებიანი საკეტით კომპლექტში</t>
  </si>
  <si>
    <t>ავტომატური ამომრთველი MCCB 3x200A, გათიშვის მახასიათებლების ელექტრონული მარეგულირებელი ბლოკით</t>
  </si>
  <si>
    <t>8-574-25</t>
  </si>
  <si>
    <r>
      <t>Sps "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cadNusx"/>
        <family val="0"/>
      </rPr>
      <t>"</t>
    </r>
  </si>
  <si>
    <t>/                       /</t>
  </si>
  <si>
    <t>"armstrongis" filebi liTonis karkasiT (kompleqtSi)</t>
  </si>
  <si>
    <r>
      <t xml:space="preserve">laminirebuli parketis iatakis mowyoba </t>
    </r>
    <r>
      <rPr>
        <sz val="11"/>
        <rFont val="AcadNusx"/>
        <family val="0"/>
      </rPr>
      <t>(aranakleb 10 mm. sisqis; )</t>
    </r>
  </si>
  <si>
    <t xml:space="preserve"> laminati qveSsagebiT (sisqiT aranakleb 10mm.)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</si>
</sst>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_L_a_r_i_-;\-* #,##0.00\ _L_a_r_i_-;_-* &quot;-&quot;??\ _L_a_r_i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0.0"/>
    <numFmt numFmtId="176" formatCode="0.000"/>
    <numFmt numFmtId="177" formatCode="#,##0.0;[Red]#,##0.0"/>
    <numFmt numFmtId="178" formatCode="#,##0.0"/>
    <numFmt numFmtId="179" formatCode="0.0000"/>
    <numFmt numFmtId="180" formatCode="0.00000"/>
    <numFmt numFmtId="181" formatCode="0.0%"/>
    <numFmt numFmtId="182" formatCode="_-* #,##0.000_-;\-* #,##0.000_-;_-* &quot;-&quot;??_-;_-@_-"/>
    <numFmt numFmtId="183" formatCode="_-* #,##0.0000_-;\-* #,##0.0000_-;_-* &quot;-&quot;??_-;_-@_-"/>
    <numFmt numFmtId="184" formatCode="0.000000"/>
    <numFmt numFmtId="185" formatCode="0.0000000"/>
    <numFmt numFmtId="186" formatCode="0.0000000000"/>
    <numFmt numFmtId="187" formatCode="0.000000000"/>
    <numFmt numFmtId="188" formatCode="0.00000000"/>
    <numFmt numFmtId="189" formatCode="[$-409]dddd\,\ mmmm\ dd\,\ yyyy"/>
    <numFmt numFmtId="190" formatCode="_-* #,##0.00\ _₽_-;\-* #,##0.00\ _₽_-;_-* &quot;-&quot;??\ _₽_-;_-@_-"/>
  </numFmts>
  <fonts count="83">
    <font>
      <sz val="10"/>
      <name val="Arial"/>
      <family val="0"/>
    </font>
    <font>
      <sz val="10"/>
      <name val="AcadNusx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cadNusx"/>
      <family val="0"/>
    </font>
    <font>
      <sz val="10"/>
      <name val="Helv"/>
      <family val="0"/>
    </font>
    <font>
      <b/>
      <sz val="10.5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1"/>
      <name val="Arial"/>
      <family val="2"/>
    </font>
    <font>
      <sz val="10"/>
      <name val="ChveuNusx"/>
      <family val="0"/>
    </font>
    <font>
      <sz val="10"/>
      <name val="MS Sans Serif"/>
      <family val="2"/>
    </font>
    <font>
      <b/>
      <sz val="12"/>
      <name val="AcadNusx"/>
      <family val="0"/>
    </font>
    <font>
      <sz val="11"/>
      <name val="Calibri"/>
      <family val="2"/>
    </font>
    <font>
      <sz val="12"/>
      <name val="AcadNusx"/>
      <family val="0"/>
    </font>
    <font>
      <b/>
      <sz val="11"/>
      <name val="Arial"/>
      <family val="2"/>
    </font>
    <font>
      <b/>
      <sz val="10"/>
      <name val="Helv"/>
      <family val="0"/>
    </font>
    <font>
      <sz val="10"/>
      <name val="Sylfaen"/>
      <family val="1"/>
    </font>
    <font>
      <sz val="11"/>
      <name val="Sylfaen"/>
      <family val="1"/>
    </font>
    <font>
      <sz val="9"/>
      <name val="AcadNusx"/>
      <family val="0"/>
    </font>
    <font>
      <vertAlign val="superscript"/>
      <sz val="10"/>
      <name val="AcadNusx"/>
      <family val="0"/>
    </font>
    <font>
      <sz val="11"/>
      <name val="Avaza Mtavruli"/>
      <family val="2"/>
    </font>
    <font>
      <sz val="10"/>
      <name val="Arial Cyr"/>
      <family val="0"/>
    </font>
    <font>
      <b/>
      <sz val="11"/>
      <name val="Avaza Mtavruli"/>
      <family val="2"/>
    </font>
    <font>
      <b/>
      <sz val="11"/>
      <name val="Calibri"/>
      <family val="2"/>
    </font>
    <font>
      <sz val="11"/>
      <name val="Helv"/>
      <family val="0"/>
    </font>
    <font>
      <sz val="11"/>
      <name val="Times New Roman"/>
      <family val="1"/>
    </font>
    <font>
      <b/>
      <sz val="10"/>
      <name val="Calibri"/>
      <family val="2"/>
    </font>
    <font>
      <sz val="10"/>
      <name val="Arial CYR"/>
      <family val="0"/>
    </font>
    <font>
      <b/>
      <sz val="11"/>
      <name val="Sylfaen"/>
      <family val="1"/>
    </font>
    <font>
      <sz val="9"/>
      <name val="Arial"/>
      <family val="2"/>
    </font>
    <font>
      <b/>
      <sz val="11"/>
      <name val="Times New Roman"/>
      <family val="1"/>
    </font>
    <font>
      <b/>
      <u val="single"/>
      <sz val="11"/>
      <name val="AcadNusx"/>
      <family val="0"/>
    </font>
    <font>
      <i/>
      <sz val="11"/>
      <name val="AcadNusx"/>
      <family val="0"/>
    </font>
    <font>
      <sz val="11"/>
      <name val="Cambria"/>
      <family val="1"/>
    </font>
    <font>
      <b/>
      <sz val="11"/>
      <name val="Cambria"/>
      <family val="1"/>
    </font>
    <font>
      <b/>
      <sz val="12"/>
      <name val="AcadMtavr"/>
      <family val="0"/>
    </font>
    <font>
      <b/>
      <i/>
      <sz val="10.5"/>
      <name val="Helv"/>
      <family val="0"/>
    </font>
    <font>
      <b/>
      <i/>
      <sz val="10.5"/>
      <name val="Arial"/>
      <family val="2"/>
    </font>
    <font>
      <b/>
      <i/>
      <sz val="10.5"/>
      <name val="AcadNusx"/>
      <family val="0"/>
    </font>
    <font>
      <sz val="10"/>
      <name val="Avaza Mtavruli"/>
      <family val="2"/>
    </font>
    <font>
      <b/>
      <i/>
      <sz val="10"/>
      <name val="AcadNusx"/>
      <family val="0"/>
    </font>
    <font>
      <b/>
      <i/>
      <sz val="9"/>
      <name val="Helv"/>
      <family val="0"/>
    </font>
    <font>
      <sz val="9"/>
      <name val="Helv"/>
      <family val="0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vertAlign val="superscript"/>
      <sz val="11"/>
      <name val="AcadNusx"/>
      <family val="0"/>
    </font>
    <font>
      <b/>
      <vertAlign val="superscript"/>
      <sz val="11"/>
      <name val="AcadNusx"/>
      <family val="0"/>
    </font>
    <font>
      <b/>
      <sz val="10"/>
      <name val="Arial Cyr"/>
      <family val="2"/>
    </font>
    <font>
      <sz val="9"/>
      <name val="Sylfaen"/>
      <family val="1"/>
    </font>
    <font>
      <b/>
      <sz val="10"/>
      <name val="Times New Roman"/>
      <family val="1"/>
    </font>
    <font>
      <sz val="11"/>
      <color indexed="8"/>
      <name val="AcadNusx"/>
      <family val="0"/>
    </font>
    <font>
      <sz val="11"/>
      <color indexed="8"/>
      <name val="Arial"/>
      <family val="2"/>
    </font>
    <font>
      <b/>
      <sz val="16"/>
      <color indexed="8"/>
      <name val="AcadNusx"/>
      <family val="0"/>
    </font>
    <font>
      <b/>
      <sz val="12.5"/>
      <color indexed="8"/>
      <name val="AcadNusx"/>
      <family val="0"/>
    </font>
    <font>
      <sz val="12"/>
      <color indexed="8"/>
      <name val="AcadNusx"/>
      <family val="0"/>
    </font>
    <font>
      <sz val="9"/>
      <name val="Calibri"/>
      <family val="2"/>
    </font>
    <font>
      <b/>
      <i/>
      <sz val="11"/>
      <color indexed="10"/>
      <name val="AcadNusx"/>
      <family val="0"/>
    </font>
    <font>
      <sz val="11"/>
      <color indexed="8"/>
      <name val="Sylfaen"/>
      <family val="1"/>
    </font>
    <font>
      <sz val="8"/>
      <name val="Segoe UI"/>
      <family val="2"/>
    </font>
    <font>
      <sz val="11"/>
      <color theme="1"/>
      <name val="Calibri"/>
      <family val="2"/>
    </font>
    <font>
      <b/>
      <i/>
      <sz val="11"/>
      <color rgb="FFFF0000"/>
      <name val="AcadNusx"/>
      <family val="0"/>
    </font>
    <font>
      <sz val="11"/>
      <color theme="1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rgb="FF000000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>
        <color indexed="63"/>
      </right>
      <top style="thin"/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medium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8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5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1" fontId="8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8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20" fillId="0" borderId="6" applyNumberFormat="0" applyFill="0" applyAlignment="0" applyProtection="0"/>
    <xf numFmtId="0" fontId="17" fillId="21" borderId="2" applyNumberForma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22" fillId="22" borderId="8" applyNumberFormat="0" applyFont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8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8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2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0" fillId="22" borderId="8" applyNumberFormat="0" applyFont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7" borderId="1" applyNumberFormat="0" applyAlignment="0" applyProtection="0"/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4" fillId="20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9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2" applyNumberFormat="0" applyAlignment="0" applyProtection="0"/>
    <xf numFmtId="0" fontId="6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44">
    <xf numFmtId="0" fontId="0" fillId="0" borderId="0" xfId="0" applyAlignment="1">
      <alignment/>
    </xf>
    <xf numFmtId="2" fontId="26" fillId="24" borderId="10" xfId="0" applyNumberFormat="1" applyFont="1" applyFill="1" applyBorder="1" applyAlignment="1">
      <alignment horizontal="center" vertical="center" wrapText="1"/>
    </xf>
    <xf numFmtId="2" fontId="26" fillId="24" borderId="11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175" fontId="27" fillId="24" borderId="11" xfId="0" applyNumberFormat="1" applyFont="1" applyFill="1" applyBorder="1" applyAlignment="1">
      <alignment horizontal="center" vertical="center" wrapText="1"/>
    </xf>
    <xf numFmtId="175" fontId="26" fillId="24" borderId="11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8" fillId="24" borderId="0" xfId="0" applyFont="1" applyFill="1" applyAlignment="1">
      <alignment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24" borderId="0" xfId="606" applyFont="1" applyFill="1" applyBorder="1" applyAlignment="1">
      <alignment horizontal="center" vertical="center" wrapText="1"/>
      <protection/>
    </xf>
    <xf numFmtId="0" fontId="1" fillId="24" borderId="12" xfId="606" applyFont="1" applyFill="1" applyBorder="1" applyAlignment="1">
      <alignment horizontal="center" vertical="center" wrapText="1"/>
      <protection/>
    </xf>
    <xf numFmtId="0" fontId="5" fillId="24" borderId="0" xfId="606" applyFont="1" applyFill="1" applyBorder="1" applyAlignment="1">
      <alignment horizontal="center" vertical="center" wrapText="1"/>
      <protection/>
    </xf>
    <xf numFmtId="0" fontId="5" fillId="24" borderId="10" xfId="606" applyFont="1" applyFill="1" applyBorder="1" applyAlignment="1">
      <alignment horizontal="center" vertical="center" wrapText="1"/>
      <protection/>
    </xf>
    <xf numFmtId="2" fontId="26" fillId="24" borderId="10" xfId="606" applyNumberFormat="1" applyFont="1" applyFill="1" applyBorder="1" applyAlignment="1">
      <alignment horizontal="center" vertical="center" wrapText="1"/>
      <protection/>
    </xf>
    <xf numFmtId="0" fontId="1" fillId="24" borderId="0" xfId="606" applyFont="1" applyFill="1" applyAlignment="1">
      <alignment horizontal="center" vertical="center" wrapText="1"/>
      <protection/>
    </xf>
    <xf numFmtId="0" fontId="26" fillId="24" borderId="11" xfId="0" applyFont="1" applyFill="1" applyBorder="1" applyAlignment="1">
      <alignment horizontal="center" vertical="center" wrapText="1"/>
    </xf>
    <xf numFmtId="2" fontId="27" fillId="24" borderId="11" xfId="0" applyNumberFormat="1" applyFont="1" applyFill="1" applyBorder="1" applyAlignment="1">
      <alignment horizontal="center" vertical="center" wrapText="1"/>
    </xf>
    <xf numFmtId="175" fontId="27" fillId="24" borderId="10" xfId="0" applyNumberFormat="1" applyFont="1" applyFill="1" applyBorder="1" applyAlignment="1">
      <alignment horizontal="center" vertical="center" wrapText="1"/>
    </xf>
    <xf numFmtId="175" fontId="26" fillId="24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176" fontId="1" fillId="24" borderId="11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0" fontId="1" fillId="24" borderId="11" xfId="606" applyFont="1" applyFill="1" applyBorder="1" applyAlignment="1">
      <alignment horizontal="center" vertical="center" wrapText="1"/>
      <protection/>
    </xf>
    <xf numFmtId="0" fontId="1" fillId="24" borderId="10" xfId="606" applyFont="1" applyFill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49" fontId="26" fillId="24" borderId="11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0" xfId="686" applyNumberFormat="1" applyFont="1" applyFill="1" applyBorder="1" applyAlignment="1">
      <alignment horizontal="left" vertical="center" wrapText="1"/>
      <protection/>
    </xf>
    <xf numFmtId="0" fontId="31" fillId="24" borderId="0" xfId="686" applyNumberFormat="1" applyFont="1" applyFill="1" applyBorder="1" applyAlignment="1">
      <alignment horizontal="left" vertical="center" wrapText="1"/>
      <protection/>
    </xf>
    <xf numFmtId="2" fontId="1" fillId="24" borderId="0" xfId="0" applyNumberFormat="1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vertical="center" wrapText="1"/>
    </xf>
    <xf numFmtId="0" fontId="31" fillId="24" borderId="0" xfId="0" applyFont="1" applyFill="1" applyBorder="1" applyAlignment="1">
      <alignment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1" fillId="24" borderId="0" xfId="686" applyFont="1" applyFill="1" applyBorder="1" applyAlignment="1">
      <alignment vertical="center"/>
      <protection/>
    </xf>
    <xf numFmtId="0" fontId="1" fillId="24" borderId="0" xfId="686" applyFont="1" applyFill="1" applyAlignment="1">
      <alignment vertical="center"/>
      <protection/>
    </xf>
    <xf numFmtId="0" fontId="1" fillId="24" borderId="0" xfId="686" applyFont="1" applyFill="1" applyBorder="1" applyAlignment="1">
      <alignment horizontal="center" vertical="center"/>
      <protection/>
    </xf>
    <xf numFmtId="175" fontId="26" fillId="24" borderId="16" xfId="0" applyNumberFormat="1" applyFont="1" applyFill="1" applyBorder="1" applyAlignment="1">
      <alignment horizontal="center" vertical="center" wrapText="1"/>
    </xf>
    <xf numFmtId="175" fontId="27" fillId="24" borderId="0" xfId="0" applyNumberFormat="1" applyFont="1" applyFill="1" applyBorder="1" applyAlignment="1">
      <alignment horizontal="center" vertical="center" wrapText="1"/>
    </xf>
    <xf numFmtId="175" fontId="1" fillId="24" borderId="0" xfId="0" applyNumberFormat="1" applyFont="1" applyFill="1" applyBorder="1" applyAlignment="1">
      <alignment horizontal="center" vertical="center" wrapText="1"/>
    </xf>
    <xf numFmtId="175" fontId="27" fillId="24" borderId="16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175" fontId="26" fillId="24" borderId="0" xfId="0" applyNumberFormat="1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vertical="center" wrapText="1"/>
    </xf>
    <xf numFmtId="0" fontId="26" fillId="24" borderId="0" xfId="705" applyFont="1" applyFill="1" applyAlignment="1">
      <alignment vertical="center"/>
      <protection/>
    </xf>
    <xf numFmtId="175" fontId="1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vertical="center"/>
    </xf>
    <xf numFmtId="0" fontId="5" fillId="24" borderId="19" xfId="0" applyFont="1" applyFill="1" applyBorder="1" applyAlignment="1">
      <alignment horizontal="left" vertical="center" wrapText="1"/>
    </xf>
    <xf numFmtId="175" fontId="1" fillId="24" borderId="10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0" xfId="686" applyFont="1" applyFill="1" applyBorder="1" applyAlignment="1">
      <alignment horizontal="center" vertical="center"/>
      <protection/>
    </xf>
    <xf numFmtId="0" fontId="1" fillId="24" borderId="0" xfId="0" applyFont="1" applyFill="1" applyBorder="1" applyAlignment="1">
      <alignment vertical="center" wrapText="1"/>
    </xf>
    <xf numFmtId="0" fontId="5" fillId="24" borderId="0" xfId="686" applyFont="1" applyFill="1" applyAlignment="1">
      <alignment horizontal="center" vertical="center"/>
      <protection/>
    </xf>
    <xf numFmtId="0" fontId="5" fillId="24" borderId="0" xfId="686" applyFont="1" applyFill="1" applyBorder="1" applyAlignment="1">
      <alignment horizontal="center" vertical="center"/>
      <protection/>
    </xf>
    <xf numFmtId="0" fontId="27" fillId="24" borderId="0" xfId="0" applyFont="1" applyFill="1" applyAlignment="1">
      <alignment vertical="center" wrapText="1"/>
    </xf>
    <xf numFmtId="0" fontId="5" fillId="24" borderId="10" xfId="565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vertical="center" wrapText="1"/>
    </xf>
    <xf numFmtId="49" fontId="1" fillId="24" borderId="10" xfId="565" applyNumberFormat="1" applyFont="1" applyFill="1" applyBorder="1" applyAlignment="1">
      <alignment horizontal="center" vertical="center" wrapText="1"/>
      <protection/>
    </xf>
    <xf numFmtId="0" fontId="27" fillId="24" borderId="10" xfId="565" applyFont="1" applyFill="1" applyBorder="1" applyAlignment="1">
      <alignment horizontal="center" vertical="center" wrapText="1"/>
      <protection/>
    </xf>
    <xf numFmtId="2" fontId="26" fillId="24" borderId="11" xfId="565" applyNumberFormat="1" applyFont="1" applyFill="1" applyBorder="1" applyAlignment="1">
      <alignment horizontal="center" vertical="center" wrapText="1"/>
      <protection/>
    </xf>
    <xf numFmtId="2" fontId="26" fillId="24" borderId="10" xfId="565" applyNumberFormat="1" applyFont="1" applyFill="1" applyBorder="1" applyAlignment="1">
      <alignment horizontal="center" vertical="center" wrapText="1"/>
      <protection/>
    </xf>
    <xf numFmtId="175" fontId="26" fillId="24" borderId="11" xfId="565" applyNumberFormat="1" applyFont="1" applyFill="1" applyBorder="1" applyAlignment="1">
      <alignment horizontal="center" vertical="center" wrapText="1"/>
      <protection/>
    </xf>
    <xf numFmtId="0" fontId="1" fillId="24" borderId="10" xfId="565" applyFont="1" applyFill="1" applyBorder="1" applyAlignment="1">
      <alignment horizontal="center" vertical="center" wrapText="1"/>
      <protection/>
    </xf>
    <xf numFmtId="175" fontId="1" fillId="24" borderId="11" xfId="0" applyNumberFormat="1" applyFont="1" applyFill="1" applyBorder="1" applyAlignment="1">
      <alignment horizontal="center" vertical="center"/>
    </xf>
    <xf numFmtId="0" fontId="5" fillId="24" borderId="10" xfId="616" applyFont="1" applyFill="1" applyBorder="1" applyAlignment="1">
      <alignment horizontal="center" vertical="center"/>
      <protection/>
    </xf>
    <xf numFmtId="0" fontId="26" fillId="24" borderId="16" xfId="0" applyFont="1" applyFill="1" applyBorder="1" applyAlignment="1">
      <alignment horizontal="center" vertical="center" wrapText="1"/>
    </xf>
    <xf numFmtId="2" fontId="5" fillId="24" borderId="0" xfId="0" applyNumberFormat="1" applyFont="1" applyFill="1" applyAlignment="1">
      <alignment vertical="center" wrapText="1"/>
    </xf>
    <xf numFmtId="0" fontId="1" fillId="24" borderId="10" xfId="827" applyFont="1" applyFill="1" applyBorder="1" applyAlignment="1">
      <alignment horizontal="center" vertical="center"/>
      <protection/>
    </xf>
    <xf numFmtId="2" fontId="1" fillId="24" borderId="10" xfId="0" applyNumberFormat="1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0" xfId="686" applyFont="1" applyFill="1" applyBorder="1" applyAlignment="1">
      <alignment vertical="center" wrapText="1"/>
      <protection/>
    </xf>
    <xf numFmtId="0" fontId="5" fillId="24" borderId="15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/>
    </xf>
    <xf numFmtId="4" fontId="26" fillId="24" borderId="0" xfId="0" applyNumberFormat="1" applyFont="1" applyFill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/>
    </xf>
    <xf numFmtId="0" fontId="1" fillId="24" borderId="21" xfId="827" applyFont="1" applyFill="1" applyBorder="1" applyAlignment="1">
      <alignment horizontal="center" vertical="center"/>
      <protection/>
    </xf>
    <xf numFmtId="0" fontId="26" fillId="24" borderId="0" xfId="0" applyFont="1" applyFill="1" applyBorder="1" applyAlignment="1">
      <alignment vertical="center"/>
    </xf>
    <xf numFmtId="2" fontId="26" fillId="24" borderId="0" xfId="0" applyNumberFormat="1" applyFont="1" applyFill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176" fontId="1" fillId="24" borderId="10" xfId="565" applyNumberFormat="1" applyFont="1" applyFill="1" applyBorder="1" applyAlignment="1">
      <alignment horizontal="center" vertical="center" wrapText="1"/>
      <protection/>
    </xf>
    <xf numFmtId="0" fontId="27" fillId="24" borderId="0" xfId="0" applyFont="1" applyFill="1" applyBorder="1" applyAlignment="1">
      <alignment vertical="center"/>
    </xf>
    <xf numFmtId="0" fontId="26" fillId="24" borderId="0" xfId="0" applyFont="1" applyFill="1" applyAlignment="1">
      <alignment vertical="center"/>
    </xf>
    <xf numFmtId="0" fontId="27" fillId="24" borderId="11" xfId="0" applyFont="1" applyFill="1" applyBorder="1" applyAlignment="1">
      <alignment horizontal="center" vertical="center" wrapText="1"/>
    </xf>
    <xf numFmtId="2" fontId="27" fillId="24" borderId="16" xfId="0" applyNumberFormat="1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6" fillId="24" borderId="0" xfId="701" applyFont="1" applyFill="1" applyAlignment="1">
      <alignment vertical="center"/>
      <protection/>
    </xf>
    <xf numFmtId="2" fontId="27" fillId="24" borderId="0" xfId="0" applyNumberFormat="1" applyFont="1" applyFill="1" applyAlignment="1">
      <alignment vertical="center" wrapText="1"/>
    </xf>
    <xf numFmtId="0" fontId="26" fillId="24" borderId="0" xfId="606" applyFont="1" applyFill="1" applyAlignment="1">
      <alignment horizontal="center" vertical="center" wrapText="1"/>
      <protection/>
    </xf>
    <xf numFmtId="0" fontId="27" fillId="24" borderId="0" xfId="0" applyFont="1" applyFill="1" applyAlignment="1">
      <alignment vertical="center"/>
    </xf>
    <xf numFmtId="0" fontId="5" fillId="24" borderId="0" xfId="0" applyFont="1" applyFill="1" applyBorder="1" applyAlignment="1">
      <alignment vertical="center"/>
    </xf>
    <xf numFmtId="175" fontId="5" fillId="24" borderId="0" xfId="606" applyNumberFormat="1" applyFont="1" applyFill="1" applyAlignment="1">
      <alignment horizontal="center" vertical="center" wrapText="1"/>
      <protection/>
    </xf>
    <xf numFmtId="0" fontId="5" fillId="24" borderId="0" xfId="0" applyFont="1" applyFill="1" applyAlignment="1">
      <alignment vertical="center"/>
    </xf>
    <xf numFmtId="0" fontId="5" fillId="24" borderId="0" xfId="606" applyFont="1" applyFill="1" applyAlignment="1">
      <alignment horizontal="center" vertical="center" wrapText="1"/>
      <protection/>
    </xf>
    <xf numFmtId="2" fontId="5" fillId="24" borderId="0" xfId="606" applyNumberFormat="1" applyFont="1" applyFill="1" applyAlignment="1">
      <alignment vertical="center" wrapText="1"/>
      <protection/>
    </xf>
    <xf numFmtId="0" fontId="5" fillId="24" borderId="0" xfId="606" applyFont="1" applyFill="1" applyAlignment="1">
      <alignment vertical="center" wrapText="1"/>
      <protection/>
    </xf>
    <xf numFmtId="176" fontId="26" fillId="24" borderId="16" xfId="0" applyNumberFormat="1" applyFont="1" applyFill="1" applyBorder="1" applyAlignment="1">
      <alignment horizontal="center" vertical="center" wrapText="1"/>
    </xf>
    <xf numFmtId="175" fontId="5" fillId="24" borderId="0" xfId="0" applyNumberFormat="1" applyFont="1" applyFill="1" applyAlignment="1">
      <alignment horizontal="center" vertical="center" wrapText="1"/>
    </xf>
    <xf numFmtId="0" fontId="26" fillId="24" borderId="0" xfId="606" applyFont="1" applyFill="1" applyBorder="1" applyAlignment="1">
      <alignment horizontal="center" vertical="center" wrapText="1"/>
      <protection/>
    </xf>
    <xf numFmtId="0" fontId="1" fillId="24" borderId="0" xfId="827" applyFont="1" applyFill="1" applyBorder="1" applyAlignment="1">
      <alignment horizontal="center" vertical="center"/>
      <protection/>
    </xf>
    <xf numFmtId="49" fontId="26" fillId="24" borderId="0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vertical="center" wrapText="1"/>
    </xf>
    <xf numFmtId="43" fontId="1" fillId="24" borderId="0" xfId="380" applyFont="1" applyFill="1" applyBorder="1" applyAlignment="1">
      <alignment horizontal="center" vertical="center" wrapText="1"/>
    </xf>
    <xf numFmtId="43" fontId="1" fillId="24" borderId="0" xfId="380" applyNumberFormat="1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27" fillId="24" borderId="10" xfId="606" applyFont="1" applyFill="1" applyBorder="1" applyAlignment="1">
      <alignment horizontal="center" vertical="center" wrapText="1"/>
      <protection/>
    </xf>
    <xf numFmtId="0" fontId="26" fillId="24" borderId="10" xfId="606" applyFont="1" applyFill="1" applyBorder="1" applyAlignment="1">
      <alignment horizontal="center" vertical="center" wrapText="1"/>
      <protection/>
    </xf>
    <xf numFmtId="175" fontId="26" fillId="24" borderId="11" xfId="606" applyNumberFormat="1" applyFont="1" applyFill="1" applyBorder="1" applyAlignment="1">
      <alignment horizontal="center" vertical="center" wrapText="1"/>
      <protection/>
    </xf>
    <xf numFmtId="2" fontId="1" fillId="24" borderId="11" xfId="0" applyNumberFormat="1" applyFont="1" applyFill="1" applyBorder="1" applyAlignment="1">
      <alignment horizontal="center" vertical="center"/>
    </xf>
    <xf numFmtId="0" fontId="1" fillId="24" borderId="10" xfId="686" applyFont="1" applyFill="1" applyBorder="1" applyAlignment="1">
      <alignment horizontal="center" vertical="center"/>
      <protection/>
    </xf>
    <xf numFmtId="0" fontId="26" fillId="24" borderId="10" xfId="607" applyFont="1" applyFill="1" applyBorder="1" applyAlignment="1">
      <alignment vertical="center" wrapText="1"/>
      <protection/>
    </xf>
    <xf numFmtId="0" fontId="1" fillId="24" borderId="10" xfId="562" applyFont="1" applyFill="1" applyBorder="1" applyAlignment="1">
      <alignment horizontal="center" vertical="center" wrapText="1"/>
      <protection/>
    </xf>
    <xf numFmtId="2" fontId="1" fillId="24" borderId="10" xfId="562" applyNumberFormat="1" applyFont="1" applyFill="1" applyBorder="1" applyAlignment="1">
      <alignment horizontal="center" vertical="center" wrapText="1"/>
      <protection/>
    </xf>
    <xf numFmtId="0" fontId="1" fillId="24" borderId="11" xfId="562" applyFont="1" applyFill="1" applyBorder="1" applyAlignment="1">
      <alignment horizontal="center" vertical="center" wrapText="1"/>
      <protection/>
    </xf>
    <xf numFmtId="0" fontId="1" fillId="24" borderId="10" xfId="562" applyFont="1" applyFill="1" applyBorder="1" applyAlignment="1">
      <alignment horizontal="center" vertical="center"/>
      <protection/>
    </xf>
    <xf numFmtId="49" fontId="1" fillId="24" borderId="10" xfId="562" applyNumberFormat="1" applyFont="1" applyFill="1" applyBorder="1" applyAlignment="1">
      <alignment horizontal="center" vertical="center" wrapText="1"/>
      <protection/>
    </xf>
    <xf numFmtId="0" fontId="26" fillId="24" borderId="10" xfId="562" applyFont="1" applyFill="1" applyBorder="1" applyAlignment="1">
      <alignment horizontal="center" vertical="center" wrapText="1"/>
      <protection/>
    </xf>
    <xf numFmtId="175" fontId="26" fillId="24" borderId="11" xfId="562" applyNumberFormat="1" applyFont="1" applyFill="1" applyBorder="1" applyAlignment="1">
      <alignment horizontal="center" vertical="center" wrapText="1"/>
      <protection/>
    </xf>
    <xf numFmtId="2" fontId="26" fillId="24" borderId="11" xfId="562" applyNumberFormat="1" applyFont="1" applyFill="1" applyBorder="1" applyAlignment="1">
      <alignment horizontal="center" vertical="center" wrapText="1"/>
      <protection/>
    </xf>
    <xf numFmtId="0" fontId="26" fillId="24" borderId="0" xfId="562" applyFont="1" applyFill="1" applyAlignment="1">
      <alignment horizontal="center" vertical="center" wrapText="1"/>
      <protection/>
    </xf>
    <xf numFmtId="176" fontId="1" fillId="24" borderId="10" xfId="606" applyNumberFormat="1" applyFont="1" applyFill="1" applyBorder="1" applyAlignment="1">
      <alignment horizontal="center" vertical="center" wrapText="1"/>
      <protection/>
    </xf>
    <xf numFmtId="2" fontId="27" fillId="24" borderId="10" xfId="562" applyNumberFormat="1" applyFont="1" applyFill="1" applyBorder="1" applyAlignment="1">
      <alignment horizontal="center" vertical="center" wrapText="1"/>
      <protection/>
    </xf>
    <xf numFmtId="0" fontId="26" fillId="24" borderId="0" xfId="608" applyFont="1" applyFill="1" applyAlignment="1">
      <alignment horizontal="center" vertical="center" wrapText="1"/>
      <protection/>
    </xf>
    <xf numFmtId="0" fontId="27" fillId="24" borderId="0" xfId="608" applyFont="1" applyFill="1" applyAlignment="1">
      <alignment horizontal="center" vertical="center" wrapText="1"/>
      <protection/>
    </xf>
    <xf numFmtId="49" fontId="27" fillId="24" borderId="10" xfId="608" applyNumberFormat="1" applyFont="1" applyFill="1" applyBorder="1" applyAlignment="1">
      <alignment horizontal="center" vertical="center" wrapText="1"/>
      <protection/>
    </xf>
    <xf numFmtId="0" fontId="27" fillId="24" borderId="10" xfId="608" applyFont="1" applyFill="1" applyBorder="1" applyAlignment="1">
      <alignment horizontal="center" vertical="center" wrapText="1"/>
      <protection/>
    </xf>
    <xf numFmtId="176" fontId="5" fillId="24" borderId="0" xfId="608" applyNumberFormat="1" applyFont="1" applyFill="1" applyAlignment="1">
      <alignment horizontal="center" vertical="center" wrapText="1"/>
      <protection/>
    </xf>
    <xf numFmtId="178" fontId="27" fillId="24" borderId="0" xfId="608" applyNumberFormat="1" applyFont="1" applyFill="1" applyBorder="1" applyAlignment="1">
      <alignment horizontal="center" vertical="center" wrapText="1"/>
      <protection/>
    </xf>
    <xf numFmtId="175" fontId="27" fillId="24" borderId="0" xfId="608" applyNumberFormat="1" applyFont="1" applyFill="1" applyBorder="1" applyAlignment="1">
      <alignment horizontal="center" vertical="center" wrapText="1"/>
      <protection/>
    </xf>
    <xf numFmtId="175" fontId="27" fillId="24" borderId="0" xfId="608" applyNumberFormat="1" applyFont="1" applyFill="1" applyAlignment="1">
      <alignment horizontal="center" vertical="center" wrapText="1"/>
      <protection/>
    </xf>
    <xf numFmtId="176" fontId="34" fillId="24" borderId="0" xfId="608" applyNumberFormat="1" applyFont="1" applyFill="1" applyAlignment="1">
      <alignment horizontal="center" vertical="center" wrapText="1"/>
      <protection/>
    </xf>
    <xf numFmtId="0" fontId="5" fillId="24" borderId="22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175" fontId="27" fillId="24" borderId="23" xfId="0" applyNumberFormat="1" applyFont="1" applyFill="1" applyBorder="1" applyAlignment="1">
      <alignment horizontal="center" vertical="center" wrapText="1"/>
    </xf>
    <xf numFmtId="4" fontId="27" fillId="24" borderId="0" xfId="0" applyNumberFormat="1" applyFont="1" applyFill="1" applyBorder="1" applyAlignment="1">
      <alignment horizontal="center" vertical="center" wrapText="1"/>
    </xf>
    <xf numFmtId="9" fontId="26" fillId="24" borderId="23" xfId="0" applyNumberFormat="1" applyFont="1" applyFill="1" applyBorder="1" applyAlignment="1">
      <alignment horizontal="center" vertical="center" wrapText="1"/>
    </xf>
    <xf numFmtId="4" fontId="26" fillId="24" borderId="0" xfId="0" applyNumberFormat="1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4" fontId="27" fillId="24" borderId="18" xfId="0" applyNumberFormat="1" applyFont="1" applyFill="1" applyBorder="1" applyAlignment="1">
      <alignment horizontal="center" vertical="center" wrapText="1"/>
    </xf>
    <xf numFmtId="4" fontId="27" fillId="24" borderId="25" xfId="0" applyNumberFormat="1" applyFont="1" applyFill="1" applyBorder="1" applyAlignment="1">
      <alignment horizontal="center" vertical="center" wrapText="1"/>
    </xf>
    <xf numFmtId="4" fontId="27" fillId="24" borderId="23" xfId="0" applyNumberFormat="1" applyFont="1" applyFill="1" applyBorder="1" applyAlignment="1">
      <alignment horizontal="center" vertical="center" wrapText="1"/>
    </xf>
    <xf numFmtId="178" fontId="26" fillId="24" borderId="0" xfId="608" applyNumberFormat="1" applyFont="1" applyFill="1" applyAlignment="1">
      <alignment horizontal="center" vertical="center" wrapText="1"/>
      <protection/>
    </xf>
    <xf numFmtId="2" fontId="26" fillId="24" borderId="0" xfId="608" applyNumberFormat="1" applyFont="1" applyFill="1" applyAlignment="1">
      <alignment horizontal="center" vertical="center" wrapText="1"/>
      <protection/>
    </xf>
    <xf numFmtId="173" fontId="26" fillId="24" borderId="0" xfId="431" applyFont="1" applyFill="1" applyAlignment="1">
      <alignment vertical="center"/>
    </xf>
    <xf numFmtId="0" fontId="26" fillId="24" borderId="0" xfId="705" applyFont="1" applyFill="1" applyAlignment="1">
      <alignment horizontal="center" vertical="center"/>
      <protection/>
    </xf>
    <xf numFmtId="2" fontId="26" fillId="24" borderId="0" xfId="705" applyNumberFormat="1" applyFont="1" applyFill="1" applyAlignment="1">
      <alignment horizontal="center" vertical="center"/>
      <protection/>
    </xf>
    <xf numFmtId="0" fontId="28" fillId="24" borderId="0" xfId="608" applyFont="1" applyFill="1" applyAlignment="1">
      <alignment horizontal="center" vertical="center" wrapText="1"/>
      <protection/>
    </xf>
    <xf numFmtId="2" fontId="28" fillId="24" borderId="0" xfId="0" applyNumberFormat="1" applyFont="1" applyFill="1" applyAlignment="1">
      <alignment horizontal="center" vertical="center" wrapText="1"/>
    </xf>
    <xf numFmtId="175" fontId="0" fillId="24" borderId="0" xfId="0" applyNumberFormat="1" applyFont="1" applyFill="1" applyAlignment="1">
      <alignment horizontal="center" vertical="center" wrapText="1"/>
    </xf>
    <xf numFmtId="2" fontId="34" fillId="24" borderId="0" xfId="0" applyNumberFormat="1" applyFont="1" applyFill="1" applyAlignment="1">
      <alignment horizontal="center" vertical="center" wrapText="1"/>
    </xf>
    <xf numFmtId="4" fontId="27" fillId="24" borderId="0" xfId="608" applyNumberFormat="1" applyFont="1" applyFill="1" applyBorder="1" applyAlignment="1">
      <alignment horizontal="center" vertical="center" wrapText="1"/>
      <protection/>
    </xf>
    <xf numFmtId="4" fontId="26" fillId="24" borderId="0" xfId="608" applyNumberFormat="1" applyFont="1" applyFill="1" applyAlignment="1">
      <alignment horizontal="center" vertical="center" wrapText="1"/>
      <protection/>
    </xf>
    <xf numFmtId="178" fontId="27" fillId="24" borderId="0" xfId="608" applyNumberFormat="1" applyFont="1" applyFill="1" applyAlignment="1">
      <alignment horizontal="center" vertical="center" wrapText="1"/>
      <protection/>
    </xf>
    <xf numFmtId="0" fontId="1" fillId="24" borderId="0" xfId="606" applyFont="1" applyFill="1" applyAlignment="1">
      <alignment vertical="center" wrapText="1"/>
      <protection/>
    </xf>
    <xf numFmtId="49" fontId="27" fillId="24" borderId="11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23" fillId="24" borderId="12" xfId="606" applyFont="1" applyFill="1" applyBorder="1" applyAlignment="1">
      <alignment horizontal="center" vertical="center" wrapText="1"/>
      <protection/>
    </xf>
    <xf numFmtId="2" fontId="1" fillId="24" borderId="12" xfId="606" applyNumberFormat="1" applyFont="1" applyFill="1" applyBorder="1" applyAlignment="1">
      <alignment horizontal="center" vertical="center" wrapText="1"/>
      <protection/>
    </xf>
    <xf numFmtId="49" fontId="5" fillId="24" borderId="10" xfId="606" applyNumberFormat="1" applyFont="1" applyFill="1" applyBorder="1" applyAlignment="1">
      <alignment horizontal="center" vertical="center" wrapText="1"/>
      <protection/>
    </xf>
    <xf numFmtId="2" fontId="5" fillId="24" borderId="10" xfId="606" applyNumberFormat="1" applyFont="1" applyFill="1" applyBorder="1" applyAlignment="1">
      <alignment horizontal="center" vertical="center" wrapText="1"/>
      <protection/>
    </xf>
    <xf numFmtId="177" fontId="5" fillId="24" borderId="0" xfId="606" applyNumberFormat="1" applyFont="1" applyFill="1" applyBorder="1" applyAlignment="1">
      <alignment horizontal="center" vertical="center" wrapText="1"/>
      <protection/>
    </xf>
    <xf numFmtId="4" fontId="5" fillId="24" borderId="0" xfId="606" applyNumberFormat="1" applyFont="1" applyFill="1" applyBorder="1" applyAlignment="1">
      <alignment horizontal="center" vertical="center" wrapText="1"/>
      <protection/>
    </xf>
    <xf numFmtId="4" fontId="5" fillId="24" borderId="0" xfId="606" applyNumberFormat="1" applyFont="1" applyFill="1" applyAlignment="1">
      <alignment horizontal="center" vertical="center" wrapText="1"/>
      <protection/>
    </xf>
    <xf numFmtId="4" fontId="1" fillId="24" borderId="0" xfId="606" applyNumberFormat="1" applyFont="1" applyFill="1" applyAlignment="1">
      <alignment horizontal="center" vertical="center" wrapText="1"/>
      <protection/>
    </xf>
    <xf numFmtId="2" fontId="1" fillId="24" borderId="0" xfId="606" applyNumberFormat="1" applyFont="1" applyFill="1" applyAlignment="1">
      <alignment vertical="center" wrapText="1"/>
      <protection/>
    </xf>
    <xf numFmtId="0" fontId="27" fillId="24" borderId="0" xfId="562" applyFont="1" applyFill="1" applyAlignment="1">
      <alignment horizontal="center" vertical="center" wrapText="1"/>
      <protection/>
    </xf>
    <xf numFmtId="0" fontId="27" fillId="24" borderId="0" xfId="606" applyFont="1" applyFill="1" applyBorder="1" applyAlignment="1">
      <alignment horizontal="center" vertical="center" wrapText="1"/>
      <protection/>
    </xf>
    <xf numFmtId="2" fontId="26" fillId="24" borderId="10" xfId="562" applyNumberFormat="1" applyFont="1" applyFill="1" applyBorder="1" applyAlignment="1">
      <alignment horizontal="center" vertical="center" wrapText="1"/>
      <protection/>
    </xf>
    <xf numFmtId="2" fontId="1" fillId="24" borderId="11" xfId="562" applyNumberFormat="1" applyFont="1" applyFill="1" applyBorder="1" applyAlignment="1">
      <alignment horizontal="center" vertical="center" wrapText="1"/>
      <protection/>
    </xf>
    <xf numFmtId="0" fontId="27" fillId="24" borderId="10" xfId="562" applyFont="1" applyFill="1" applyBorder="1" applyAlignment="1">
      <alignment vertical="center" wrapText="1"/>
      <protection/>
    </xf>
    <xf numFmtId="0" fontId="26" fillId="24" borderId="10" xfId="562" applyFont="1" applyFill="1" applyBorder="1" applyAlignment="1">
      <alignment horizontal="left" vertical="center" wrapText="1"/>
      <protection/>
    </xf>
    <xf numFmtId="175" fontId="26" fillId="24" borderId="10" xfId="562" applyNumberFormat="1" applyFont="1" applyFill="1" applyBorder="1" applyAlignment="1">
      <alignment horizontal="center" vertical="center" wrapText="1"/>
      <protection/>
    </xf>
    <xf numFmtId="0" fontId="26" fillId="24" borderId="10" xfId="562" applyFont="1" applyFill="1" applyBorder="1" applyAlignment="1">
      <alignment vertical="center" wrapText="1"/>
      <protection/>
    </xf>
    <xf numFmtId="0" fontId="1" fillId="24" borderId="0" xfId="562" applyFont="1" applyFill="1" applyBorder="1" applyAlignment="1">
      <alignment horizontal="center" vertical="center" wrapText="1"/>
      <protection/>
    </xf>
    <xf numFmtId="0" fontId="1" fillId="24" borderId="12" xfId="562" applyFont="1" applyFill="1" applyBorder="1" applyAlignment="1">
      <alignment horizontal="center" vertical="center" wrapText="1"/>
      <protection/>
    </xf>
    <xf numFmtId="0" fontId="5" fillId="24" borderId="10" xfId="562" applyFont="1" applyFill="1" applyBorder="1" applyAlignment="1">
      <alignment horizontal="center" vertical="center"/>
      <protection/>
    </xf>
    <xf numFmtId="2" fontId="27" fillId="24" borderId="11" xfId="562" applyNumberFormat="1" applyFont="1" applyFill="1" applyBorder="1" applyAlignment="1">
      <alignment horizontal="center" vertical="center" wrapText="1"/>
      <protection/>
    </xf>
    <xf numFmtId="49" fontId="1" fillId="24" borderId="11" xfId="562" applyNumberFormat="1" applyFont="1" applyFill="1" applyBorder="1" applyAlignment="1">
      <alignment horizontal="center" vertical="center" wrapText="1"/>
      <protection/>
    </xf>
    <xf numFmtId="0" fontId="1" fillId="24" borderId="11" xfId="562" applyFont="1" applyFill="1" applyBorder="1" applyAlignment="1">
      <alignment horizontal="center" vertical="center"/>
      <protection/>
    </xf>
    <xf numFmtId="0" fontId="27" fillId="24" borderId="0" xfId="562" applyFont="1" applyFill="1" applyAlignment="1">
      <alignment vertical="center"/>
      <protection/>
    </xf>
    <xf numFmtId="0" fontId="0" fillId="24" borderId="26" xfId="562" applyNumberFormat="1" applyFont="1" applyFill="1" applyBorder="1" applyAlignment="1">
      <alignment horizontal="center" vertical="center"/>
      <protection/>
    </xf>
    <xf numFmtId="179" fontId="1" fillId="24" borderId="11" xfId="562" applyNumberFormat="1" applyFont="1" applyFill="1" applyBorder="1" applyAlignment="1">
      <alignment horizontal="center" vertical="center" wrapText="1"/>
      <protection/>
    </xf>
    <xf numFmtId="176" fontId="1" fillId="24" borderId="10" xfId="562" applyNumberFormat="1" applyFont="1" applyFill="1" applyBorder="1" applyAlignment="1">
      <alignment horizontal="center" vertical="center"/>
      <protection/>
    </xf>
    <xf numFmtId="0" fontId="40" fillId="24" borderId="10" xfId="562" applyFont="1" applyFill="1" applyBorder="1" applyAlignment="1">
      <alignment horizontal="left" vertical="center"/>
      <protection/>
    </xf>
    <xf numFmtId="175" fontId="1" fillId="24" borderId="10" xfId="562" applyNumberFormat="1" applyFont="1" applyFill="1" applyBorder="1" applyAlignment="1">
      <alignment horizontal="center" vertical="center"/>
      <protection/>
    </xf>
    <xf numFmtId="0" fontId="26" fillId="24" borderId="0" xfId="562" applyFont="1" applyFill="1" applyAlignment="1">
      <alignment vertical="center" wrapText="1"/>
      <protection/>
    </xf>
    <xf numFmtId="0" fontId="1" fillId="24" borderId="10" xfId="619" applyFont="1" applyFill="1" applyBorder="1" applyAlignment="1">
      <alignment horizontal="center" vertical="center"/>
      <protection/>
    </xf>
    <xf numFmtId="175" fontId="1" fillId="24" borderId="10" xfId="619" applyNumberFormat="1" applyFont="1" applyFill="1" applyBorder="1" applyAlignment="1">
      <alignment horizontal="center" vertical="center"/>
      <protection/>
    </xf>
    <xf numFmtId="176" fontId="1" fillId="24" borderId="11" xfId="562" applyNumberFormat="1" applyFont="1" applyFill="1" applyBorder="1" applyAlignment="1">
      <alignment horizontal="center" vertical="center" wrapText="1"/>
      <protection/>
    </xf>
    <xf numFmtId="4" fontId="27" fillId="24" borderId="10" xfId="565" applyNumberFormat="1" applyFont="1" applyFill="1" applyBorder="1" applyAlignment="1">
      <alignment horizontal="center" vertical="center" wrapText="1"/>
      <protection/>
    </xf>
    <xf numFmtId="0" fontId="5" fillId="24" borderId="0" xfId="565" applyFont="1" applyFill="1" applyAlignment="1">
      <alignment horizontal="center" vertical="center" wrapText="1"/>
      <protection/>
    </xf>
    <xf numFmtId="0" fontId="5" fillId="24" borderId="0" xfId="565" applyFont="1" applyFill="1" applyBorder="1" applyAlignment="1">
      <alignment horizontal="center" vertical="center" wrapText="1"/>
      <protection/>
    </xf>
    <xf numFmtId="0" fontId="1" fillId="24" borderId="0" xfId="562" applyFont="1" applyFill="1" applyAlignment="1">
      <alignment vertical="center"/>
      <protection/>
    </xf>
    <xf numFmtId="176" fontId="1" fillId="24" borderId="10" xfId="0" applyNumberFormat="1" applyFont="1" applyFill="1" applyBorder="1" applyAlignment="1" applyProtection="1">
      <alignment horizontal="center" vertical="center" wrapText="1"/>
      <protection/>
    </xf>
    <xf numFmtId="175" fontId="1" fillId="24" borderId="10" xfId="0" applyNumberFormat="1" applyFont="1" applyFill="1" applyBorder="1" applyAlignment="1" applyProtection="1">
      <alignment horizontal="center" vertical="center" wrapText="1"/>
      <protection/>
    </xf>
    <xf numFmtId="179" fontId="1" fillId="24" borderId="10" xfId="0" applyNumberFormat="1" applyFont="1" applyFill="1" applyBorder="1" applyAlignment="1" applyProtection="1">
      <alignment horizontal="center" vertical="center" wrapText="1"/>
      <protection/>
    </xf>
    <xf numFmtId="2" fontId="1" fillId="24" borderId="10" xfId="0" applyNumberFormat="1" applyFont="1" applyFill="1" applyBorder="1" applyAlignment="1" applyProtection="1">
      <alignment horizontal="center" vertical="center" wrapText="1"/>
      <protection/>
    </xf>
    <xf numFmtId="175" fontId="26" fillId="24" borderId="0" xfId="0" applyNumberFormat="1" applyFont="1" applyFill="1" applyAlignment="1">
      <alignment horizontal="center" vertical="center" wrapText="1"/>
    </xf>
    <xf numFmtId="179" fontId="1" fillId="24" borderId="10" xfId="0" applyNumberFormat="1" applyFont="1" applyFill="1" applyBorder="1" applyAlignment="1">
      <alignment horizontal="center" vertical="center" wrapText="1"/>
    </xf>
    <xf numFmtId="0" fontId="27" fillId="24" borderId="11" xfId="562" applyFont="1" applyFill="1" applyBorder="1" applyAlignment="1">
      <alignment vertical="center" wrapText="1"/>
      <protection/>
    </xf>
    <xf numFmtId="0" fontId="1" fillId="24" borderId="0" xfId="701" applyFont="1" applyFill="1" applyAlignment="1">
      <alignment vertical="center"/>
      <protection/>
    </xf>
    <xf numFmtId="0" fontId="1" fillId="24" borderId="0" xfId="562" applyFont="1" applyFill="1" applyAlignment="1">
      <alignment vertical="center" wrapText="1"/>
      <protection/>
    </xf>
    <xf numFmtId="0" fontId="28" fillId="24" borderId="0" xfId="0" applyFont="1" applyFill="1" applyAlignment="1">
      <alignment vertical="center" wrapText="1"/>
    </xf>
    <xf numFmtId="0" fontId="28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2" fontId="28" fillId="24" borderId="0" xfId="0" applyNumberFormat="1" applyFont="1" applyFill="1" applyBorder="1" applyAlignment="1">
      <alignment vertical="center" wrapText="1"/>
    </xf>
    <xf numFmtId="0" fontId="24" fillId="24" borderId="0" xfId="606" applyFont="1" applyFill="1" applyAlignment="1">
      <alignment horizontal="center" vertical="center"/>
      <protection/>
    </xf>
    <xf numFmtId="0" fontId="2" fillId="24" borderId="0" xfId="606" applyFont="1" applyFill="1" applyAlignment="1">
      <alignment horizontal="center" vertical="center"/>
      <protection/>
    </xf>
    <xf numFmtId="0" fontId="35" fillId="24" borderId="0" xfId="606" applyFont="1" applyFill="1" applyAlignment="1">
      <alignment horizontal="center" vertical="center"/>
      <protection/>
    </xf>
    <xf numFmtId="0" fontId="0" fillId="24" borderId="26" xfId="0" applyFont="1" applyFill="1" applyBorder="1" applyAlignment="1">
      <alignment horizontal="center" vertical="center"/>
    </xf>
    <xf numFmtId="0" fontId="28" fillId="24" borderId="0" xfId="562" applyFont="1" applyFill="1" applyAlignment="1">
      <alignment vertical="center" wrapText="1"/>
      <protection/>
    </xf>
    <xf numFmtId="0" fontId="0" fillId="24" borderId="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36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vertical="center" wrapText="1"/>
    </xf>
    <xf numFmtId="0" fontId="36" fillId="24" borderId="10" xfId="0" applyFont="1" applyFill="1" applyBorder="1" applyAlignment="1" applyProtection="1">
      <alignment horizontal="center" vertical="center" wrapText="1"/>
      <protection/>
    </xf>
    <xf numFmtId="175" fontId="36" fillId="24" borderId="10" xfId="0" applyNumberFormat="1" applyFont="1" applyFill="1" applyBorder="1" applyAlignment="1" applyProtection="1">
      <alignment horizontal="center" vertical="center" wrapText="1"/>
      <protection/>
    </xf>
    <xf numFmtId="0" fontId="43" fillId="24" borderId="0" xfId="0" applyFont="1" applyFill="1" applyAlignment="1">
      <alignment vertical="center"/>
    </xf>
    <xf numFmtId="0" fontId="34" fillId="24" borderId="19" xfId="0" applyFont="1" applyFill="1" applyBorder="1" applyAlignment="1">
      <alignment horizontal="left" vertical="center" wrapText="1"/>
    </xf>
    <xf numFmtId="0" fontId="32" fillId="24" borderId="0" xfId="0" applyFont="1" applyFill="1" applyAlignment="1">
      <alignment vertical="center"/>
    </xf>
    <xf numFmtId="49" fontId="37" fillId="24" borderId="10" xfId="0" applyNumberFormat="1" applyFont="1" applyFill="1" applyBorder="1" applyAlignment="1">
      <alignment horizontal="left" vertical="center" wrapText="1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45" fillId="24" borderId="10" xfId="0" applyFont="1" applyFill="1" applyBorder="1" applyAlignment="1">
      <alignment vertical="center" wrapText="1"/>
    </xf>
    <xf numFmtId="0" fontId="32" fillId="24" borderId="0" xfId="0" applyFont="1" applyFill="1" applyBorder="1" applyAlignment="1">
      <alignment vertical="center"/>
    </xf>
    <xf numFmtId="0" fontId="32" fillId="24" borderId="10" xfId="0" applyFont="1" applyFill="1" applyBorder="1" applyAlignment="1">
      <alignment vertical="center"/>
    </xf>
    <xf numFmtId="176" fontId="0" fillId="24" borderId="0" xfId="606" applyNumberFormat="1" applyFont="1" applyFill="1" applyAlignment="1">
      <alignment vertical="center" wrapText="1"/>
      <protection/>
    </xf>
    <xf numFmtId="0" fontId="46" fillId="24" borderId="0" xfId="0" applyFont="1" applyFill="1" applyAlignment="1">
      <alignment vertical="center"/>
    </xf>
    <xf numFmtId="0" fontId="28" fillId="24" borderId="0" xfId="0" applyFont="1" applyFill="1" applyBorder="1" applyAlignment="1">
      <alignment horizontal="center" vertical="center" wrapText="1"/>
    </xf>
    <xf numFmtId="0" fontId="0" fillId="24" borderId="0" xfId="606" applyFont="1" applyFill="1" applyBorder="1" applyAlignment="1">
      <alignment horizontal="center" vertical="center" wrapText="1"/>
      <protection/>
    </xf>
    <xf numFmtId="0" fontId="0" fillId="24" borderId="0" xfId="606" applyFont="1" applyFill="1" applyBorder="1" applyAlignment="1">
      <alignment vertical="center" wrapText="1"/>
      <protection/>
    </xf>
    <xf numFmtId="0" fontId="0" fillId="24" borderId="0" xfId="606" applyFont="1" applyFill="1" applyAlignment="1">
      <alignment horizontal="center" vertical="center" wrapText="1"/>
      <protection/>
    </xf>
    <xf numFmtId="0" fontId="0" fillId="24" borderId="0" xfId="606" applyFont="1" applyFill="1" applyAlignment="1">
      <alignment vertical="center" wrapText="1"/>
      <protection/>
    </xf>
    <xf numFmtId="2" fontId="1" fillId="24" borderId="0" xfId="562" applyNumberFormat="1" applyFont="1" applyFill="1" applyBorder="1" applyAlignment="1">
      <alignment horizontal="center" vertical="center" wrapText="1"/>
      <protection/>
    </xf>
    <xf numFmtId="0" fontId="0" fillId="24" borderId="0" xfId="0" applyFont="1" applyFill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5" fillId="24" borderId="0" xfId="0" applyFont="1" applyFill="1" applyAlignment="1">
      <alignment horizontal="center" vertical="center"/>
    </xf>
    <xf numFmtId="0" fontId="36" fillId="24" borderId="11" xfId="0" applyFont="1" applyFill="1" applyBorder="1" applyAlignment="1" applyProtection="1">
      <alignment horizontal="center" vertical="center" wrapText="1"/>
      <protection/>
    </xf>
    <xf numFmtId="0" fontId="36" fillId="24" borderId="11" xfId="0" applyFont="1" applyFill="1" applyBorder="1" applyAlignment="1">
      <alignment horizontal="center" vertical="center" wrapText="1"/>
    </xf>
    <xf numFmtId="176" fontId="0" fillId="24" borderId="0" xfId="0" applyNumberFormat="1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24" fillId="24" borderId="0" xfId="606" applyFont="1" applyFill="1" applyBorder="1" applyAlignment="1">
      <alignment horizontal="center" vertical="center"/>
      <protection/>
    </xf>
    <xf numFmtId="0" fontId="24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47" fillId="24" borderId="0" xfId="686" applyFont="1" applyFill="1" applyBorder="1" applyAlignment="1">
      <alignment vertical="center"/>
      <protection/>
    </xf>
    <xf numFmtId="2" fontId="0" fillId="24" borderId="0" xfId="686" applyNumberFormat="1" applyFont="1" applyFill="1" applyBorder="1" applyAlignment="1">
      <alignment horizontal="center" vertical="center"/>
      <protection/>
    </xf>
    <xf numFmtId="0" fontId="0" fillId="24" borderId="0" xfId="686" applyFont="1" applyFill="1" applyBorder="1" applyAlignment="1">
      <alignment vertical="center"/>
      <protection/>
    </xf>
    <xf numFmtId="4" fontId="28" fillId="24" borderId="0" xfId="0" applyNumberFormat="1" applyFont="1" applyFill="1" applyBorder="1" applyAlignment="1">
      <alignment vertical="center" wrapText="1"/>
    </xf>
    <xf numFmtId="0" fontId="47" fillId="24" borderId="0" xfId="686" applyFont="1" applyFill="1" applyAlignment="1">
      <alignment vertical="center"/>
      <protection/>
    </xf>
    <xf numFmtId="0" fontId="0" fillId="24" borderId="0" xfId="686" applyNumberFormat="1" applyFont="1" applyFill="1" applyBorder="1" applyAlignment="1">
      <alignment vertical="center"/>
      <protection/>
    </xf>
    <xf numFmtId="2" fontId="26" fillId="24" borderId="11" xfId="606" applyNumberFormat="1" applyFont="1" applyFill="1" applyBorder="1" applyAlignment="1">
      <alignment horizontal="center" vertical="center" wrapText="1"/>
      <protection/>
    </xf>
    <xf numFmtId="49" fontId="1" fillId="24" borderId="0" xfId="562" applyNumberFormat="1" applyFont="1" applyFill="1" applyBorder="1" applyAlignment="1">
      <alignment horizontal="center" vertical="center" wrapText="1"/>
      <protection/>
    </xf>
    <xf numFmtId="0" fontId="26" fillId="24" borderId="0" xfId="562" applyFont="1" applyFill="1" applyAlignment="1">
      <alignment horizontal="center" vertical="center" wrapText="1"/>
      <protection/>
    </xf>
    <xf numFmtId="0" fontId="26" fillId="24" borderId="0" xfId="562" applyFont="1" applyFill="1" applyAlignment="1">
      <alignment vertical="center" wrapText="1"/>
      <protection/>
    </xf>
    <xf numFmtId="0" fontId="1" fillId="24" borderId="0" xfId="562" applyFont="1" applyFill="1" applyAlignment="1">
      <alignment horizontal="center" vertical="center" wrapText="1"/>
      <protection/>
    </xf>
    <xf numFmtId="0" fontId="0" fillId="24" borderId="0" xfId="562" applyFont="1" applyFill="1" applyBorder="1" applyAlignment="1">
      <alignment horizontal="center" vertical="center" wrapText="1"/>
      <protection/>
    </xf>
    <xf numFmtId="0" fontId="0" fillId="24" borderId="0" xfId="562" applyFont="1" applyFill="1" applyBorder="1" applyAlignment="1">
      <alignment vertical="center" wrapText="1"/>
      <protection/>
    </xf>
    <xf numFmtId="0" fontId="1" fillId="24" borderId="0" xfId="562" applyFont="1" applyFill="1" applyBorder="1" applyAlignment="1">
      <alignment vertical="center" wrapText="1"/>
      <protection/>
    </xf>
    <xf numFmtId="2" fontId="26" fillId="24" borderId="0" xfId="562" applyNumberFormat="1" applyFont="1" applyFill="1" applyBorder="1" applyAlignment="1">
      <alignment vertical="center" wrapText="1"/>
      <protection/>
    </xf>
    <xf numFmtId="0" fontId="0" fillId="24" borderId="0" xfId="562" applyFont="1" applyFill="1" applyAlignment="1">
      <alignment vertical="center" wrapText="1"/>
      <protection/>
    </xf>
    <xf numFmtId="0" fontId="0" fillId="24" borderId="0" xfId="562" applyFont="1" applyFill="1" applyAlignment="1">
      <alignment horizontal="center" vertical="center" wrapText="1"/>
      <protection/>
    </xf>
    <xf numFmtId="49" fontId="1" fillId="24" borderId="0" xfId="562" applyNumberFormat="1" applyFont="1" applyFill="1" applyAlignment="1">
      <alignment horizontal="center" vertical="center" wrapText="1"/>
      <protection/>
    </xf>
    <xf numFmtId="0" fontId="1" fillId="24" borderId="0" xfId="562" applyFont="1" applyFill="1" applyAlignment="1">
      <alignment vertical="center" wrapText="1"/>
      <protection/>
    </xf>
    <xf numFmtId="2" fontId="26" fillId="24" borderId="0" xfId="562" applyNumberFormat="1" applyFont="1" applyFill="1" applyAlignment="1">
      <alignment vertical="center" wrapText="1"/>
      <protection/>
    </xf>
    <xf numFmtId="0" fontId="44" fillId="24" borderId="0" xfId="0" applyFont="1" applyFill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2" fontId="26" fillId="24" borderId="12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2" fontId="1" fillId="24" borderId="10" xfId="606" applyNumberFormat="1" applyFont="1" applyFill="1" applyBorder="1" applyAlignment="1">
      <alignment horizontal="center" vertical="center" wrapText="1"/>
      <protection/>
    </xf>
    <xf numFmtId="175" fontId="27" fillId="24" borderId="0" xfId="0" applyNumberFormat="1" applyFont="1" applyFill="1" applyAlignment="1">
      <alignment horizontal="center" vertical="center" wrapText="1"/>
    </xf>
    <xf numFmtId="4" fontId="27" fillId="24" borderId="0" xfId="0" applyNumberFormat="1" applyFont="1" applyFill="1" applyAlignment="1">
      <alignment horizontal="center" vertical="center" wrapText="1"/>
    </xf>
    <xf numFmtId="0" fontId="27" fillId="24" borderId="0" xfId="0" applyFont="1" applyFill="1" applyAlignment="1">
      <alignment horizontal="center" vertical="center"/>
    </xf>
    <xf numFmtId="175" fontId="28" fillId="24" borderId="0" xfId="0" applyNumberFormat="1" applyFont="1" applyFill="1" applyBorder="1" applyAlignment="1">
      <alignment vertical="center" wrapText="1"/>
    </xf>
    <xf numFmtId="2" fontId="28" fillId="24" borderId="0" xfId="0" applyNumberFormat="1" applyFont="1" applyFill="1" applyAlignment="1">
      <alignment horizontal="center" vertical="center" wrapText="1"/>
    </xf>
    <xf numFmtId="2" fontId="34" fillId="24" borderId="0" xfId="0" applyNumberFormat="1" applyFont="1" applyFill="1" applyAlignment="1">
      <alignment horizontal="center" vertical="center" wrapText="1"/>
    </xf>
    <xf numFmtId="2" fontId="28" fillId="24" borderId="0" xfId="0" applyNumberFormat="1" applyFont="1" applyFill="1" applyAlignment="1">
      <alignment vertical="center" wrapText="1"/>
    </xf>
    <xf numFmtId="2" fontId="26" fillId="24" borderId="0" xfId="0" applyNumberFormat="1" applyFont="1" applyFill="1" applyAlignment="1">
      <alignment vertical="center" wrapText="1"/>
    </xf>
    <xf numFmtId="175" fontId="1" fillId="24" borderId="10" xfId="562" applyNumberFormat="1" applyFont="1" applyFill="1" applyBorder="1" applyAlignment="1">
      <alignment horizontal="center" vertical="center" wrapText="1"/>
      <protection/>
    </xf>
    <xf numFmtId="0" fontId="5" fillId="24" borderId="10" xfId="619" applyFont="1" applyFill="1" applyBorder="1" applyAlignment="1">
      <alignment horizontal="center" vertical="center"/>
      <protection/>
    </xf>
    <xf numFmtId="0" fontId="28" fillId="24" borderId="0" xfId="0" applyFont="1" applyFill="1" applyAlignment="1">
      <alignment vertical="center" wrapText="1"/>
    </xf>
    <xf numFmtId="0" fontId="1" fillId="24" borderId="10" xfId="688" applyFont="1" applyFill="1" applyBorder="1" applyAlignment="1">
      <alignment horizontal="center" vertical="center"/>
      <protection/>
    </xf>
    <xf numFmtId="0" fontId="40" fillId="24" borderId="10" xfId="0" applyFont="1" applyFill="1" applyBorder="1" applyAlignment="1">
      <alignment horizontal="left" vertical="center" wrapText="1"/>
    </xf>
    <xf numFmtId="0" fontId="0" fillId="24" borderId="0" xfId="688" applyFont="1" applyFill="1" applyAlignment="1">
      <alignment vertical="center"/>
      <protection/>
    </xf>
    <xf numFmtId="0" fontId="0" fillId="24" borderId="0" xfId="688" applyFont="1" applyFill="1" applyBorder="1" applyAlignment="1">
      <alignment vertical="center"/>
      <protection/>
    </xf>
    <xf numFmtId="0" fontId="26" fillId="24" borderId="10" xfId="688" applyFont="1" applyFill="1" applyBorder="1" applyAlignment="1">
      <alignment vertical="center"/>
      <protection/>
    </xf>
    <xf numFmtId="2" fontId="26" fillId="24" borderId="0" xfId="0" applyNumberFormat="1" applyFont="1" applyFill="1" applyBorder="1" applyAlignment="1">
      <alignment horizontal="center" vertical="center" wrapText="1"/>
    </xf>
    <xf numFmtId="2" fontId="26" fillId="24" borderId="10" xfId="688" applyNumberFormat="1" applyFont="1" applyFill="1" applyBorder="1" applyAlignment="1">
      <alignment horizontal="center" vertical="center"/>
      <protection/>
    </xf>
    <xf numFmtId="0" fontId="26" fillId="24" borderId="10" xfId="688" applyFont="1" applyFill="1" applyBorder="1" applyAlignment="1">
      <alignment horizontal="center" vertical="center"/>
      <protection/>
    </xf>
    <xf numFmtId="175" fontId="26" fillId="24" borderId="10" xfId="688" applyNumberFormat="1" applyFont="1" applyFill="1" applyBorder="1" applyAlignment="1">
      <alignment horizontal="center" vertical="center"/>
      <protection/>
    </xf>
    <xf numFmtId="177" fontId="27" fillId="24" borderId="0" xfId="0" applyNumberFormat="1" applyFont="1" applyFill="1" applyBorder="1" applyAlignment="1">
      <alignment horizontal="center" vertical="center" wrapText="1"/>
    </xf>
    <xf numFmtId="2" fontId="26" fillId="24" borderId="0" xfId="0" applyNumberFormat="1" applyFont="1" applyFill="1" applyBorder="1" applyAlignment="1">
      <alignment vertical="center" wrapText="1"/>
    </xf>
    <xf numFmtId="0" fontId="26" fillId="24" borderId="0" xfId="686" applyFont="1" applyFill="1" applyBorder="1" applyAlignment="1">
      <alignment horizontal="center" vertical="center"/>
      <protection/>
    </xf>
    <xf numFmtId="0" fontId="26" fillId="24" borderId="0" xfId="686" applyFont="1" applyFill="1" applyAlignment="1">
      <alignment horizontal="center" vertical="center"/>
      <protection/>
    </xf>
    <xf numFmtId="2" fontId="26" fillId="24" borderId="0" xfId="686" applyNumberFormat="1" applyFont="1" applyFill="1" applyAlignment="1">
      <alignment horizontal="center" vertical="center"/>
      <protection/>
    </xf>
    <xf numFmtId="175" fontId="26" fillId="24" borderId="0" xfId="686" applyNumberFormat="1" applyFont="1" applyFill="1" applyAlignment="1">
      <alignment horizontal="center" vertical="center"/>
      <protection/>
    </xf>
    <xf numFmtId="2" fontId="26" fillId="24" borderId="0" xfId="686" applyNumberFormat="1" applyFont="1" applyFill="1" applyBorder="1" applyAlignment="1">
      <alignment horizontal="center" vertical="center"/>
      <protection/>
    </xf>
    <xf numFmtId="0" fontId="26" fillId="24" borderId="0" xfId="686" applyFont="1" applyFill="1" applyBorder="1" applyAlignment="1">
      <alignment horizontal="center" vertical="center" wrapText="1"/>
      <protection/>
    </xf>
    <xf numFmtId="0" fontId="27" fillId="24" borderId="0" xfId="686" applyFont="1" applyFill="1" applyBorder="1" applyAlignment="1">
      <alignment horizontal="center" vertical="center"/>
      <protection/>
    </xf>
    <xf numFmtId="9" fontId="26" fillId="24" borderId="0" xfId="686" applyNumberFormat="1" applyFont="1" applyFill="1" applyBorder="1" applyAlignment="1">
      <alignment horizontal="center" vertical="center"/>
      <protection/>
    </xf>
    <xf numFmtId="0" fontId="26" fillId="24" borderId="0" xfId="686" applyNumberFormat="1" applyFont="1" applyFill="1" applyBorder="1" applyAlignment="1">
      <alignment horizontal="center" vertical="center"/>
      <protection/>
    </xf>
    <xf numFmtId="175" fontId="26" fillId="24" borderId="0" xfId="686" applyNumberFormat="1" applyFont="1" applyFill="1" applyBorder="1" applyAlignment="1">
      <alignment horizontal="center" vertical="center"/>
      <protection/>
    </xf>
    <xf numFmtId="0" fontId="42" fillId="24" borderId="10" xfId="562" applyFont="1" applyFill="1" applyBorder="1" applyAlignment="1">
      <alignment vertical="center" wrapText="1"/>
      <protection/>
    </xf>
    <xf numFmtId="0" fontId="40" fillId="24" borderId="10" xfId="562" applyFont="1" applyFill="1" applyBorder="1" applyAlignment="1">
      <alignment vertical="center"/>
      <protection/>
    </xf>
    <xf numFmtId="0" fontId="1" fillId="24" borderId="0" xfId="562" applyFont="1" applyFill="1" applyBorder="1" applyAlignment="1">
      <alignment vertical="center" wrapText="1"/>
      <protection/>
    </xf>
    <xf numFmtId="0" fontId="40" fillId="24" borderId="10" xfId="562" applyFont="1" applyFill="1" applyBorder="1" applyAlignment="1">
      <alignment vertical="center" wrapText="1"/>
      <protection/>
    </xf>
    <xf numFmtId="2" fontId="36" fillId="24" borderId="10" xfId="0" applyNumberFormat="1" applyFont="1" applyFill="1" applyBorder="1" applyAlignment="1" applyProtection="1">
      <alignment horizontal="center" vertical="center" wrapText="1"/>
      <protection/>
    </xf>
    <xf numFmtId="175" fontId="36" fillId="24" borderId="10" xfId="0" applyNumberFormat="1" applyFont="1" applyFill="1" applyBorder="1" applyAlignment="1" applyProtection="1">
      <alignment horizontal="center" vertical="center" wrapText="1"/>
      <protection/>
    </xf>
    <xf numFmtId="0" fontId="36" fillId="24" borderId="11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/>
    </xf>
    <xf numFmtId="0" fontId="33" fillId="24" borderId="0" xfId="562" applyFont="1" applyFill="1" applyBorder="1" applyAlignment="1">
      <alignment vertical="center" wrapText="1"/>
      <protection/>
    </xf>
    <xf numFmtId="0" fontId="24" fillId="24" borderId="0" xfId="562" applyFont="1" applyFill="1" applyBorder="1" applyAlignment="1">
      <alignment horizontal="center" vertical="center"/>
      <protection/>
    </xf>
    <xf numFmtId="0" fontId="24" fillId="24" borderId="0" xfId="562" applyFont="1" applyFill="1" applyAlignment="1">
      <alignment horizontal="center" vertical="center"/>
      <protection/>
    </xf>
    <xf numFmtId="0" fontId="1" fillId="24" borderId="13" xfId="562" applyFont="1" applyFill="1" applyBorder="1" applyAlignment="1">
      <alignment horizontal="center" vertical="center" wrapText="1"/>
      <protection/>
    </xf>
    <xf numFmtId="0" fontId="32" fillId="24" borderId="0" xfId="562" applyFont="1" applyFill="1" applyAlignment="1">
      <alignment vertical="center"/>
      <protection/>
    </xf>
    <xf numFmtId="0" fontId="5" fillId="24" borderId="21" xfId="562" applyFont="1" applyFill="1" applyBorder="1" applyAlignment="1">
      <alignment horizontal="center" vertical="center"/>
      <protection/>
    </xf>
    <xf numFmtId="0" fontId="43" fillId="24" borderId="0" xfId="562" applyFont="1" applyFill="1" applyAlignment="1">
      <alignment vertical="center"/>
      <protection/>
    </xf>
    <xf numFmtId="0" fontId="1" fillId="24" borderId="27" xfId="562" applyFont="1" applyFill="1" applyBorder="1" applyAlignment="1">
      <alignment horizontal="center" vertical="center" wrapText="1"/>
      <protection/>
    </xf>
    <xf numFmtId="175" fontId="5" fillId="24" borderId="10" xfId="562" applyNumberFormat="1" applyFont="1" applyFill="1" applyBorder="1" applyAlignment="1">
      <alignment horizontal="center" vertical="center" wrapText="1"/>
      <protection/>
    </xf>
    <xf numFmtId="0" fontId="1" fillId="24" borderId="28" xfId="562" applyFont="1" applyFill="1" applyBorder="1" applyAlignment="1">
      <alignment horizontal="center" vertical="center" wrapText="1"/>
      <protection/>
    </xf>
    <xf numFmtId="0" fontId="1" fillId="24" borderId="29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 applyProtection="1">
      <alignment horizontal="center" vertical="center" wrapText="1"/>
      <protection/>
    </xf>
    <xf numFmtId="0" fontId="26" fillId="24" borderId="12" xfId="606" applyFont="1" applyFill="1" applyBorder="1" applyAlignment="1">
      <alignment horizontal="center" vertical="center" wrapText="1"/>
      <protection/>
    </xf>
    <xf numFmtId="4" fontId="27" fillId="24" borderId="10" xfId="606" applyNumberFormat="1" applyFont="1" applyFill="1" applyBorder="1" applyAlignment="1">
      <alignment horizontal="center" vertical="center" wrapText="1"/>
      <protection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27" fillId="24" borderId="0" xfId="686" applyFont="1" applyFill="1" applyAlignment="1">
      <alignment horizontal="center" vertical="center"/>
      <protection/>
    </xf>
    <xf numFmtId="0" fontId="26" fillId="24" borderId="12" xfId="562" applyFont="1" applyFill="1" applyBorder="1" applyAlignment="1">
      <alignment horizontal="center" vertical="center" wrapText="1"/>
      <protection/>
    </xf>
    <xf numFmtId="0" fontId="27" fillId="24" borderId="10" xfId="562" applyFont="1" applyFill="1" applyBorder="1" applyAlignment="1">
      <alignment horizontal="center" vertical="center" wrapText="1"/>
      <protection/>
    </xf>
    <xf numFmtId="0" fontId="26" fillId="24" borderId="0" xfId="562" applyFont="1" applyFill="1" applyBorder="1" applyAlignment="1">
      <alignment vertical="center" wrapText="1"/>
      <protection/>
    </xf>
    <xf numFmtId="2" fontId="28" fillId="24" borderId="0" xfId="0" applyNumberFormat="1" applyFont="1" applyFill="1" applyBorder="1" applyAlignment="1">
      <alignment horizontal="center" vertical="center" wrapText="1"/>
    </xf>
    <xf numFmtId="2" fontId="26" fillId="24" borderId="10" xfId="576" applyNumberFormat="1" applyFont="1" applyFill="1" applyBorder="1" applyAlignment="1">
      <alignment horizontal="center" vertical="center" wrapText="1"/>
      <protection/>
    </xf>
    <xf numFmtId="0" fontId="50" fillId="24" borderId="10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horizontal="center" vertical="center"/>
    </xf>
    <xf numFmtId="0" fontId="26" fillId="24" borderId="0" xfId="705" applyFont="1" applyFill="1" applyAlignment="1">
      <alignment horizontal="center" vertical="center"/>
      <protection/>
    </xf>
    <xf numFmtId="0" fontId="27" fillId="24" borderId="0" xfId="0" applyFont="1" applyFill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2" fontId="27" fillId="24" borderId="10" xfId="0" applyNumberFormat="1" applyFont="1" applyFill="1" applyBorder="1" applyAlignment="1">
      <alignment horizontal="center" vertical="center"/>
    </xf>
    <xf numFmtId="174" fontId="26" fillId="24" borderId="10" xfId="398" applyFont="1" applyFill="1" applyBorder="1" applyAlignment="1" applyProtection="1">
      <alignment vertical="center"/>
      <protection/>
    </xf>
    <xf numFmtId="2" fontId="26" fillId="24" borderId="10" xfId="579" applyNumberFormat="1" applyFont="1" applyFill="1" applyBorder="1" applyAlignment="1">
      <alignment horizontal="center" vertical="center" wrapText="1"/>
      <protection/>
    </xf>
    <xf numFmtId="2" fontId="26" fillId="24" borderId="10" xfId="702" applyNumberFormat="1" applyFont="1" applyFill="1" applyBorder="1" applyAlignment="1">
      <alignment horizontal="center" vertical="center"/>
      <protection/>
    </xf>
    <xf numFmtId="0" fontId="27" fillId="24" borderId="10" xfId="619" applyFont="1" applyFill="1" applyBorder="1" applyAlignment="1">
      <alignment horizontal="left" vertical="center" wrapText="1"/>
      <protection/>
    </xf>
    <xf numFmtId="17" fontId="0" fillId="24" borderId="10" xfId="0" applyNumberFormat="1" applyFont="1" applyFill="1" applyBorder="1" applyAlignment="1">
      <alignment horizontal="center" vertical="center"/>
    </xf>
    <xf numFmtId="179" fontId="26" fillId="24" borderId="0" xfId="562" applyNumberFormat="1" applyFont="1" applyFill="1" applyBorder="1" applyAlignment="1">
      <alignment horizontal="center" vertical="center" wrapText="1"/>
      <protection/>
    </xf>
    <xf numFmtId="2" fontId="27" fillId="24" borderId="0" xfId="0" applyNumberFormat="1" applyFont="1" applyFill="1" applyAlignment="1">
      <alignment horizontal="center" vertical="center"/>
    </xf>
    <xf numFmtId="0" fontId="58" fillId="24" borderId="0" xfId="0" applyFont="1" applyFill="1" applyBorder="1" applyAlignment="1">
      <alignment vertical="center"/>
    </xf>
    <xf numFmtId="0" fontId="56" fillId="24" borderId="0" xfId="0" applyFont="1" applyFill="1" applyBorder="1" applyAlignment="1">
      <alignment horizontal="center" vertical="center"/>
    </xf>
    <xf numFmtId="0" fontId="57" fillId="24" borderId="0" xfId="0" applyFont="1" applyFill="1" applyBorder="1" applyAlignment="1">
      <alignment horizontal="center" vertical="center"/>
    </xf>
    <xf numFmtId="0" fontId="57" fillId="24" borderId="0" xfId="0" applyFont="1" applyFill="1" applyBorder="1" applyAlignment="1">
      <alignment vertical="center" wrapText="1"/>
    </xf>
    <xf numFmtId="2" fontId="58" fillId="24" borderId="0" xfId="0" applyNumberFormat="1" applyFont="1" applyFill="1" applyBorder="1" applyAlignment="1">
      <alignment horizontal="center" vertical="center" wrapText="1"/>
    </xf>
    <xf numFmtId="0" fontId="58" fillId="24" borderId="0" xfId="0" applyFont="1" applyFill="1" applyBorder="1" applyAlignment="1">
      <alignment horizontal="center" vertical="center" wrapText="1"/>
    </xf>
    <xf numFmtId="176" fontId="57" fillId="24" borderId="0" xfId="0" applyNumberFormat="1" applyFont="1" applyFill="1" applyBorder="1" applyAlignment="1">
      <alignment vertical="center" wrapText="1"/>
    </xf>
    <xf numFmtId="0" fontId="58" fillId="24" borderId="0" xfId="0" applyFont="1" applyFill="1" applyBorder="1" applyAlignment="1">
      <alignment vertical="center" wrapText="1"/>
    </xf>
    <xf numFmtId="175" fontId="58" fillId="24" borderId="0" xfId="0" applyNumberFormat="1" applyFont="1" applyFill="1" applyBorder="1" applyAlignment="1">
      <alignment horizontal="center" vertical="center" wrapText="1"/>
    </xf>
    <xf numFmtId="4" fontId="58" fillId="24" borderId="0" xfId="0" applyNumberFormat="1" applyFont="1" applyFill="1" applyBorder="1" applyAlignment="1">
      <alignment horizontal="center" vertical="center" wrapText="1"/>
    </xf>
    <xf numFmtId="4" fontId="57" fillId="24" borderId="0" xfId="0" applyNumberFormat="1" applyFont="1" applyFill="1" applyBorder="1" applyAlignment="1">
      <alignment vertical="center" wrapText="1"/>
    </xf>
    <xf numFmtId="2" fontId="27" fillId="24" borderId="10" xfId="606" applyNumberFormat="1" applyFont="1" applyFill="1" applyBorder="1" applyAlignment="1">
      <alignment horizontal="center" vertical="center" wrapText="1"/>
      <protection/>
    </xf>
    <xf numFmtId="0" fontId="28" fillId="24" borderId="0" xfId="0" applyFont="1" applyFill="1" applyBorder="1" applyAlignment="1">
      <alignment horizontal="center" vertical="center" wrapText="1"/>
    </xf>
    <xf numFmtId="175" fontId="27" fillId="24" borderId="10" xfId="0" applyNumberFormat="1" applyFont="1" applyFill="1" applyBorder="1" applyAlignment="1">
      <alignment horizontal="center" vertical="center"/>
    </xf>
    <xf numFmtId="0" fontId="27" fillId="24" borderId="11" xfId="606" applyFont="1" applyFill="1" applyBorder="1" applyAlignment="1">
      <alignment vertical="center" wrapText="1"/>
      <protection/>
    </xf>
    <xf numFmtId="2" fontId="27" fillId="24" borderId="11" xfId="606" applyNumberFormat="1" applyFont="1" applyFill="1" applyBorder="1" applyAlignment="1">
      <alignment vertical="center" wrapText="1"/>
      <protection/>
    </xf>
    <xf numFmtId="49" fontId="27" fillId="24" borderId="10" xfId="606" applyNumberFormat="1" applyFont="1" applyFill="1" applyBorder="1" applyAlignment="1">
      <alignment horizontal="center" vertical="center" wrapText="1"/>
      <protection/>
    </xf>
    <xf numFmtId="2" fontId="1" fillId="24" borderId="26" xfId="0" applyNumberFormat="1" applyFont="1" applyFill="1" applyBorder="1" applyAlignment="1">
      <alignment horizontal="center" vertical="center" wrapText="1"/>
    </xf>
    <xf numFmtId="2" fontId="27" fillId="24" borderId="10" xfId="616" applyNumberFormat="1" applyFont="1" applyFill="1" applyBorder="1" applyAlignment="1">
      <alignment horizontal="center" vertical="center"/>
      <protection/>
    </xf>
    <xf numFmtId="0" fontId="27" fillId="24" borderId="10" xfId="562" applyFont="1" applyFill="1" applyBorder="1" applyAlignment="1">
      <alignment vertical="center"/>
      <protection/>
    </xf>
    <xf numFmtId="0" fontId="42" fillId="24" borderId="10" xfId="0" applyFont="1" applyFill="1" applyBorder="1" applyAlignment="1">
      <alignment vertical="center" wrapText="1"/>
    </xf>
    <xf numFmtId="176" fontId="27" fillId="24" borderId="0" xfId="562" applyNumberFormat="1" applyFont="1" applyFill="1" applyAlignment="1">
      <alignment horizontal="center" vertical="center" wrapText="1"/>
      <protection/>
    </xf>
    <xf numFmtId="0" fontId="26" fillId="24" borderId="10" xfId="562" applyFont="1" applyFill="1" applyBorder="1" applyAlignment="1">
      <alignment vertical="center"/>
      <protection/>
    </xf>
    <xf numFmtId="0" fontId="36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vertical="center" wrapText="1"/>
    </xf>
    <xf numFmtId="0" fontId="36" fillId="24" borderId="10" xfId="0" applyFont="1" applyFill="1" applyBorder="1" applyAlignment="1" applyProtection="1">
      <alignment horizontal="center" vertical="center" wrapText="1"/>
      <protection/>
    </xf>
    <xf numFmtId="0" fontId="36" fillId="24" borderId="11" xfId="0" applyFont="1" applyFill="1" applyBorder="1" applyAlignment="1" applyProtection="1">
      <alignment horizontal="center" vertical="center" wrapText="1"/>
      <protection/>
    </xf>
    <xf numFmtId="0" fontId="0" fillId="24" borderId="0" xfId="606" applyFont="1" applyFill="1" applyAlignment="1">
      <alignment horizontal="center" vertical="center"/>
      <protection/>
    </xf>
    <xf numFmtId="2" fontId="27" fillId="24" borderId="19" xfId="0" applyNumberFormat="1" applyFont="1" applyFill="1" applyBorder="1" applyAlignment="1">
      <alignment horizontal="center" vertical="center" wrapText="1"/>
    </xf>
    <xf numFmtId="175" fontId="38" fillId="24" borderId="10" xfId="0" applyNumberFormat="1" applyFont="1" applyFill="1" applyBorder="1" applyAlignment="1">
      <alignment horizontal="center" vertical="center" wrapText="1"/>
    </xf>
    <xf numFmtId="0" fontId="1" fillId="24" borderId="0" xfId="606" applyFont="1" applyFill="1" applyBorder="1" applyAlignment="1">
      <alignment vertical="center" wrapText="1"/>
      <protection/>
    </xf>
    <xf numFmtId="2" fontId="1" fillId="24" borderId="0" xfId="606" applyNumberFormat="1" applyFont="1" applyFill="1" applyBorder="1" applyAlignment="1">
      <alignment vertical="center" wrapText="1"/>
      <protection/>
    </xf>
    <xf numFmtId="0" fontId="45" fillId="24" borderId="10" xfId="0" applyFont="1" applyFill="1" applyBorder="1" applyAlignment="1">
      <alignment horizontal="left" vertical="center" wrapText="1"/>
    </xf>
    <xf numFmtId="4" fontId="27" fillId="24" borderId="10" xfId="608" applyNumberFormat="1" applyFont="1" applyFill="1" applyBorder="1" applyAlignment="1">
      <alignment horizontal="center" vertical="center" wrapText="1"/>
      <protection/>
    </xf>
    <xf numFmtId="4" fontId="27" fillId="24" borderId="17" xfId="0" applyNumberFormat="1" applyFont="1" applyFill="1" applyBorder="1" applyAlignment="1">
      <alignment horizontal="center" vertical="center" wrapText="1"/>
    </xf>
    <xf numFmtId="2" fontId="27" fillId="24" borderId="10" xfId="576" applyNumberFormat="1" applyFont="1" applyFill="1" applyBorder="1" applyAlignment="1">
      <alignment horizontal="center" vertical="center" wrapText="1"/>
      <protection/>
    </xf>
    <xf numFmtId="175" fontId="27" fillId="24" borderId="11" xfId="606" applyNumberFormat="1" applyFont="1" applyFill="1" applyBorder="1" applyAlignment="1">
      <alignment horizontal="center" vertical="center" wrapText="1"/>
      <protection/>
    </xf>
    <xf numFmtId="0" fontId="28" fillId="24" borderId="16" xfId="562" applyFont="1" applyFill="1" applyBorder="1" applyAlignment="1">
      <alignment vertical="center" wrapText="1"/>
      <protection/>
    </xf>
    <xf numFmtId="0" fontId="36" fillId="24" borderId="10" xfId="562" applyFont="1" applyFill="1" applyBorder="1" applyAlignment="1" applyProtection="1">
      <alignment horizontal="center" vertical="center" wrapText="1"/>
      <protection/>
    </xf>
    <xf numFmtId="0" fontId="5" fillId="24" borderId="0" xfId="562" applyFont="1" applyFill="1" applyAlignment="1">
      <alignment vertical="center"/>
      <protection/>
    </xf>
    <xf numFmtId="14" fontId="5" fillId="24" borderId="10" xfId="0" applyNumberFormat="1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0" fillId="24" borderId="26" xfId="562" applyFont="1" applyFill="1" applyBorder="1" applyAlignment="1">
      <alignment horizontal="center" vertical="center"/>
      <protection/>
    </xf>
    <xf numFmtId="0" fontId="0" fillId="24" borderId="26" xfId="401" applyNumberFormat="1" applyFont="1" applyFill="1" applyBorder="1" applyAlignment="1">
      <alignment horizontal="center" vertical="center"/>
    </xf>
    <xf numFmtId="0" fontId="0" fillId="24" borderId="0" xfId="562" applyFont="1" applyFill="1" applyAlignment="1">
      <alignment horizontal="center" vertical="center"/>
      <protection/>
    </xf>
    <xf numFmtId="0" fontId="0" fillId="24" borderId="10" xfId="688" applyFont="1" applyFill="1" applyBorder="1" applyAlignment="1">
      <alignment horizontal="center" vertical="center"/>
      <protection/>
    </xf>
    <xf numFmtId="2" fontId="0" fillId="24" borderId="10" xfId="688" applyNumberFormat="1" applyFont="1" applyFill="1" applyBorder="1" applyAlignment="1">
      <alignment horizontal="center" vertical="center"/>
      <protection/>
    </xf>
    <xf numFmtId="43" fontId="0" fillId="24" borderId="33" xfId="401" applyFont="1" applyFill="1" applyBorder="1" applyAlignment="1">
      <alignment horizontal="center" vertical="center"/>
    </xf>
    <xf numFmtId="43" fontId="0" fillId="24" borderId="10" xfId="401" applyFont="1" applyFill="1" applyBorder="1" applyAlignment="1">
      <alignment horizontal="center" vertical="center"/>
    </xf>
    <xf numFmtId="0" fontId="27" fillId="24" borderId="11" xfId="562" applyFont="1" applyFill="1" applyBorder="1" applyAlignment="1">
      <alignment horizontal="center" vertical="center" wrapText="1"/>
      <protection/>
    </xf>
    <xf numFmtId="0" fontId="27" fillId="24" borderId="16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0" fillId="24" borderId="0" xfId="688" applyFont="1" applyFill="1" applyAlignment="1">
      <alignment vertical="center"/>
      <protection/>
    </xf>
    <xf numFmtId="0" fontId="0" fillId="24" borderId="0" xfId="688" applyFont="1" applyFill="1" applyBorder="1" applyAlignment="1">
      <alignment vertical="center"/>
      <protection/>
    </xf>
    <xf numFmtId="43" fontId="1" fillId="24" borderId="0" xfId="399" applyFont="1" applyFill="1" applyBorder="1" applyAlignment="1">
      <alignment horizontal="center" vertical="center" wrapText="1"/>
    </xf>
    <xf numFmtId="43" fontId="1" fillId="24" borderId="0" xfId="399" applyNumberFormat="1" applyFont="1" applyFill="1" applyBorder="1" applyAlignment="1">
      <alignment horizontal="center" vertical="center" wrapText="1"/>
    </xf>
    <xf numFmtId="176" fontId="26" fillId="24" borderId="11" xfId="0" applyNumberFormat="1" applyFont="1" applyFill="1" applyBorder="1" applyAlignment="1">
      <alignment horizontal="center" vertical="center" wrapText="1"/>
    </xf>
    <xf numFmtId="0" fontId="60" fillId="24" borderId="0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vertical="center" wrapText="1"/>
    </xf>
    <xf numFmtId="2" fontId="27" fillId="24" borderId="11" xfId="0" applyNumberFormat="1" applyFont="1" applyFill="1" applyBorder="1" applyAlignment="1">
      <alignment vertical="center" wrapText="1"/>
    </xf>
    <xf numFmtId="0" fontId="28" fillId="24" borderId="16" xfId="0" applyFont="1" applyFill="1" applyBorder="1" applyAlignment="1">
      <alignment horizontal="center" vertical="center" wrapText="1"/>
    </xf>
    <xf numFmtId="176" fontId="26" fillId="24" borderId="0" xfId="608" applyNumberFormat="1" applyFont="1" applyFill="1" applyAlignment="1">
      <alignment horizontal="center" vertical="center" wrapText="1"/>
      <protection/>
    </xf>
    <xf numFmtId="2" fontId="27" fillId="24" borderId="10" xfId="702" applyNumberFormat="1" applyFont="1" applyFill="1" applyBorder="1" applyAlignment="1">
      <alignment horizontal="center" vertical="center" wrapText="1"/>
      <protection/>
    </xf>
    <xf numFmtId="2" fontId="27" fillId="24" borderId="10" xfId="702" applyNumberFormat="1" applyFont="1" applyFill="1" applyBorder="1" applyAlignment="1">
      <alignment horizontal="center" vertical="center"/>
      <protection/>
    </xf>
    <xf numFmtId="175" fontId="26" fillId="24" borderId="10" xfId="0" applyNumberFormat="1" applyFont="1" applyFill="1" applyBorder="1" applyAlignment="1">
      <alignment horizontal="center" vertical="center"/>
    </xf>
    <xf numFmtId="175" fontId="26" fillId="24" borderId="10" xfId="686" applyNumberFormat="1" applyFont="1" applyFill="1" applyBorder="1" applyAlignment="1">
      <alignment horizontal="center" vertical="center"/>
      <protection/>
    </xf>
    <xf numFmtId="0" fontId="26" fillId="24" borderId="0" xfId="562" applyFont="1" applyFill="1" applyBorder="1" applyAlignment="1">
      <alignment horizontal="center" vertical="center" wrapText="1"/>
      <protection/>
    </xf>
    <xf numFmtId="0" fontId="27" fillId="24" borderId="0" xfId="562" applyFont="1" applyFill="1" applyBorder="1" applyAlignment="1">
      <alignment horizontal="center" vertical="center" wrapText="1"/>
      <protection/>
    </xf>
    <xf numFmtId="0" fontId="61" fillId="24" borderId="0" xfId="0" applyFont="1" applyFill="1" applyBorder="1" applyAlignment="1">
      <alignment horizontal="center" vertical="center"/>
    </xf>
    <xf numFmtId="0" fontId="62" fillId="24" borderId="0" xfId="0" applyFont="1" applyFill="1" applyAlignment="1">
      <alignment horizontal="center" vertical="center"/>
    </xf>
    <xf numFmtId="0" fontId="63" fillId="24" borderId="0" xfId="0" applyFont="1" applyFill="1" applyBorder="1" applyAlignment="1">
      <alignment horizontal="center" vertical="center"/>
    </xf>
    <xf numFmtId="2" fontId="38" fillId="24" borderId="26" xfId="0" applyNumberFormat="1" applyFont="1" applyFill="1" applyBorder="1" applyAlignment="1">
      <alignment horizontal="center" vertical="center" wrapText="1"/>
    </xf>
    <xf numFmtId="0" fontId="49" fillId="24" borderId="26" xfId="0" applyFont="1" applyFill="1" applyBorder="1" applyAlignment="1">
      <alignment horizontal="center" vertical="center"/>
    </xf>
    <xf numFmtId="0" fontId="49" fillId="24" borderId="0" xfId="0" applyFont="1" applyFill="1" applyAlignment="1">
      <alignment horizontal="center" vertical="center"/>
    </xf>
    <xf numFmtId="2" fontId="1" fillId="24" borderId="10" xfId="574" applyNumberFormat="1" applyFont="1" applyFill="1" applyBorder="1" applyAlignment="1">
      <alignment horizontal="center" vertical="center" wrapText="1"/>
      <protection/>
    </xf>
    <xf numFmtId="175" fontId="1" fillId="24" borderId="11" xfId="562" applyNumberFormat="1" applyFont="1" applyFill="1" applyBorder="1" applyAlignment="1">
      <alignment horizontal="center" vertical="center" wrapText="1"/>
      <protection/>
    </xf>
    <xf numFmtId="176" fontId="65" fillId="24" borderId="0" xfId="0" applyNumberFormat="1" applyFont="1" applyFill="1" applyBorder="1" applyAlignment="1">
      <alignment vertical="center" wrapText="1"/>
    </xf>
    <xf numFmtId="43" fontId="5" fillId="24" borderId="10" xfId="380" applyFont="1" applyFill="1" applyBorder="1" applyAlignment="1">
      <alignment horizontal="center" vertical="center" wrapText="1"/>
    </xf>
    <xf numFmtId="4" fontId="60" fillId="24" borderId="0" xfId="0" applyNumberFormat="1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vertical="center" wrapText="1"/>
    </xf>
    <xf numFmtId="4" fontId="65" fillId="24" borderId="0" xfId="0" applyNumberFormat="1" applyFont="1" applyFill="1" applyBorder="1" applyAlignment="1">
      <alignment vertical="center" wrapText="1"/>
    </xf>
    <xf numFmtId="0" fontId="65" fillId="24" borderId="0" xfId="0" applyFont="1" applyFill="1" applyBorder="1" applyAlignment="1">
      <alignment vertical="center" wrapText="1"/>
    </xf>
    <xf numFmtId="0" fontId="60" fillId="24" borderId="0" xfId="0" applyFont="1" applyFill="1" applyBorder="1" applyAlignment="1">
      <alignment vertical="center"/>
    </xf>
    <xf numFmtId="0" fontId="49" fillId="24" borderId="0" xfId="0" applyFont="1" applyFill="1" applyBorder="1" applyAlignment="1">
      <alignment horizontal="center" vertical="center" wrapText="1"/>
    </xf>
    <xf numFmtId="0" fontId="49" fillId="24" borderId="0" xfId="0" applyFont="1" applyFill="1" applyBorder="1" applyAlignment="1">
      <alignment vertical="center" wrapText="1"/>
    </xf>
    <xf numFmtId="2" fontId="49" fillId="24" borderId="0" xfId="0" applyNumberFormat="1" applyFont="1" applyFill="1" applyBorder="1" applyAlignment="1">
      <alignment vertical="center" wrapText="1"/>
    </xf>
    <xf numFmtId="0" fontId="49" fillId="24" borderId="0" xfId="0" applyFont="1" applyFill="1" applyAlignment="1">
      <alignment horizontal="center" vertical="center" wrapText="1"/>
    </xf>
    <xf numFmtId="0" fontId="63" fillId="24" borderId="0" xfId="0" applyFont="1" applyFill="1" applyBorder="1" applyAlignment="1">
      <alignment vertical="center" wrapText="1"/>
    </xf>
    <xf numFmtId="0" fontId="49" fillId="24" borderId="0" xfId="0" applyFont="1" applyFill="1" applyAlignment="1">
      <alignment vertical="center" wrapText="1"/>
    </xf>
    <xf numFmtId="175" fontId="49" fillId="24" borderId="0" xfId="0" applyNumberFormat="1" applyFont="1" applyFill="1" applyBorder="1" applyAlignment="1">
      <alignment vertical="center" wrapText="1"/>
    </xf>
    <xf numFmtId="2" fontId="49" fillId="24" borderId="0" xfId="0" applyNumberFormat="1" applyFont="1" applyFill="1" applyAlignment="1">
      <alignment horizontal="center" vertical="center" wrapText="1"/>
    </xf>
    <xf numFmtId="2" fontId="64" fillId="24" borderId="0" xfId="0" applyNumberFormat="1" applyFont="1" applyFill="1" applyAlignment="1">
      <alignment horizontal="center" vertical="center" wrapText="1"/>
    </xf>
    <xf numFmtId="2" fontId="49" fillId="24" borderId="0" xfId="0" applyNumberFormat="1" applyFont="1" applyFill="1" applyAlignment="1">
      <alignment vertical="center" wrapText="1"/>
    </xf>
    <xf numFmtId="0" fontId="38" fillId="24" borderId="0" xfId="0" applyFont="1" applyFill="1" applyAlignment="1">
      <alignment horizontal="center" vertical="center" wrapText="1"/>
    </xf>
    <xf numFmtId="0" fontId="38" fillId="24" borderId="0" xfId="0" applyFont="1" applyFill="1" applyAlignment="1">
      <alignment vertical="center" wrapText="1"/>
    </xf>
    <xf numFmtId="2" fontId="38" fillId="24" borderId="0" xfId="0" applyNumberFormat="1" applyFont="1" applyFill="1" applyAlignment="1">
      <alignment vertical="center" wrapText="1"/>
    </xf>
    <xf numFmtId="0" fontId="1" fillId="24" borderId="10" xfId="616" applyFont="1" applyFill="1" applyBorder="1" applyAlignment="1">
      <alignment horizontal="center" vertical="center"/>
      <protection/>
    </xf>
    <xf numFmtId="0" fontId="0" fillId="24" borderId="10" xfId="616" applyFont="1" applyFill="1" applyBorder="1" applyAlignment="1">
      <alignment horizontal="center" vertical="center"/>
      <protection/>
    </xf>
    <xf numFmtId="175" fontId="1" fillId="24" borderId="10" xfId="616" applyNumberFormat="1" applyFont="1" applyFill="1" applyBorder="1" applyAlignment="1">
      <alignment horizontal="center" vertical="center"/>
      <protection/>
    </xf>
    <xf numFmtId="175" fontId="26" fillId="24" borderId="10" xfId="616" applyNumberFormat="1" applyFont="1" applyFill="1" applyBorder="1" applyAlignment="1">
      <alignment horizontal="center" vertical="center"/>
      <protection/>
    </xf>
    <xf numFmtId="0" fontId="27" fillId="24" borderId="10" xfId="0" applyFont="1" applyFill="1" applyBorder="1" applyAlignment="1">
      <alignment vertical="center"/>
    </xf>
    <xf numFmtId="0" fontId="0" fillId="24" borderId="11" xfId="686" applyFont="1" applyFill="1" applyBorder="1" applyAlignment="1">
      <alignment horizontal="center" vertical="center"/>
      <protection/>
    </xf>
    <xf numFmtId="175" fontId="1" fillId="24" borderId="11" xfId="616" applyNumberFormat="1" applyFont="1" applyFill="1" applyBorder="1" applyAlignment="1">
      <alignment horizontal="center" vertical="center"/>
      <protection/>
    </xf>
    <xf numFmtId="0" fontId="0" fillId="24" borderId="11" xfId="0" applyFont="1" applyFill="1" applyBorder="1" applyAlignment="1">
      <alignment horizontal="center" vertical="center"/>
    </xf>
    <xf numFmtId="2" fontId="26" fillId="24" borderId="10" xfId="616" applyNumberFormat="1" applyFont="1" applyFill="1" applyBorder="1" applyAlignment="1">
      <alignment horizontal="center" vertical="center"/>
      <protection/>
    </xf>
    <xf numFmtId="2" fontId="26" fillId="24" borderId="10" xfId="619" applyNumberFormat="1" applyFont="1" applyFill="1" applyBorder="1" applyAlignment="1">
      <alignment horizontal="center" vertical="center"/>
      <protection/>
    </xf>
    <xf numFmtId="0" fontId="58" fillId="24" borderId="0" xfId="606" applyFont="1" applyFill="1" applyBorder="1" applyAlignment="1">
      <alignment horizontal="center" vertical="center" wrapText="1"/>
      <protection/>
    </xf>
    <xf numFmtId="0" fontId="26" fillId="24" borderId="0" xfId="606" applyFont="1" applyFill="1" applyAlignment="1">
      <alignment vertical="center" wrapText="1"/>
      <protection/>
    </xf>
    <xf numFmtId="0" fontId="27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176" fontId="36" fillId="24" borderId="10" xfId="0" applyNumberFormat="1" applyFont="1" applyFill="1" applyBorder="1" applyAlignment="1" applyProtection="1">
      <alignment horizontal="center" vertical="center" wrapText="1"/>
      <protection/>
    </xf>
    <xf numFmtId="176" fontId="27" fillId="24" borderId="10" xfId="616" applyNumberFormat="1" applyFont="1" applyFill="1" applyBorder="1" applyAlignment="1">
      <alignment horizontal="center" vertical="center"/>
      <protection/>
    </xf>
    <xf numFmtId="0" fontId="31" fillId="24" borderId="0" xfId="701" applyFont="1" applyFill="1" applyAlignment="1">
      <alignment vertical="center" wrapText="1"/>
      <protection/>
    </xf>
    <xf numFmtId="0" fontId="26" fillId="24" borderId="0" xfId="0" applyFont="1" applyFill="1" applyAlignment="1">
      <alignment horizontal="center" vertical="center"/>
    </xf>
    <xf numFmtId="0" fontId="5" fillId="24" borderId="11" xfId="562" applyFont="1" applyFill="1" applyBorder="1" applyAlignment="1">
      <alignment horizontal="center" vertical="center" wrapText="1"/>
      <protection/>
    </xf>
    <xf numFmtId="0" fontId="1" fillId="24" borderId="11" xfId="562" applyFont="1" applyFill="1" applyBorder="1" applyAlignment="1">
      <alignment vertical="center" wrapText="1"/>
      <protection/>
    </xf>
    <xf numFmtId="0" fontId="5" fillId="24" borderId="11" xfId="562" applyFont="1" applyFill="1" applyBorder="1" applyAlignment="1">
      <alignment vertical="center" wrapText="1"/>
      <protection/>
    </xf>
    <xf numFmtId="0" fontId="57" fillId="24" borderId="0" xfId="562" applyFont="1" applyFill="1" applyBorder="1" applyAlignment="1">
      <alignment vertical="center" wrapText="1"/>
      <protection/>
    </xf>
    <xf numFmtId="179" fontId="26" fillId="24" borderId="0" xfId="0" applyNumberFormat="1" applyFont="1" applyFill="1" applyBorder="1" applyAlignment="1">
      <alignment horizontal="center" vertical="center" wrapText="1"/>
    </xf>
    <xf numFmtId="0" fontId="28" fillId="24" borderId="0" xfId="606" applyFont="1" applyFill="1" applyAlignment="1">
      <alignment vertical="center" wrapText="1"/>
      <protection/>
    </xf>
    <xf numFmtId="0" fontId="28" fillId="24" borderId="0" xfId="606" applyFont="1" applyFill="1" applyAlignment="1">
      <alignment vertical="center" wrapText="1"/>
      <protection/>
    </xf>
    <xf numFmtId="175" fontId="28" fillId="24" borderId="0" xfId="606" applyNumberFormat="1" applyFont="1" applyFill="1" applyAlignment="1">
      <alignment vertical="center" wrapText="1"/>
      <protection/>
    </xf>
    <xf numFmtId="179" fontId="26" fillId="24" borderId="0" xfId="606" applyNumberFormat="1" applyFont="1" applyFill="1" applyBorder="1" applyAlignment="1">
      <alignment horizontal="center" vertical="center" wrapText="1"/>
      <protection/>
    </xf>
    <xf numFmtId="0" fontId="28" fillId="24" borderId="0" xfId="606" applyFont="1" applyFill="1" applyBorder="1" applyAlignment="1">
      <alignment vertical="center" wrapText="1"/>
      <protection/>
    </xf>
    <xf numFmtId="0" fontId="58" fillId="24" borderId="16" xfId="606" applyFont="1" applyFill="1" applyBorder="1" applyAlignment="1">
      <alignment horizontal="center" vertical="center" wrapText="1"/>
      <protection/>
    </xf>
    <xf numFmtId="175" fontId="58" fillId="24" borderId="16" xfId="606" applyNumberFormat="1" applyFont="1" applyFill="1" applyBorder="1" applyAlignment="1">
      <alignment horizontal="center" vertical="center" wrapText="1"/>
      <protection/>
    </xf>
    <xf numFmtId="49" fontId="27" fillId="24" borderId="11" xfId="562" applyNumberFormat="1" applyFont="1" applyFill="1" applyBorder="1" applyAlignment="1">
      <alignment horizontal="center" vertical="center" wrapText="1"/>
      <protection/>
    </xf>
    <xf numFmtId="0" fontId="28" fillId="24" borderId="0" xfId="562" applyFont="1" applyFill="1" applyAlignment="1">
      <alignment vertical="center" wrapText="1"/>
      <protection/>
    </xf>
    <xf numFmtId="0" fontId="28" fillId="24" borderId="0" xfId="562" applyFont="1" applyFill="1" applyAlignment="1">
      <alignment vertical="center" wrapText="1"/>
      <protection/>
    </xf>
    <xf numFmtId="0" fontId="57" fillId="24" borderId="16" xfId="0" applyFont="1" applyFill="1" applyBorder="1" applyAlignment="1">
      <alignment horizontal="center" vertical="center" wrapText="1"/>
    </xf>
    <xf numFmtId="175" fontId="58" fillId="24" borderId="16" xfId="0" applyNumberFormat="1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vertical="center" wrapText="1"/>
    </xf>
    <xf numFmtId="175" fontId="58" fillId="24" borderId="0" xfId="606" applyNumberFormat="1" applyFont="1" applyFill="1" applyBorder="1" applyAlignment="1">
      <alignment horizontal="center" vertical="center" wrapText="1"/>
      <protection/>
    </xf>
    <xf numFmtId="0" fontId="1" fillId="24" borderId="22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175" fontId="5" fillId="24" borderId="0" xfId="0" applyNumberFormat="1" applyFont="1" applyFill="1" applyBorder="1" applyAlignment="1">
      <alignment horizontal="center" vertical="center" wrapText="1"/>
    </xf>
    <xf numFmtId="2" fontId="5" fillId="24" borderId="0" xfId="0" applyNumberFormat="1" applyFont="1" applyFill="1" applyBorder="1" applyAlignment="1">
      <alignment horizontal="center" vertical="center" wrapText="1"/>
    </xf>
    <xf numFmtId="0" fontId="1" fillId="24" borderId="24" xfId="565" applyFont="1" applyFill="1" applyBorder="1" applyAlignment="1">
      <alignment horizontal="center" vertical="center" wrapText="1"/>
      <protection/>
    </xf>
    <xf numFmtId="0" fontId="27" fillId="24" borderId="18" xfId="565" applyFont="1" applyFill="1" applyBorder="1" applyAlignment="1">
      <alignment horizontal="center" vertical="center" wrapText="1"/>
      <protection/>
    </xf>
    <xf numFmtId="0" fontId="5" fillId="24" borderId="18" xfId="565" applyFont="1" applyFill="1" applyBorder="1" applyAlignment="1">
      <alignment horizontal="center" vertical="center" wrapText="1"/>
      <protection/>
    </xf>
    <xf numFmtId="4" fontId="5" fillId="24" borderId="18" xfId="565" applyNumberFormat="1" applyFont="1" applyFill="1" applyBorder="1" applyAlignment="1">
      <alignment horizontal="center" vertical="center" wrapText="1"/>
      <protection/>
    </xf>
    <xf numFmtId="4" fontId="27" fillId="24" borderId="25" xfId="565" applyNumberFormat="1" applyFont="1" applyFill="1" applyBorder="1" applyAlignment="1">
      <alignment horizontal="center" vertical="center" wrapText="1"/>
      <protection/>
    </xf>
    <xf numFmtId="0" fontId="58" fillId="24" borderId="0" xfId="565" applyFont="1" applyFill="1" applyBorder="1" applyAlignment="1">
      <alignment horizontal="center" vertical="center" wrapText="1"/>
      <protection/>
    </xf>
    <xf numFmtId="0" fontId="37" fillId="24" borderId="10" xfId="0" applyFont="1" applyFill="1" applyBorder="1" applyAlignment="1">
      <alignment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vertical="center" wrapText="1"/>
    </xf>
    <xf numFmtId="0" fontId="45" fillId="24" borderId="10" xfId="0" applyFont="1" applyFill="1" applyBorder="1" applyAlignment="1">
      <alignment vertical="center" wrapText="1"/>
    </xf>
    <xf numFmtId="175" fontId="5" fillId="24" borderId="16" xfId="0" applyNumberFormat="1" applyFont="1" applyFill="1" applyBorder="1" applyAlignment="1">
      <alignment horizontal="center" vertical="center" wrapText="1"/>
    </xf>
    <xf numFmtId="4" fontId="27" fillId="24" borderId="18" xfId="565" applyNumberFormat="1" applyFont="1" applyFill="1" applyBorder="1" applyAlignment="1">
      <alignment horizontal="center" vertical="center" wrapText="1"/>
      <protection/>
    </xf>
    <xf numFmtId="2" fontId="28" fillId="24" borderId="0" xfId="0" applyNumberFormat="1" applyFont="1" applyFill="1" applyBorder="1" applyAlignment="1">
      <alignment horizontal="center" vertical="center" wrapText="1"/>
    </xf>
    <xf numFmtId="175" fontId="28" fillId="24" borderId="0" xfId="0" applyNumberFormat="1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vertical="center" wrapText="1"/>
    </xf>
    <xf numFmtId="0" fontId="37" fillId="24" borderId="10" xfId="0" applyFont="1" applyFill="1" applyBorder="1" applyAlignment="1">
      <alignment horizontal="left" vertical="center" wrapText="1"/>
    </xf>
    <xf numFmtId="175" fontId="27" fillId="24" borderId="16" xfId="562" applyNumberFormat="1" applyFont="1" applyFill="1" applyBorder="1" applyAlignment="1">
      <alignment horizontal="center" vertical="center" wrapText="1"/>
      <protection/>
    </xf>
    <xf numFmtId="175" fontId="27" fillId="24" borderId="0" xfId="562" applyNumberFormat="1" applyFont="1" applyFill="1" applyBorder="1" applyAlignment="1">
      <alignment horizontal="center" vertical="center" wrapText="1"/>
      <protection/>
    </xf>
    <xf numFmtId="175" fontId="26" fillId="24" borderId="16" xfId="562" applyNumberFormat="1" applyFont="1" applyFill="1" applyBorder="1" applyAlignment="1">
      <alignment horizontal="center" vertical="center" wrapText="1"/>
      <protection/>
    </xf>
    <xf numFmtId="175" fontId="26" fillId="24" borderId="0" xfId="562" applyNumberFormat="1" applyFont="1" applyFill="1" applyBorder="1" applyAlignment="1">
      <alignment horizontal="center" vertical="center" wrapText="1"/>
      <protection/>
    </xf>
    <xf numFmtId="0" fontId="1" fillId="24" borderId="10" xfId="702" applyFont="1" applyFill="1" applyBorder="1" applyAlignment="1">
      <alignment horizontal="center" vertical="center" wrapText="1"/>
      <protection/>
    </xf>
    <xf numFmtId="0" fontId="26" fillId="24" borderId="10" xfId="702" applyFont="1" applyFill="1" applyBorder="1" applyAlignment="1">
      <alignment horizontal="center" vertical="center" wrapText="1"/>
      <protection/>
    </xf>
    <xf numFmtId="2" fontId="51" fillId="24" borderId="10" xfId="593" applyNumberFormat="1" applyFont="1" applyFill="1" applyBorder="1" applyAlignment="1">
      <alignment horizontal="center" vertical="center" wrapText="1"/>
      <protection/>
    </xf>
    <xf numFmtId="2" fontId="26" fillId="24" borderId="10" xfId="817" applyNumberFormat="1" applyFont="1" applyFill="1" applyBorder="1" applyAlignment="1">
      <alignment horizontal="center" vertical="center" wrapText="1"/>
      <protection/>
    </xf>
    <xf numFmtId="0" fontId="26" fillId="24" borderId="10" xfId="817" applyFont="1" applyFill="1" applyBorder="1" applyAlignment="1">
      <alignment horizontal="center" vertical="center" wrapText="1"/>
      <protection/>
    </xf>
    <xf numFmtId="175" fontId="26" fillId="24" borderId="10" xfId="817" applyNumberFormat="1" applyFont="1" applyFill="1" applyBorder="1" applyAlignment="1">
      <alignment horizontal="center" vertical="center" wrapText="1"/>
      <protection/>
    </xf>
    <xf numFmtId="2" fontId="51" fillId="24" borderId="10" xfId="0" applyNumberFormat="1" applyFont="1" applyFill="1" applyBorder="1" applyAlignment="1">
      <alignment horizontal="center" vertical="center" wrapText="1"/>
    </xf>
    <xf numFmtId="0" fontId="26" fillId="24" borderId="0" xfId="702" applyFont="1" applyFill="1" applyBorder="1" applyAlignment="1">
      <alignment horizontal="center" vertical="center" wrapText="1"/>
      <protection/>
    </xf>
    <xf numFmtId="0" fontId="1" fillId="24" borderId="10" xfId="702" applyFont="1" applyFill="1" applyBorder="1" applyAlignment="1">
      <alignment horizontal="center" vertical="center"/>
      <protection/>
    </xf>
    <xf numFmtId="0" fontId="26" fillId="24" borderId="10" xfId="703" applyFont="1" applyFill="1" applyBorder="1" applyAlignment="1">
      <alignment vertical="center"/>
      <protection/>
    </xf>
    <xf numFmtId="0" fontId="26" fillId="24" borderId="10" xfId="702" applyFont="1" applyFill="1" applyBorder="1" applyAlignment="1">
      <alignment horizontal="center" vertical="center"/>
      <protection/>
    </xf>
    <xf numFmtId="0" fontId="26" fillId="24" borderId="0" xfId="702" applyFont="1" applyFill="1" applyBorder="1" applyAlignment="1">
      <alignment horizontal="center" vertical="center"/>
      <protection/>
    </xf>
    <xf numFmtId="2" fontId="26" fillId="24" borderId="10" xfId="576" applyNumberFormat="1" applyFont="1" applyFill="1" applyBorder="1" applyAlignment="1">
      <alignment horizontal="center" vertical="center"/>
      <protection/>
    </xf>
    <xf numFmtId="0" fontId="26" fillId="24" borderId="0" xfId="702" applyFont="1" applyFill="1" applyAlignment="1">
      <alignment horizontal="center" vertical="center"/>
      <protection/>
    </xf>
    <xf numFmtId="0" fontId="1" fillId="24" borderId="10" xfId="579" applyFont="1" applyFill="1" applyBorder="1" applyAlignment="1">
      <alignment horizontal="center" vertical="center"/>
      <protection/>
    </xf>
    <xf numFmtId="0" fontId="1" fillId="24" borderId="10" xfId="579" applyFont="1" applyFill="1" applyBorder="1" applyAlignment="1">
      <alignment horizontal="center" vertical="center" wrapText="1"/>
      <protection/>
    </xf>
    <xf numFmtId="0" fontId="26" fillId="24" borderId="10" xfId="579" applyFont="1" applyFill="1" applyBorder="1" applyAlignment="1">
      <alignment horizontal="center" vertical="center" wrapText="1"/>
      <protection/>
    </xf>
    <xf numFmtId="0" fontId="26" fillId="24" borderId="0" xfId="579" applyFont="1" applyFill="1" applyAlignment="1">
      <alignment vertical="center"/>
      <protection/>
    </xf>
    <xf numFmtId="0" fontId="1" fillId="24" borderId="10" xfId="576" applyFont="1" applyFill="1" applyBorder="1" applyAlignment="1">
      <alignment horizontal="center" vertical="center"/>
      <protection/>
    </xf>
    <xf numFmtId="49" fontId="1" fillId="24" borderId="10" xfId="576" applyNumberFormat="1" applyFont="1" applyFill="1" applyBorder="1" applyAlignment="1">
      <alignment horizontal="center" vertical="center" wrapText="1"/>
      <protection/>
    </xf>
    <xf numFmtId="0" fontId="1" fillId="24" borderId="10" xfId="576" applyFont="1" applyFill="1" applyBorder="1" applyAlignment="1">
      <alignment horizontal="center" vertical="center" wrapText="1"/>
      <protection/>
    </xf>
    <xf numFmtId="2" fontId="1" fillId="24" borderId="10" xfId="576" applyNumberFormat="1" applyFont="1" applyFill="1" applyBorder="1" applyAlignment="1">
      <alignment horizontal="center" vertical="center" wrapText="1"/>
      <protection/>
    </xf>
    <xf numFmtId="175" fontId="51" fillId="24" borderId="10" xfId="576" applyNumberFormat="1" applyFont="1" applyFill="1" applyBorder="1" applyAlignment="1">
      <alignment horizontal="center" vertical="center" wrapText="1"/>
      <protection/>
    </xf>
    <xf numFmtId="1" fontId="52" fillId="24" borderId="10" xfId="576" applyNumberFormat="1" applyFont="1" applyFill="1" applyBorder="1" applyAlignment="1">
      <alignment horizontal="left" vertical="center" wrapText="1"/>
      <protection/>
    </xf>
    <xf numFmtId="0" fontId="26" fillId="24" borderId="10" xfId="576" applyNumberFormat="1" applyFont="1" applyFill="1" applyBorder="1" applyAlignment="1">
      <alignment horizontal="center" vertical="center" wrapText="1"/>
      <protection/>
    </xf>
    <xf numFmtId="1" fontId="26" fillId="24" borderId="10" xfId="576" applyNumberFormat="1" applyFont="1" applyFill="1" applyBorder="1" applyAlignment="1">
      <alignment horizontal="center" vertical="center" wrapText="1"/>
      <protection/>
    </xf>
    <xf numFmtId="0" fontId="26" fillId="24" borderId="0" xfId="576" applyFont="1" applyFill="1" applyBorder="1" applyAlignment="1">
      <alignment vertical="center"/>
      <protection/>
    </xf>
    <xf numFmtId="0" fontId="26" fillId="24" borderId="0" xfId="576" applyFont="1" applyFill="1" applyAlignment="1">
      <alignment vertical="center"/>
      <protection/>
    </xf>
    <xf numFmtId="0" fontId="1" fillId="24" borderId="10" xfId="576" applyFont="1" applyFill="1" applyBorder="1" applyAlignment="1" quotePrefix="1">
      <alignment horizontal="center" vertical="center" wrapText="1"/>
      <protection/>
    </xf>
    <xf numFmtId="0" fontId="27" fillId="24" borderId="10" xfId="576" applyFont="1" applyFill="1" applyBorder="1" applyAlignment="1">
      <alignment horizontal="left" vertical="center" wrapText="1"/>
      <protection/>
    </xf>
    <xf numFmtId="0" fontId="26" fillId="24" borderId="10" xfId="702" applyFont="1" applyFill="1" applyBorder="1" applyAlignment="1">
      <alignment horizontal="left" vertical="center"/>
      <protection/>
    </xf>
    <xf numFmtId="0" fontId="26" fillId="24" borderId="10" xfId="576" applyFont="1" applyFill="1" applyBorder="1" applyAlignment="1">
      <alignment horizontal="left" vertical="center" wrapText="1"/>
      <protection/>
    </xf>
    <xf numFmtId="0" fontId="26" fillId="24" borderId="10" xfId="576" applyFont="1" applyFill="1" applyBorder="1" applyAlignment="1">
      <alignment vertical="center" wrapText="1"/>
      <protection/>
    </xf>
    <xf numFmtId="0" fontId="26" fillId="24" borderId="10" xfId="579" applyFont="1" applyFill="1" applyBorder="1" applyAlignment="1">
      <alignment horizontal="center" vertical="center"/>
      <protection/>
    </xf>
    <xf numFmtId="49" fontId="1" fillId="24" borderId="10" xfId="579" applyNumberFormat="1" applyFont="1" applyFill="1" applyBorder="1" applyAlignment="1">
      <alignment horizontal="center" vertical="center" wrapText="1"/>
      <protection/>
    </xf>
    <xf numFmtId="0" fontId="27" fillId="24" borderId="10" xfId="579" applyFont="1" applyFill="1" applyBorder="1" applyAlignment="1">
      <alignment vertical="center" wrapText="1"/>
      <protection/>
    </xf>
    <xf numFmtId="49" fontId="26" fillId="24" borderId="10" xfId="579" applyNumberFormat="1" applyFont="1" applyFill="1" applyBorder="1" applyAlignment="1">
      <alignment horizontal="center" vertical="center" wrapText="1"/>
      <protection/>
    </xf>
    <xf numFmtId="2" fontId="26" fillId="24" borderId="10" xfId="579" applyNumberFormat="1" applyFont="1" applyFill="1" applyBorder="1" applyAlignment="1">
      <alignment horizontal="center" vertical="center"/>
      <protection/>
    </xf>
    <xf numFmtId="0" fontId="27" fillId="24" borderId="10" xfId="702" applyFont="1" applyFill="1" applyBorder="1" applyAlignment="1">
      <alignment vertical="center" wrapText="1"/>
      <protection/>
    </xf>
    <xf numFmtId="0" fontId="26" fillId="24" borderId="10" xfId="702" applyFont="1" applyFill="1" applyBorder="1" applyAlignment="1">
      <alignment vertical="center" wrapText="1"/>
      <protection/>
    </xf>
    <xf numFmtId="0" fontId="27" fillId="24" borderId="10" xfId="702" applyFont="1" applyFill="1" applyBorder="1" applyAlignment="1">
      <alignment vertical="center"/>
      <protection/>
    </xf>
    <xf numFmtId="0" fontId="26" fillId="24" borderId="10" xfId="702" applyFont="1" applyFill="1" applyBorder="1" applyAlignment="1">
      <alignment vertical="center"/>
      <protection/>
    </xf>
    <xf numFmtId="4" fontId="5" fillId="24" borderId="17" xfId="0" applyNumberFormat="1" applyFont="1" applyFill="1" applyBorder="1" applyAlignment="1">
      <alignment horizontal="center" vertical="center" wrapText="1"/>
    </xf>
    <xf numFmtId="0" fontId="25" fillId="24" borderId="18" xfId="565" applyFont="1" applyFill="1" applyBorder="1" applyAlignment="1">
      <alignment horizontal="center" vertical="center" wrapText="1"/>
      <protection/>
    </xf>
    <xf numFmtId="49" fontId="37" fillId="24" borderId="10" xfId="0" applyNumberFormat="1" applyFont="1" applyFill="1" applyBorder="1" applyAlignment="1">
      <alignment horizontal="left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24" fillId="24" borderId="0" xfId="606" applyFont="1" applyFill="1" applyAlignment="1">
      <alignment horizontal="center" vertical="center"/>
      <protection/>
    </xf>
    <xf numFmtId="0" fontId="24" fillId="24" borderId="0" xfId="606" applyFont="1" applyFill="1" applyBorder="1" applyAlignment="1">
      <alignment horizontal="center" vertical="center"/>
      <protection/>
    </xf>
    <xf numFmtId="0" fontId="2" fillId="24" borderId="0" xfId="606" applyFont="1" applyFill="1" applyAlignment="1">
      <alignment horizontal="center" vertical="center"/>
      <protection/>
    </xf>
    <xf numFmtId="0" fontId="38" fillId="24" borderId="12" xfId="606" applyFont="1" applyFill="1" applyBorder="1" applyAlignment="1">
      <alignment horizontal="center" vertical="center" wrapText="1"/>
      <protection/>
    </xf>
    <xf numFmtId="2" fontId="1" fillId="24" borderId="26" xfId="606" applyNumberFormat="1" applyFont="1" applyFill="1" applyBorder="1" applyAlignment="1">
      <alignment horizontal="center" vertical="center" wrapText="1"/>
      <protection/>
    </xf>
    <xf numFmtId="0" fontId="35" fillId="24" borderId="0" xfId="606" applyFont="1" applyFill="1" applyAlignment="1">
      <alignment horizontal="center" vertical="center"/>
      <protection/>
    </xf>
    <xf numFmtId="0" fontId="0" fillId="24" borderId="26" xfId="606" applyFont="1" applyFill="1" applyBorder="1" applyAlignment="1">
      <alignment horizontal="center" vertical="center"/>
      <protection/>
    </xf>
    <xf numFmtId="0" fontId="1" fillId="24" borderId="26" xfId="606" applyFont="1" applyFill="1" applyBorder="1" applyAlignment="1">
      <alignment horizontal="center" vertical="center"/>
      <protection/>
    </xf>
    <xf numFmtId="0" fontId="0" fillId="24" borderId="0" xfId="606" applyFont="1" applyFill="1" applyAlignment="1">
      <alignment horizontal="center" vertical="center"/>
      <protection/>
    </xf>
    <xf numFmtId="0" fontId="5" fillId="24" borderId="10" xfId="562" applyFont="1" applyFill="1" applyBorder="1" applyAlignment="1">
      <alignment horizontal="center" vertical="center" wrapText="1"/>
      <protection/>
    </xf>
    <xf numFmtId="0" fontId="50" fillId="24" borderId="10" xfId="0" applyFont="1" applyFill="1" applyBorder="1" applyAlignment="1">
      <alignment vertical="center" wrapText="1"/>
    </xf>
    <xf numFmtId="0" fontId="38" fillId="24" borderId="0" xfId="606" applyFont="1" applyFill="1" applyBorder="1" applyAlignment="1">
      <alignment horizontal="center" vertical="center" wrapText="1"/>
      <protection/>
    </xf>
    <xf numFmtId="0" fontId="38" fillId="24" borderId="22" xfId="606" applyFont="1" applyFill="1" applyBorder="1" applyAlignment="1">
      <alignment horizontal="center" vertical="center" wrapText="1"/>
      <protection/>
    </xf>
    <xf numFmtId="0" fontId="1" fillId="24" borderId="34" xfId="606" applyFont="1" applyFill="1" applyBorder="1" applyAlignment="1">
      <alignment horizontal="center" vertical="center" wrapText="1"/>
      <protection/>
    </xf>
    <xf numFmtId="0" fontId="5" fillId="24" borderId="17" xfId="606" applyFont="1" applyFill="1" applyBorder="1" applyAlignment="1">
      <alignment horizontal="center" vertical="center" wrapText="1"/>
      <protection/>
    </xf>
    <xf numFmtId="0" fontId="27" fillId="24" borderId="17" xfId="606" applyFont="1" applyFill="1" applyBorder="1" applyAlignment="1">
      <alignment horizontal="center" vertical="center" wrapText="1"/>
      <protection/>
    </xf>
    <xf numFmtId="4" fontId="5" fillId="24" borderId="17" xfId="606" applyNumberFormat="1" applyFont="1" applyFill="1" applyBorder="1" applyAlignment="1">
      <alignment horizontal="center" vertical="center" wrapText="1"/>
      <protection/>
    </xf>
    <xf numFmtId="175" fontId="5" fillId="24" borderId="16" xfId="606" applyNumberFormat="1" applyFont="1" applyFill="1" applyBorder="1" applyAlignment="1">
      <alignment horizontal="center" vertical="center" wrapText="1"/>
      <protection/>
    </xf>
    <xf numFmtId="175" fontId="5" fillId="24" borderId="0" xfId="606" applyNumberFormat="1" applyFont="1" applyFill="1" applyBorder="1" applyAlignment="1">
      <alignment horizontal="center" vertical="center" wrapText="1"/>
      <protection/>
    </xf>
    <xf numFmtId="2" fontId="5" fillId="24" borderId="0" xfId="606" applyNumberFormat="1" applyFont="1" applyFill="1" applyBorder="1" applyAlignment="1">
      <alignment horizontal="center" vertical="center" wrapText="1"/>
      <protection/>
    </xf>
    <xf numFmtId="0" fontId="49" fillId="24" borderId="0" xfId="606" applyFont="1" applyFill="1" applyBorder="1" applyAlignment="1">
      <alignment horizontal="center" vertical="center" wrapText="1"/>
      <protection/>
    </xf>
    <xf numFmtId="0" fontId="0" fillId="24" borderId="0" xfId="606" applyFont="1" applyFill="1" applyBorder="1" applyAlignment="1">
      <alignment horizontal="center" vertical="center" wrapText="1"/>
      <protection/>
    </xf>
    <xf numFmtId="0" fontId="0" fillId="24" borderId="0" xfId="606" applyFont="1" applyFill="1" applyBorder="1" applyAlignment="1">
      <alignment vertical="center" wrapText="1"/>
      <protection/>
    </xf>
    <xf numFmtId="0" fontId="0" fillId="24" borderId="0" xfId="606" applyFont="1" applyFill="1" applyAlignment="1">
      <alignment vertical="center" wrapText="1"/>
      <protection/>
    </xf>
    <xf numFmtId="0" fontId="0" fillId="24" borderId="0" xfId="606" applyFont="1" applyFill="1" applyAlignment="1">
      <alignment horizontal="center" vertical="center" wrapText="1"/>
      <protection/>
    </xf>
    <xf numFmtId="0" fontId="26" fillId="24" borderId="0" xfId="701" applyFont="1" applyFill="1" applyBorder="1" applyAlignment="1">
      <alignment vertical="center"/>
      <protection/>
    </xf>
    <xf numFmtId="0" fontId="27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left" vertical="center" wrapText="1"/>
    </xf>
    <xf numFmtId="4" fontId="5" fillId="24" borderId="25" xfId="565" applyNumberFormat="1" applyFont="1" applyFill="1" applyBorder="1" applyAlignment="1">
      <alignment horizontal="center" vertical="center" wrapText="1"/>
      <protection/>
    </xf>
    <xf numFmtId="49" fontId="1" fillId="24" borderId="0" xfId="562" applyNumberFormat="1" applyFont="1" applyFill="1" applyBorder="1" applyAlignment="1">
      <alignment horizontal="center" vertical="center" wrapText="1"/>
      <protection/>
    </xf>
    <xf numFmtId="0" fontId="23" fillId="24" borderId="0" xfId="562" applyFont="1" applyFill="1" applyBorder="1" applyAlignment="1">
      <alignment horizontal="center" vertical="center" wrapText="1"/>
      <protection/>
    </xf>
    <xf numFmtId="2" fontId="26" fillId="24" borderId="0" xfId="562" applyNumberFormat="1" applyFont="1" applyFill="1" applyBorder="1" applyAlignment="1">
      <alignment horizontal="center" vertical="center" wrapText="1"/>
      <protection/>
    </xf>
    <xf numFmtId="0" fontId="2" fillId="24" borderId="0" xfId="562" applyFont="1" applyFill="1" applyAlignment="1">
      <alignment horizontal="center" vertical="center"/>
      <protection/>
    </xf>
    <xf numFmtId="49" fontId="1" fillId="24" borderId="12" xfId="562" applyNumberFormat="1" applyFont="1" applyFill="1" applyBorder="1" applyAlignment="1">
      <alignment horizontal="center" vertical="center" wrapText="1"/>
      <protection/>
    </xf>
    <xf numFmtId="0" fontId="23" fillId="24" borderId="12" xfId="562" applyFont="1" applyFill="1" applyBorder="1" applyAlignment="1">
      <alignment horizontal="center" vertical="center" wrapText="1"/>
      <protection/>
    </xf>
    <xf numFmtId="2" fontId="26" fillId="24" borderId="12" xfId="562" applyNumberFormat="1" applyFont="1" applyFill="1" applyBorder="1" applyAlignment="1">
      <alignment horizontal="center" vertical="center" wrapText="1"/>
      <protection/>
    </xf>
    <xf numFmtId="2" fontId="1" fillId="24" borderId="26" xfId="562" applyNumberFormat="1" applyFont="1" applyFill="1" applyBorder="1" applyAlignment="1">
      <alignment horizontal="center" vertical="center" wrapText="1"/>
      <protection/>
    </xf>
    <xf numFmtId="0" fontId="35" fillId="24" borderId="0" xfId="562" applyFont="1" applyFill="1" applyAlignment="1">
      <alignment horizontal="center" vertical="center"/>
      <protection/>
    </xf>
    <xf numFmtId="0" fontId="0" fillId="24" borderId="10" xfId="688" applyFont="1" applyFill="1" applyBorder="1" applyAlignment="1">
      <alignment horizontal="center" vertical="center"/>
      <protection/>
    </xf>
    <xf numFmtId="0" fontId="28" fillId="24" borderId="16" xfId="688" applyFont="1" applyFill="1" applyBorder="1" applyAlignment="1">
      <alignment vertical="center"/>
      <protection/>
    </xf>
    <xf numFmtId="0" fontId="28" fillId="24" borderId="0" xfId="688" applyFont="1" applyFill="1" applyAlignment="1">
      <alignment vertical="center"/>
      <protection/>
    </xf>
    <xf numFmtId="0" fontId="42" fillId="24" borderId="10" xfId="562" applyFont="1" applyFill="1" applyBorder="1" applyAlignment="1">
      <alignment horizontal="left" vertical="center" wrapText="1"/>
      <protection/>
    </xf>
    <xf numFmtId="0" fontId="41" fillId="24" borderId="0" xfId="688" applyFont="1" applyFill="1" applyAlignment="1">
      <alignment vertical="center"/>
      <protection/>
    </xf>
    <xf numFmtId="0" fontId="5" fillId="24" borderId="0" xfId="562" applyFont="1" applyFill="1" applyBorder="1" applyAlignment="1">
      <alignment horizontal="center" vertical="center" wrapText="1"/>
      <protection/>
    </xf>
    <xf numFmtId="0" fontId="1" fillId="24" borderId="0" xfId="562" applyFont="1" applyFill="1" applyAlignment="1">
      <alignment horizontal="center" vertical="center" wrapText="1"/>
      <protection/>
    </xf>
    <xf numFmtId="0" fontId="1" fillId="24" borderId="15" xfId="562" applyFont="1" applyFill="1" applyBorder="1" applyAlignment="1">
      <alignment horizontal="center" vertical="center" wrapText="1"/>
      <protection/>
    </xf>
    <xf numFmtId="0" fontId="5" fillId="24" borderId="0" xfId="562" applyFont="1" applyFill="1" applyAlignment="1">
      <alignment horizontal="center" vertical="center" wrapText="1"/>
      <protection/>
    </xf>
    <xf numFmtId="0" fontId="0" fillId="24" borderId="0" xfId="562" applyFont="1" applyFill="1" applyBorder="1" applyAlignment="1">
      <alignment horizontal="center" vertical="center" wrapText="1"/>
      <protection/>
    </xf>
    <xf numFmtId="0" fontId="0" fillId="24" borderId="0" xfId="562" applyFont="1" applyFill="1" applyBorder="1" applyAlignment="1">
      <alignment vertical="center" wrapText="1"/>
      <protection/>
    </xf>
    <xf numFmtId="2" fontId="26" fillId="24" borderId="0" xfId="562" applyNumberFormat="1" applyFont="1" applyFill="1" applyBorder="1" applyAlignment="1">
      <alignment vertical="center" wrapText="1"/>
      <protection/>
    </xf>
    <xf numFmtId="4" fontId="0" fillId="24" borderId="0" xfId="562" applyNumberFormat="1" applyFont="1" applyFill="1" applyAlignment="1">
      <alignment vertical="center" wrapText="1"/>
      <protection/>
    </xf>
    <xf numFmtId="0" fontId="0" fillId="24" borderId="0" xfId="562" applyFont="1" applyFill="1" applyAlignment="1">
      <alignment vertical="center" wrapText="1"/>
      <protection/>
    </xf>
    <xf numFmtId="49" fontId="1" fillId="24" borderId="0" xfId="562" applyNumberFormat="1" applyFont="1" applyFill="1" applyAlignment="1">
      <alignment vertical="center"/>
      <protection/>
    </xf>
    <xf numFmtId="2" fontId="26" fillId="24" borderId="0" xfId="562" applyNumberFormat="1" applyFont="1" applyFill="1" applyAlignment="1">
      <alignment horizontal="center" vertical="center" wrapText="1"/>
      <protection/>
    </xf>
    <xf numFmtId="0" fontId="1" fillId="24" borderId="10" xfId="619" applyFont="1" applyFill="1" applyBorder="1" applyAlignment="1">
      <alignment vertical="center" wrapText="1"/>
      <protection/>
    </xf>
    <xf numFmtId="0" fontId="55" fillId="24" borderId="10" xfId="619" applyFont="1" applyFill="1" applyBorder="1" applyAlignment="1">
      <alignment horizontal="center" vertical="center" wrapText="1"/>
      <protection/>
    </xf>
    <xf numFmtId="49" fontId="1" fillId="24" borderId="17" xfId="0" applyNumberFormat="1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49" fontId="1" fillId="24" borderId="18" xfId="0" applyNumberFormat="1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5" fillId="24" borderId="10" xfId="619" applyFont="1" applyFill="1" applyBorder="1" applyAlignment="1">
      <alignment vertical="center" wrapText="1"/>
      <protection/>
    </xf>
    <xf numFmtId="0" fontId="27" fillId="24" borderId="10" xfId="619" applyFont="1" applyFill="1" applyBorder="1" applyAlignment="1">
      <alignment vertical="center" wrapText="1"/>
      <protection/>
    </xf>
    <xf numFmtId="0" fontId="41" fillId="24" borderId="0" xfId="686" applyFont="1" applyFill="1" applyBorder="1" applyAlignment="1">
      <alignment vertical="center"/>
      <protection/>
    </xf>
    <xf numFmtId="0" fontId="41" fillId="24" borderId="0" xfId="688" applyFont="1" applyFill="1" applyBorder="1" applyAlignment="1">
      <alignment vertical="center"/>
      <protection/>
    </xf>
    <xf numFmtId="0" fontId="68" fillId="24" borderId="0" xfId="686" applyFont="1" applyFill="1" applyBorder="1" applyAlignment="1">
      <alignment vertical="center"/>
      <protection/>
    </xf>
    <xf numFmtId="0" fontId="68" fillId="24" borderId="0" xfId="688" applyFont="1" applyFill="1" applyBorder="1" applyAlignment="1">
      <alignment vertical="center"/>
      <protection/>
    </xf>
    <xf numFmtId="0" fontId="40" fillId="24" borderId="10" xfId="0" applyFont="1" applyFill="1" applyBorder="1" applyAlignment="1">
      <alignment vertical="center" wrapText="1"/>
    </xf>
    <xf numFmtId="0" fontId="41" fillId="24" borderId="0" xfId="686" applyFont="1" applyFill="1" applyAlignment="1">
      <alignment vertical="center"/>
      <protection/>
    </xf>
    <xf numFmtId="175" fontId="60" fillId="24" borderId="0" xfId="0" applyNumberFormat="1" applyFont="1" applyFill="1" applyBorder="1" applyAlignment="1">
      <alignment horizontal="center" vertical="center" wrapText="1"/>
    </xf>
    <xf numFmtId="0" fontId="60" fillId="24" borderId="0" xfId="565" applyFont="1" applyFill="1" applyBorder="1" applyAlignment="1">
      <alignment horizontal="center" vertical="center" wrapText="1"/>
      <protection/>
    </xf>
    <xf numFmtId="0" fontId="26" fillId="24" borderId="11" xfId="562" applyFont="1" applyFill="1" applyBorder="1" applyAlignment="1">
      <alignment horizontal="center" vertical="center" wrapText="1"/>
      <protection/>
    </xf>
    <xf numFmtId="0" fontId="26" fillId="24" borderId="11" xfId="606" applyFont="1" applyFill="1" applyBorder="1" applyAlignment="1">
      <alignment horizontal="center" vertical="center" wrapText="1"/>
      <protection/>
    </xf>
    <xf numFmtId="179" fontId="26" fillId="24" borderId="10" xfId="0" applyNumberFormat="1" applyFont="1" applyFill="1" applyBorder="1" applyAlignment="1">
      <alignment horizontal="center" vertical="center" wrapText="1"/>
    </xf>
    <xf numFmtId="176" fontId="26" fillId="24" borderId="10" xfId="0" applyNumberFormat="1" applyFont="1" applyFill="1" applyBorder="1" applyAlignment="1">
      <alignment horizontal="center" vertical="center" wrapText="1"/>
    </xf>
    <xf numFmtId="176" fontId="27" fillId="24" borderId="10" xfId="606" applyNumberFormat="1" applyFont="1" applyFill="1" applyBorder="1" applyAlignment="1">
      <alignment horizontal="center" vertical="center" wrapText="1"/>
      <protection/>
    </xf>
    <xf numFmtId="2" fontId="28" fillId="24" borderId="11" xfId="606" applyNumberFormat="1" applyFont="1" applyFill="1" applyBorder="1" applyAlignment="1">
      <alignment horizontal="center" vertical="center" wrapText="1"/>
      <protection/>
    </xf>
    <xf numFmtId="2" fontId="27" fillId="24" borderId="11" xfId="606" applyNumberFormat="1" applyFont="1" applyFill="1" applyBorder="1" applyAlignment="1">
      <alignment horizontal="center" vertical="center" wrapText="1"/>
      <protection/>
    </xf>
    <xf numFmtId="0" fontId="26" fillId="24" borderId="10" xfId="704" applyFont="1" applyFill="1" applyBorder="1" applyAlignment="1">
      <alignment horizontal="center" vertical="center"/>
      <protection/>
    </xf>
    <xf numFmtId="0" fontId="28" fillId="24" borderId="0" xfId="562" applyFont="1" applyFill="1" applyBorder="1" applyAlignment="1">
      <alignment vertical="center" wrapText="1"/>
      <protection/>
    </xf>
    <xf numFmtId="179" fontId="26" fillId="24" borderId="11" xfId="562" applyNumberFormat="1" applyFont="1" applyFill="1" applyBorder="1" applyAlignment="1">
      <alignment horizontal="center" vertical="center" wrapText="1"/>
      <protection/>
    </xf>
    <xf numFmtId="176" fontId="27" fillId="24" borderId="10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vertical="center" wrapText="1"/>
    </xf>
    <xf numFmtId="179" fontId="26" fillId="24" borderId="11" xfId="0" applyNumberFormat="1" applyFont="1" applyFill="1" applyBorder="1" applyAlignment="1">
      <alignment horizontal="center" vertical="center" wrapText="1"/>
    </xf>
    <xf numFmtId="0" fontId="27" fillId="24" borderId="11" xfId="606" applyFont="1" applyFill="1" applyBorder="1" applyAlignment="1">
      <alignment horizontal="center" vertical="center" wrapText="1"/>
      <protection/>
    </xf>
    <xf numFmtId="2" fontId="27" fillId="24" borderId="11" xfId="562" applyNumberFormat="1" applyFont="1" applyFill="1" applyBorder="1" applyAlignment="1">
      <alignment vertical="center" wrapText="1"/>
      <protection/>
    </xf>
    <xf numFmtId="49" fontId="69" fillId="24" borderId="10" xfId="0" applyNumberFormat="1" applyFont="1" applyFill="1" applyBorder="1" applyAlignment="1">
      <alignment horizontal="center" vertical="center" wrapText="1"/>
    </xf>
    <xf numFmtId="2" fontId="27" fillId="24" borderId="17" xfId="0" applyNumberFormat="1" applyFont="1" applyFill="1" applyBorder="1" applyAlignment="1">
      <alignment horizontal="center" vertical="center" wrapText="1"/>
    </xf>
    <xf numFmtId="2" fontId="27" fillId="24" borderId="18" xfId="565" applyNumberFormat="1" applyFont="1" applyFill="1" applyBorder="1" applyAlignment="1">
      <alignment horizontal="center" vertical="center" wrapText="1"/>
      <protection/>
    </xf>
    <xf numFmtId="2" fontId="27" fillId="24" borderId="25" xfId="565" applyNumberFormat="1" applyFont="1" applyFill="1" applyBorder="1" applyAlignment="1">
      <alignment horizontal="center" vertical="center" wrapText="1"/>
      <protection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9" fontId="27" fillId="24" borderId="10" xfId="0" applyNumberFormat="1" applyFont="1" applyFill="1" applyBorder="1" applyAlignment="1">
      <alignment horizontal="center" vertical="center" wrapText="1"/>
    </xf>
    <xf numFmtId="2" fontId="27" fillId="24" borderId="36" xfId="0" applyNumberFormat="1" applyFont="1" applyFill="1" applyBorder="1" applyAlignment="1">
      <alignment horizontal="center" vertical="center" wrapText="1"/>
    </xf>
    <xf numFmtId="0" fontId="27" fillId="24" borderId="24" xfId="565" applyFont="1" applyFill="1" applyBorder="1" applyAlignment="1">
      <alignment horizontal="center" vertical="center" wrapText="1"/>
      <protection/>
    </xf>
    <xf numFmtId="9" fontId="5" fillId="24" borderId="10" xfId="0" applyNumberFormat="1" applyFont="1" applyFill="1" applyBorder="1" applyAlignment="1">
      <alignment horizontal="center" vertical="center" wrapText="1"/>
    </xf>
    <xf numFmtId="4" fontId="5" fillId="24" borderId="36" xfId="0" applyNumberFormat="1" applyFont="1" applyFill="1" applyBorder="1" applyAlignment="1">
      <alignment horizontal="center" vertical="center" wrapText="1"/>
    </xf>
    <xf numFmtId="49" fontId="5" fillId="24" borderId="18" xfId="565" applyNumberFormat="1" applyFont="1" applyFill="1" applyBorder="1" applyAlignment="1">
      <alignment horizontal="center" vertical="center" wrapText="1"/>
      <protection/>
    </xf>
    <xf numFmtId="0" fontId="27" fillId="24" borderId="37" xfId="608" applyFont="1" applyFill="1" applyBorder="1" applyAlignment="1">
      <alignment horizontal="center" vertical="center" wrapText="1"/>
      <protection/>
    </xf>
    <xf numFmtId="0" fontId="27" fillId="24" borderId="26" xfId="608" applyFont="1" applyFill="1" applyBorder="1" applyAlignment="1">
      <alignment horizontal="center" vertical="center" wrapText="1"/>
      <protection/>
    </xf>
    <xf numFmtId="4" fontId="27" fillId="24" borderId="36" xfId="0" applyNumberFormat="1" applyFont="1" applyFill="1" applyBorder="1" applyAlignment="1">
      <alignment horizontal="center" vertical="center" wrapText="1"/>
    </xf>
    <xf numFmtId="0" fontId="5" fillId="24" borderId="15" xfId="565" applyFont="1" applyFill="1" applyBorder="1" applyAlignment="1">
      <alignment horizontal="center" vertical="center" wrapText="1"/>
      <protection/>
    </xf>
    <xf numFmtId="49" fontId="5" fillId="24" borderId="10" xfId="565" applyNumberFormat="1" applyFont="1" applyFill="1" applyBorder="1" applyAlignment="1">
      <alignment horizontal="center" vertical="center" wrapText="1"/>
      <protection/>
    </xf>
    <xf numFmtId="9" fontId="5" fillId="24" borderId="10" xfId="565" applyNumberFormat="1" applyFont="1" applyFill="1" applyBorder="1" applyAlignment="1">
      <alignment horizontal="center" vertical="center" wrapText="1"/>
      <protection/>
    </xf>
    <xf numFmtId="9" fontId="27" fillId="24" borderId="10" xfId="565" applyNumberFormat="1" applyFont="1" applyFill="1" applyBorder="1" applyAlignment="1">
      <alignment horizontal="center" vertical="center" wrapText="1"/>
      <protection/>
    </xf>
    <xf numFmtId="4" fontId="27" fillId="24" borderId="36" xfId="565" applyNumberFormat="1" applyFont="1" applyFill="1" applyBorder="1" applyAlignment="1">
      <alignment horizontal="center" vertical="center" wrapText="1"/>
      <protection/>
    </xf>
    <xf numFmtId="0" fontId="5" fillId="24" borderId="24" xfId="565" applyFont="1" applyFill="1" applyBorder="1" applyAlignment="1">
      <alignment horizontal="center" vertical="center" wrapText="1"/>
      <protection/>
    </xf>
    <xf numFmtId="176" fontId="1" fillId="24" borderId="10" xfId="0" applyNumberFormat="1" applyFont="1" applyFill="1" applyBorder="1" applyAlignment="1">
      <alignment horizontal="center" vertical="center"/>
    </xf>
    <xf numFmtId="0" fontId="0" fillId="24" borderId="10" xfId="562" applyFont="1" applyFill="1" applyBorder="1" applyAlignment="1">
      <alignment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vertical="center" wrapText="1"/>
    </xf>
    <xf numFmtId="0" fontId="5" fillId="24" borderId="34" xfId="0" applyFont="1" applyFill="1" applyBorder="1" applyAlignment="1">
      <alignment horizontal="center" vertical="center" wrapText="1"/>
    </xf>
    <xf numFmtId="2" fontId="1" fillId="24" borderId="10" xfId="702" applyNumberFormat="1" applyFont="1" applyFill="1" applyBorder="1" applyAlignment="1">
      <alignment horizontal="center" vertical="center" wrapText="1"/>
      <protection/>
    </xf>
    <xf numFmtId="2" fontId="1" fillId="24" borderId="10" xfId="702" applyNumberFormat="1" applyFont="1" applyFill="1" applyBorder="1" applyAlignment="1">
      <alignment horizontal="center" vertical="center"/>
      <protection/>
    </xf>
    <xf numFmtId="2" fontId="1" fillId="24" borderId="10" xfId="579" applyNumberFormat="1" applyFont="1" applyFill="1" applyBorder="1" applyAlignment="1">
      <alignment horizontal="center" vertical="center" wrapText="1"/>
      <protection/>
    </xf>
    <xf numFmtId="0" fontId="25" fillId="24" borderId="0" xfId="565" applyFont="1" applyFill="1" applyBorder="1" applyAlignment="1">
      <alignment horizontal="center" vertical="center" wrapText="1"/>
      <protection/>
    </xf>
    <xf numFmtId="0" fontId="27" fillId="24" borderId="0" xfId="565" applyFont="1" applyFill="1" applyBorder="1" applyAlignment="1">
      <alignment horizontal="center" vertical="center" wrapText="1"/>
      <protection/>
    </xf>
    <xf numFmtId="4" fontId="27" fillId="24" borderId="0" xfId="565" applyNumberFormat="1" applyFont="1" applyFill="1" applyBorder="1" applyAlignment="1">
      <alignment horizontal="center" vertical="center" wrapText="1"/>
      <protection/>
    </xf>
    <xf numFmtId="2" fontId="26" fillId="24" borderId="10" xfId="688" applyNumberFormat="1" applyFont="1" applyFill="1" applyBorder="1" applyAlignment="1">
      <alignment horizontal="center" vertical="center" wrapText="1"/>
      <protection/>
    </xf>
    <xf numFmtId="49" fontId="5" fillId="24" borderId="10" xfId="562" applyNumberFormat="1" applyFont="1" applyFill="1" applyBorder="1" applyAlignment="1">
      <alignment horizontal="center" vertical="center" wrapText="1"/>
      <protection/>
    </xf>
    <xf numFmtId="9" fontId="5" fillId="24" borderId="10" xfId="562" applyNumberFormat="1" applyFont="1" applyFill="1" applyBorder="1" applyAlignment="1">
      <alignment horizontal="center" vertical="center" wrapText="1"/>
      <protection/>
    </xf>
    <xf numFmtId="9" fontId="27" fillId="24" borderId="10" xfId="562" applyNumberFormat="1" applyFont="1" applyFill="1" applyBorder="1" applyAlignment="1">
      <alignment horizontal="center" vertical="center" wrapText="1"/>
      <protection/>
    </xf>
    <xf numFmtId="49" fontId="5" fillId="24" borderId="0" xfId="562" applyNumberFormat="1" applyFont="1" applyFill="1" applyBorder="1" applyAlignment="1">
      <alignment horizontal="center" vertical="center" wrapText="1"/>
      <protection/>
    </xf>
    <xf numFmtId="0" fontId="2" fillId="24" borderId="0" xfId="562" applyFont="1" applyFill="1" applyBorder="1" applyAlignment="1">
      <alignment vertical="center" wrapText="1"/>
      <protection/>
    </xf>
    <xf numFmtId="0" fontId="5" fillId="24" borderId="0" xfId="562" applyFont="1" applyFill="1" applyBorder="1" applyAlignment="1">
      <alignment vertical="center" wrapText="1"/>
      <protection/>
    </xf>
    <xf numFmtId="0" fontId="27" fillId="24" borderId="0" xfId="562" applyFont="1" applyFill="1" applyBorder="1" applyAlignment="1">
      <alignment vertical="center" wrapText="1"/>
      <protection/>
    </xf>
    <xf numFmtId="2" fontId="27" fillId="24" borderId="0" xfId="562" applyNumberFormat="1" applyFont="1" applyFill="1" applyBorder="1" applyAlignment="1">
      <alignment vertical="center" wrapText="1"/>
      <protection/>
    </xf>
    <xf numFmtId="2" fontId="1" fillId="24" borderId="21" xfId="562" applyNumberFormat="1" applyFont="1" applyFill="1" applyBorder="1" applyAlignment="1">
      <alignment horizontal="center" vertical="center" wrapText="1"/>
      <protection/>
    </xf>
    <xf numFmtId="49" fontId="5" fillId="24" borderId="0" xfId="565" applyNumberFormat="1" applyFont="1" applyFill="1" applyBorder="1" applyAlignment="1">
      <alignment horizontal="center" vertical="center" wrapText="1"/>
      <protection/>
    </xf>
    <xf numFmtId="2" fontId="27" fillId="24" borderId="0" xfId="562" applyNumberFormat="1" applyFont="1" applyFill="1" applyBorder="1" applyAlignment="1">
      <alignment horizontal="center" vertical="center" wrapText="1"/>
      <protection/>
    </xf>
    <xf numFmtId="2" fontId="27" fillId="24" borderId="0" xfId="562" applyNumberFormat="1" applyFont="1" applyFill="1" applyAlignment="1">
      <alignment horizontal="center" vertical="center" wrapText="1"/>
      <protection/>
    </xf>
    <xf numFmtId="2" fontId="5" fillId="24" borderId="17" xfId="606" applyNumberFormat="1" applyFont="1" applyFill="1" applyBorder="1" applyAlignment="1">
      <alignment horizontal="center" vertical="center" wrapText="1"/>
      <protection/>
    </xf>
    <xf numFmtId="2" fontId="27" fillId="24" borderId="36" xfId="562" applyNumberFormat="1" applyFont="1" applyFill="1" applyBorder="1" applyAlignment="1">
      <alignment horizontal="center" vertical="center" wrapText="1"/>
      <protection/>
    </xf>
    <xf numFmtId="2" fontId="5" fillId="24" borderId="18" xfId="565" applyNumberFormat="1" applyFont="1" applyFill="1" applyBorder="1" applyAlignment="1">
      <alignment horizontal="center" vertical="center" wrapText="1"/>
      <protection/>
    </xf>
    <xf numFmtId="2" fontId="5" fillId="24" borderId="25" xfId="565" applyNumberFormat="1" applyFont="1" applyFill="1" applyBorder="1" applyAlignment="1">
      <alignment horizontal="center" vertical="center" wrapText="1"/>
      <protection/>
    </xf>
    <xf numFmtId="2" fontId="27" fillId="24" borderId="0" xfId="562" applyNumberFormat="1" applyFont="1" applyFill="1" applyAlignment="1">
      <alignment vertical="center"/>
      <protection/>
    </xf>
    <xf numFmtId="2" fontId="26" fillId="24" borderId="0" xfId="562" applyNumberFormat="1" applyFont="1" applyFill="1" applyAlignment="1">
      <alignment vertical="center"/>
      <protection/>
    </xf>
    <xf numFmtId="2" fontId="26" fillId="24" borderId="0" xfId="562" applyNumberFormat="1" applyFont="1" applyFill="1" applyAlignment="1">
      <alignment horizontal="center" vertical="center" wrapText="1"/>
      <protection/>
    </xf>
    <xf numFmtId="0" fontId="0" fillId="24" borderId="0" xfId="562" applyFont="1" applyFill="1" applyAlignment="1">
      <alignment horizontal="center" vertical="center" wrapText="1"/>
      <protection/>
    </xf>
    <xf numFmtId="49" fontId="1" fillId="24" borderId="10" xfId="0" applyNumberFormat="1" applyFont="1" applyFill="1" applyBorder="1" applyAlignment="1">
      <alignment horizontal="center" vertical="center"/>
    </xf>
    <xf numFmtId="179" fontId="1" fillId="24" borderId="10" xfId="565" applyNumberFormat="1" applyFont="1" applyFill="1" applyBorder="1" applyAlignment="1">
      <alignment horizontal="center" vertical="center" wrapText="1"/>
      <protection/>
    </xf>
    <xf numFmtId="180" fontId="1" fillId="24" borderId="10" xfId="565" applyNumberFormat="1" applyFont="1" applyFill="1" applyBorder="1" applyAlignment="1">
      <alignment horizontal="center" vertical="center" wrapText="1"/>
      <protection/>
    </xf>
    <xf numFmtId="16" fontId="1" fillId="24" borderId="10" xfId="0" applyNumberFormat="1" applyFont="1" applyFill="1" applyBorder="1" applyAlignment="1" quotePrefix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center" wrapText="1"/>
    </xf>
    <xf numFmtId="0" fontId="27" fillId="24" borderId="0" xfId="606" applyFont="1" applyFill="1" applyAlignment="1">
      <alignment horizontal="center" vertical="center" wrapText="1"/>
      <protection/>
    </xf>
    <xf numFmtId="0" fontId="26" fillId="24" borderId="0" xfId="0" applyFont="1" applyFill="1" applyBorder="1" applyAlignment="1">
      <alignment horizontal="center" vertical="center" wrapText="1"/>
    </xf>
    <xf numFmtId="0" fontId="1" fillId="24" borderId="26" xfId="606" applyFont="1" applyFill="1" applyBorder="1" applyAlignment="1">
      <alignment horizontal="center" vertical="center" wrapText="1"/>
      <protection/>
    </xf>
    <xf numFmtId="0" fontId="26" fillId="24" borderId="26" xfId="562" applyFont="1" applyFill="1" applyBorder="1" applyAlignment="1">
      <alignment horizontal="center" vertical="center" wrapText="1"/>
      <protection/>
    </xf>
    <xf numFmtId="0" fontId="26" fillId="24" borderId="26" xfId="686" applyFont="1" applyFill="1" applyBorder="1" applyAlignment="1">
      <alignment horizontal="center" vertical="center" wrapText="1"/>
      <protection/>
    </xf>
    <xf numFmtId="0" fontId="1" fillId="24" borderId="26" xfId="686" applyFont="1" applyFill="1" applyBorder="1" applyAlignment="1">
      <alignment horizontal="center" vertical="center"/>
      <protection/>
    </xf>
    <xf numFmtId="0" fontId="26" fillId="24" borderId="26" xfId="686" applyFont="1" applyFill="1" applyBorder="1" applyAlignment="1">
      <alignment horizontal="center" vertical="center"/>
      <protection/>
    </xf>
    <xf numFmtId="0" fontId="38" fillId="24" borderId="26" xfId="0" applyFont="1" applyFill="1" applyBorder="1" applyAlignment="1">
      <alignment horizontal="center" vertical="center" wrapText="1"/>
    </xf>
    <xf numFmtId="176" fontId="26" fillId="24" borderId="11" xfId="562" applyNumberFormat="1" applyFont="1" applyFill="1" applyBorder="1" applyAlignment="1">
      <alignment horizontal="center" vertical="center" wrapText="1"/>
      <protection/>
    </xf>
    <xf numFmtId="179" fontId="26" fillId="24" borderId="10" xfId="606" applyNumberFormat="1" applyFont="1" applyFill="1" applyBorder="1" applyAlignment="1">
      <alignment horizontal="center" vertical="center" wrapText="1"/>
      <protection/>
    </xf>
    <xf numFmtId="49" fontId="70" fillId="24" borderId="0" xfId="0" applyNumberFormat="1" applyFont="1" applyFill="1" applyAlignment="1">
      <alignment horizontal="center" vertical="center"/>
    </xf>
    <xf numFmtId="0" fontId="26" fillId="24" borderId="14" xfId="0" applyFont="1" applyFill="1" applyBorder="1" applyAlignment="1">
      <alignment horizontal="center" vertical="center" wrapText="1"/>
    </xf>
    <xf numFmtId="176" fontId="26" fillId="24" borderId="10" xfId="606" applyNumberFormat="1" applyFont="1" applyFill="1" applyBorder="1" applyAlignment="1">
      <alignment horizontal="center" vertical="center" wrapText="1"/>
      <protection/>
    </xf>
    <xf numFmtId="0" fontId="76" fillId="24" borderId="10" xfId="607" applyFont="1" applyFill="1" applyBorder="1" applyAlignment="1">
      <alignment horizontal="center" vertical="center" wrapText="1"/>
      <protection/>
    </xf>
    <xf numFmtId="0" fontId="32" fillId="24" borderId="10" xfId="607" applyFont="1" applyFill="1" applyBorder="1" applyAlignment="1">
      <alignment horizontal="center" vertical="center" wrapText="1"/>
      <protection/>
    </xf>
    <xf numFmtId="0" fontId="1" fillId="24" borderId="10" xfId="828" applyFont="1" applyFill="1" applyBorder="1" applyAlignment="1">
      <alignment horizontal="center" vertical="center" wrapText="1"/>
      <protection/>
    </xf>
    <xf numFmtId="4" fontId="26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quotePrefix="1">
      <alignment horizontal="center" vertical="center" wrapText="1"/>
    </xf>
    <xf numFmtId="2" fontId="36" fillId="24" borderId="10" xfId="0" applyNumberFormat="1" applyFont="1" applyFill="1" applyBorder="1" applyAlignment="1" applyProtection="1">
      <alignment horizontal="center" vertical="center" wrapText="1"/>
      <protection/>
    </xf>
    <xf numFmtId="14" fontId="1" fillId="24" borderId="11" xfId="0" applyNumberFormat="1" applyFont="1" applyFill="1" applyBorder="1" applyAlignment="1">
      <alignment horizontal="center" vertical="center" wrapText="1"/>
    </xf>
    <xf numFmtId="0" fontId="50" fillId="24" borderId="10" xfId="0" applyFont="1" applyFill="1" applyBorder="1" applyAlignment="1">
      <alignment vertical="center" wrapText="1"/>
    </xf>
    <xf numFmtId="49" fontId="48" fillId="24" borderId="10" xfId="0" applyNumberFormat="1" applyFont="1" applyFill="1" applyBorder="1" applyAlignment="1">
      <alignment horizontal="left" vertical="center" wrapText="1"/>
    </xf>
    <xf numFmtId="0" fontId="1" fillId="24" borderId="13" xfId="699" applyFont="1" applyFill="1" applyBorder="1" applyAlignment="1">
      <alignment horizontal="center" vertical="center" wrapText="1"/>
      <protection/>
    </xf>
    <xf numFmtId="0" fontId="1" fillId="24" borderId="10" xfId="699" applyFont="1" applyFill="1" applyBorder="1" applyAlignment="1">
      <alignment horizontal="center" vertical="center"/>
      <protection/>
    </xf>
    <xf numFmtId="2" fontId="1" fillId="24" borderId="10" xfId="699" applyNumberFormat="1" applyFont="1" applyFill="1" applyBorder="1" applyAlignment="1">
      <alignment horizontal="center" vertical="center" wrapText="1"/>
      <protection/>
    </xf>
    <xf numFmtId="0" fontId="27" fillId="24" borderId="0" xfId="699" applyFont="1" applyFill="1" applyBorder="1" applyAlignment="1">
      <alignment vertical="center"/>
      <protection/>
    </xf>
    <xf numFmtId="0" fontId="28" fillId="24" borderId="0" xfId="699" applyFont="1" applyFill="1" applyBorder="1" applyAlignment="1">
      <alignment vertical="center"/>
      <protection/>
    </xf>
    <xf numFmtId="0" fontId="28" fillId="24" borderId="10" xfId="699" applyFont="1" applyFill="1" applyBorder="1" applyAlignment="1">
      <alignment vertical="center"/>
      <protection/>
    </xf>
    <xf numFmtId="14" fontId="5" fillId="24" borderId="11" xfId="0" applyNumberFormat="1" applyFont="1" applyFill="1" applyBorder="1" applyAlignment="1">
      <alignment horizontal="center" vertical="center" wrapText="1"/>
    </xf>
    <xf numFmtId="0" fontId="49" fillId="24" borderId="0" xfId="606" applyFont="1" applyFill="1" applyAlignment="1">
      <alignment horizontal="center" vertical="center" wrapText="1"/>
      <protection/>
    </xf>
    <xf numFmtId="0" fontId="38" fillId="24" borderId="0" xfId="606" applyFont="1" applyFill="1" applyAlignment="1">
      <alignment horizontal="center" vertical="center" wrapText="1"/>
      <protection/>
    </xf>
    <xf numFmtId="49" fontId="1" fillId="24" borderId="10" xfId="688" applyNumberFormat="1" applyFont="1" applyFill="1" applyBorder="1" applyAlignment="1">
      <alignment horizontal="center" vertical="center"/>
      <protection/>
    </xf>
    <xf numFmtId="17" fontId="1" fillId="24" borderId="10" xfId="0" applyNumberFormat="1" applyFont="1" applyFill="1" applyBorder="1" applyAlignment="1" quotePrefix="1">
      <alignment horizontal="center" vertical="center"/>
    </xf>
    <xf numFmtId="0" fontId="71" fillId="0" borderId="0" xfId="701" applyFont="1" applyAlignment="1">
      <alignment horizontal="center" vertical="center"/>
      <protection/>
    </xf>
    <xf numFmtId="0" fontId="71" fillId="0" borderId="0" xfId="701" applyFont="1" applyAlignment="1">
      <alignment vertical="center"/>
      <protection/>
    </xf>
    <xf numFmtId="0" fontId="73" fillId="0" borderId="0" xfId="701" applyFont="1" applyAlignment="1">
      <alignment horizontal="center" vertical="center"/>
      <protection/>
    </xf>
    <xf numFmtId="0" fontId="27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2" fontId="81" fillId="24" borderId="0" xfId="705" applyNumberFormat="1" applyFont="1" applyFill="1" applyAlignment="1">
      <alignment horizontal="center" vertical="center"/>
      <protection/>
    </xf>
    <xf numFmtId="0" fontId="37" fillId="0" borderId="10" xfId="0" applyFont="1" applyFill="1" applyBorder="1" applyAlignment="1">
      <alignment vertical="center" wrapText="1"/>
    </xf>
    <xf numFmtId="175" fontId="36" fillId="24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vertical="center" wrapText="1"/>
    </xf>
    <xf numFmtId="0" fontId="82" fillId="0" borderId="10" xfId="0" applyFont="1" applyBorder="1" applyAlignment="1">
      <alignment horizontal="left" vertical="center" wrapText="1"/>
    </xf>
    <xf numFmtId="0" fontId="71" fillId="0" borderId="0" xfId="701" applyFont="1" applyAlignment="1">
      <alignment horizontal="center" vertical="center"/>
      <protection/>
    </xf>
    <xf numFmtId="0" fontId="74" fillId="0" borderId="0" xfId="701" applyFont="1" applyAlignment="1">
      <alignment horizontal="center" vertical="center" wrapText="1"/>
      <protection/>
    </xf>
    <xf numFmtId="0" fontId="73" fillId="0" borderId="0" xfId="701" applyFont="1" applyAlignment="1">
      <alignment horizontal="center" vertical="center"/>
      <protection/>
    </xf>
    <xf numFmtId="0" fontId="75" fillId="0" borderId="0" xfId="701" applyFont="1" applyAlignment="1">
      <alignment horizontal="center" vertical="center"/>
      <protection/>
    </xf>
    <xf numFmtId="0" fontId="31" fillId="24" borderId="0" xfId="701" applyFont="1" applyFill="1" applyAlignment="1">
      <alignment horizontal="center" vertical="center" wrapText="1"/>
      <protection/>
    </xf>
    <xf numFmtId="0" fontId="31" fillId="24" borderId="0" xfId="608" applyFont="1" applyFill="1" applyAlignment="1">
      <alignment horizontal="center" vertical="center" wrapText="1"/>
      <protection/>
    </xf>
    <xf numFmtId="0" fontId="26" fillId="24" borderId="0" xfId="705" applyFont="1" applyFill="1" applyAlignment="1">
      <alignment horizontal="center" vertical="center"/>
      <protection/>
    </xf>
    <xf numFmtId="0" fontId="27" fillId="24" borderId="0" xfId="0" applyFont="1" applyFill="1" applyAlignment="1">
      <alignment horizontal="left" vertical="center"/>
    </xf>
    <xf numFmtId="0" fontId="31" fillId="24" borderId="0" xfId="0" applyFont="1" applyFill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26" fillId="24" borderId="37" xfId="0" applyFont="1" applyFill="1" applyBorder="1" applyAlignment="1">
      <alignment horizontal="center" vertical="center" wrapText="1"/>
    </xf>
    <xf numFmtId="0" fontId="26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27" fillId="24" borderId="0" xfId="606" applyFont="1" applyFill="1" applyAlignment="1">
      <alignment horizontal="center" vertical="center" wrapText="1"/>
      <protection/>
    </xf>
    <xf numFmtId="0" fontId="26" fillId="24" borderId="0" xfId="0" applyFont="1" applyFill="1" applyBorder="1" applyAlignment="1">
      <alignment horizontal="center" vertical="center" wrapText="1"/>
    </xf>
    <xf numFmtId="0" fontId="33" fillId="24" borderId="0" xfId="606" applyFont="1" applyFill="1" applyBorder="1" applyAlignment="1">
      <alignment horizontal="center" vertical="center" wrapText="1"/>
      <protection/>
    </xf>
    <xf numFmtId="0" fontId="31" fillId="24" borderId="0" xfId="606" applyFont="1" applyFill="1" applyBorder="1" applyAlignment="1">
      <alignment horizontal="center" vertical="center" wrapText="1"/>
      <protection/>
    </xf>
    <xf numFmtId="0" fontId="26" fillId="24" borderId="37" xfId="606" applyFont="1" applyFill="1" applyBorder="1" applyAlignment="1">
      <alignment horizontal="center" vertical="center" wrapText="1"/>
      <protection/>
    </xf>
    <xf numFmtId="0" fontId="26" fillId="24" borderId="38" xfId="606" applyFont="1" applyFill="1" applyBorder="1" applyAlignment="1">
      <alignment horizontal="center" vertical="center" wrapText="1"/>
      <protection/>
    </xf>
    <xf numFmtId="0" fontId="1" fillId="24" borderId="39" xfId="606" applyFont="1" applyFill="1" applyBorder="1" applyAlignment="1">
      <alignment horizontal="center" vertical="center" wrapText="1"/>
      <protection/>
    </xf>
    <xf numFmtId="0" fontId="1" fillId="24" borderId="40" xfId="606" applyFont="1" applyFill="1" applyBorder="1" applyAlignment="1">
      <alignment horizontal="center" vertical="center" wrapText="1"/>
      <protection/>
    </xf>
    <xf numFmtId="0" fontId="1" fillId="24" borderId="26" xfId="606" applyFont="1" applyFill="1" applyBorder="1" applyAlignment="1">
      <alignment horizontal="center" vertical="center" wrapText="1"/>
      <protection/>
    </xf>
    <xf numFmtId="0" fontId="1" fillId="24" borderId="41" xfId="606" applyFont="1" applyFill="1" applyBorder="1" applyAlignment="1">
      <alignment horizontal="center" vertical="center" wrapText="1"/>
      <protection/>
    </xf>
    <xf numFmtId="0" fontId="1" fillId="24" borderId="42" xfId="606" applyFont="1" applyFill="1" applyBorder="1" applyAlignment="1">
      <alignment horizontal="center" vertical="center" wrapText="1"/>
      <protection/>
    </xf>
    <xf numFmtId="0" fontId="31" fillId="24" borderId="0" xfId="606" applyFont="1" applyFill="1" applyAlignment="1">
      <alignment horizontal="center" vertical="center" wrapText="1"/>
      <protection/>
    </xf>
    <xf numFmtId="0" fontId="33" fillId="24" borderId="0" xfId="562" applyFont="1" applyFill="1" applyBorder="1" applyAlignment="1">
      <alignment horizontal="center" vertical="center" wrapText="1"/>
      <protection/>
    </xf>
    <xf numFmtId="0" fontId="38" fillId="24" borderId="26" xfId="606" applyFont="1" applyFill="1" applyBorder="1" applyAlignment="1">
      <alignment horizontal="center" vertical="center" wrapText="1"/>
      <protection/>
    </xf>
    <xf numFmtId="0" fontId="1" fillId="24" borderId="26" xfId="562" applyFont="1" applyFill="1" applyBorder="1" applyAlignment="1">
      <alignment horizontal="center" vertical="center" wrapText="1"/>
      <protection/>
    </xf>
    <xf numFmtId="0" fontId="26" fillId="24" borderId="26" xfId="606" applyFont="1" applyFill="1" applyBorder="1" applyAlignment="1">
      <alignment horizontal="center" vertical="center" wrapText="1"/>
      <protection/>
    </xf>
    <xf numFmtId="0" fontId="1" fillId="24" borderId="37" xfId="562" applyFont="1" applyFill="1" applyBorder="1" applyAlignment="1">
      <alignment horizontal="center" vertical="center" wrapText="1"/>
      <protection/>
    </xf>
    <xf numFmtId="0" fontId="1" fillId="24" borderId="38" xfId="562" applyFont="1" applyFill="1" applyBorder="1" applyAlignment="1">
      <alignment horizontal="center" vertical="center" wrapText="1"/>
      <protection/>
    </xf>
    <xf numFmtId="0" fontId="26" fillId="24" borderId="37" xfId="562" applyFont="1" applyFill="1" applyBorder="1" applyAlignment="1">
      <alignment horizontal="center" vertical="center" wrapText="1"/>
      <protection/>
    </xf>
    <xf numFmtId="0" fontId="26" fillId="24" borderId="38" xfId="562" applyFont="1" applyFill="1" applyBorder="1" applyAlignment="1">
      <alignment horizontal="center" vertical="center" wrapText="1"/>
      <protection/>
    </xf>
    <xf numFmtId="0" fontId="26" fillId="24" borderId="39" xfId="562" applyFont="1" applyFill="1" applyBorder="1" applyAlignment="1">
      <alignment horizontal="center" vertical="center" wrapText="1"/>
      <protection/>
    </xf>
    <xf numFmtId="0" fontId="26" fillId="24" borderId="40" xfId="562" applyFont="1" applyFill="1" applyBorder="1" applyAlignment="1">
      <alignment horizontal="center" vertical="center" wrapText="1"/>
      <protection/>
    </xf>
    <xf numFmtId="0" fontId="26" fillId="24" borderId="26" xfId="562" applyFont="1" applyFill="1" applyBorder="1" applyAlignment="1">
      <alignment horizontal="center" vertical="center" wrapText="1"/>
      <protection/>
    </xf>
    <xf numFmtId="0" fontId="26" fillId="24" borderId="41" xfId="562" applyFont="1" applyFill="1" applyBorder="1" applyAlignment="1">
      <alignment horizontal="center" vertical="center" wrapText="1"/>
      <protection/>
    </xf>
    <xf numFmtId="0" fontId="26" fillId="24" borderId="42" xfId="562" applyFont="1" applyFill="1" applyBorder="1" applyAlignment="1">
      <alignment horizontal="center" vertical="center" wrapText="1"/>
      <protection/>
    </xf>
    <xf numFmtId="2" fontId="27" fillId="24" borderId="0" xfId="562" applyNumberFormat="1" applyFont="1" applyFill="1" applyAlignment="1">
      <alignment horizontal="left" vertical="center"/>
      <protection/>
    </xf>
    <xf numFmtId="0" fontId="31" fillId="24" borderId="0" xfId="562" applyFont="1" applyFill="1" applyBorder="1" applyAlignment="1">
      <alignment horizontal="center" vertical="center" wrapText="1"/>
      <protection/>
    </xf>
    <xf numFmtId="49" fontId="1" fillId="24" borderId="26" xfId="562" applyNumberFormat="1" applyFont="1" applyFill="1" applyBorder="1" applyAlignment="1">
      <alignment horizontal="center" vertical="center" wrapText="1"/>
      <protection/>
    </xf>
    <xf numFmtId="2" fontId="26" fillId="24" borderId="26" xfId="0" applyNumberFormat="1" applyFont="1" applyFill="1" applyBorder="1" applyAlignment="1">
      <alignment horizontal="center" vertical="center" wrapText="1"/>
    </xf>
    <xf numFmtId="0" fontId="26" fillId="24" borderId="26" xfId="686" applyFont="1" applyFill="1" applyBorder="1" applyAlignment="1">
      <alignment horizontal="center" vertical="center" wrapText="1"/>
      <protection/>
    </xf>
    <xf numFmtId="49" fontId="1" fillId="24" borderId="26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31" fillId="24" borderId="0" xfId="0" applyFont="1" applyFill="1" applyBorder="1" applyAlignment="1">
      <alignment horizontal="center" vertical="center" wrapText="1"/>
    </xf>
    <xf numFmtId="0" fontId="1" fillId="24" borderId="26" xfId="686" applyFont="1" applyFill="1" applyBorder="1" applyAlignment="1">
      <alignment horizontal="center" vertical="center"/>
      <protection/>
    </xf>
    <xf numFmtId="0" fontId="26" fillId="24" borderId="26" xfId="686" applyFont="1" applyFill="1" applyBorder="1" applyAlignment="1">
      <alignment horizontal="center" vertical="center"/>
      <protection/>
    </xf>
    <xf numFmtId="0" fontId="1" fillId="24" borderId="26" xfId="686" applyFont="1" applyFill="1" applyBorder="1" applyAlignment="1">
      <alignment horizontal="center" vertical="center" wrapText="1"/>
      <protection/>
    </xf>
    <xf numFmtId="0" fontId="38" fillId="24" borderId="37" xfId="0" applyFont="1" applyFill="1" applyBorder="1" applyAlignment="1">
      <alignment horizontal="center" vertical="center" wrapText="1"/>
    </xf>
    <xf numFmtId="0" fontId="38" fillId="24" borderId="38" xfId="0" applyFont="1" applyFill="1" applyBorder="1" applyAlignment="1">
      <alignment horizontal="center" vertical="center" wrapText="1"/>
    </xf>
    <xf numFmtId="0" fontId="38" fillId="24" borderId="39" xfId="0" applyFont="1" applyFill="1" applyBorder="1" applyAlignment="1">
      <alignment horizontal="center" vertical="center" wrapText="1"/>
    </xf>
    <xf numFmtId="0" fontId="38" fillId="24" borderId="40" xfId="0" applyFont="1" applyFill="1" applyBorder="1" applyAlignment="1">
      <alignment horizontal="center" vertical="center" wrapText="1"/>
    </xf>
    <xf numFmtId="0" fontId="38" fillId="24" borderId="26" xfId="0" applyFont="1" applyFill="1" applyBorder="1" applyAlignment="1">
      <alignment horizontal="center" vertical="center" wrapText="1"/>
    </xf>
    <xf numFmtId="0" fontId="38" fillId="24" borderId="41" xfId="0" applyFont="1" applyFill="1" applyBorder="1" applyAlignment="1">
      <alignment horizontal="center" vertical="center" wrapText="1"/>
    </xf>
    <xf numFmtId="0" fontId="38" fillId="24" borderId="42" xfId="0" applyFont="1" applyFill="1" applyBorder="1" applyAlignment="1">
      <alignment horizontal="center" vertical="center" wrapText="1"/>
    </xf>
  </cellXfs>
  <cellStyles count="827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20% – rõhk1" xfId="87"/>
    <cellStyle name="20% – rõhk2" xfId="88"/>
    <cellStyle name="20% – rõhk3" xfId="89"/>
    <cellStyle name="20% – rõhk4" xfId="90"/>
    <cellStyle name="20% – rõhk5" xfId="91"/>
    <cellStyle name="20% – rõhk6" xfId="92"/>
    <cellStyle name="20% - Акцент1" xfId="93"/>
    <cellStyle name="20% - Акцент2" xfId="94"/>
    <cellStyle name="20% - Акцент3" xfId="95"/>
    <cellStyle name="20% - Акцент4" xfId="96"/>
    <cellStyle name="20% - Акцент5" xfId="97"/>
    <cellStyle name="20% - Акцент6" xfId="98"/>
    <cellStyle name="40% - Accent1" xfId="99"/>
    <cellStyle name="40% - Accent1 2" xfId="100"/>
    <cellStyle name="40% - Accent1 2 2" xfId="101"/>
    <cellStyle name="40% - Accent1 2 3" xfId="102"/>
    <cellStyle name="40% - Accent1 2 4" xfId="103"/>
    <cellStyle name="40% - Accent1 2 5" xfId="104"/>
    <cellStyle name="40% - Accent1 3" xfId="105"/>
    <cellStyle name="40% - Accent1 4" xfId="106"/>
    <cellStyle name="40% - Accent1 4 2" xfId="107"/>
    <cellStyle name="40% - Accent1 5" xfId="108"/>
    <cellStyle name="40% - Accent1 6" xfId="109"/>
    <cellStyle name="40% - Accent1 7" xfId="110"/>
    <cellStyle name="40% - Accent2" xfId="111"/>
    <cellStyle name="40% - Accent2 2" xfId="112"/>
    <cellStyle name="40% - Accent2 2 2" xfId="113"/>
    <cellStyle name="40% - Accent2 2 3" xfId="114"/>
    <cellStyle name="40% - Accent2 2 4" xfId="115"/>
    <cellStyle name="40% - Accent2 2 5" xfId="116"/>
    <cellStyle name="40% - Accent2 3" xfId="117"/>
    <cellStyle name="40% - Accent2 4" xfId="118"/>
    <cellStyle name="40% - Accent2 4 2" xfId="119"/>
    <cellStyle name="40% - Accent2 5" xfId="120"/>
    <cellStyle name="40% - Accent2 6" xfId="121"/>
    <cellStyle name="40% - Accent2 7" xfId="122"/>
    <cellStyle name="40% - Accent3" xfId="123"/>
    <cellStyle name="40% - Accent3 2" xfId="124"/>
    <cellStyle name="40% - Accent3 2 2" xfId="125"/>
    <cellStyle name="40% - Accent3 2 3" xfId="126"/>
    <cellStyle name="40% - Accent3 2 4" xfId="127"/>
    <cellStyle name="40% - Accent3 2 5" xfId="128"/>
    <cellStyle name="40% - Accent3 3" xfId="129"/>
    <cellStyle name="40% - Accent3 4" xfId="130"/>
    <cellStyle name="40% - Accent3 4 2" xfId="131"/>
    <cellStyle name="40% - Accent3 5" xfId="132"/>
    <cellStyle name="40% - Accent3 6" xfId="133"/>
    <cellStyle name="40% - Accent3 7" xfId="134"/>
    <cellStyle name="40% - Accent4" xfId="135"/>
    <cellStyle name="40% - Accent4 2" xfId="136"/>
    <cellStyle name="40% - Accent4 2 2" xfId="137"/>
    <cellStyle name="40% - Accent4 2 3" xfId="138"/>
    <cellStyle name="40% - Accent4 2 4" xfId="139"/>
    <cellStyle name="40% - Accent4 2 5" xfId="140"/>
    <cellStyle name="40% - Accent4 3" xfId="141"/>
    <cellStyle name="40% - Accent4 4" xfId="142"/>
    <cellStyle name="40% - Accent4 4 2" xfId="143"/>
    <cellStyle name="40% - Accent4 5" xfId="144"/>
    <cellStyle name="40% - Accent4 6" xfId="145"/>
    <cellStyle name="40% - Accent4 7" xfId="146"/>
    <cellStyle name="40% - Accent5" xfId="147"/>
    <cellStyle name="40% - Accent5 2" xfId="148"/>
    <cellStyle name="40% - Accent5 2 2" xfId="149"/>
    <cellStyle name="40% - Accent5 2 3" xfId="150"/>
    <cellStyle name="40% - Accent5 2 4" xfId="151"/>
    <cellStyle name="40% - Accent5 2 5" xfId="152"/>
    <cellStyle name="40% - Accent5 3" xfId="153"/>
    <cellStyle name="40% - Accent5 4" xfId="154"/>
    <cellStyle name="40% - Accent5 4 2" xfId="155"/>
    <cellStyle name="40% - Accent5 5" xfId="156"/>
    <cellStyle name="40% - Accent5 6" xfId="157"/>
    <cellStyle name="40% - Accent5 7" xfId="158"/>
    <cellStyle name="40% - Accent6" xfId="159"/>
    <cellStyle name="40% - Accent6 2" xfId="160"/>
    <cellStyle name="40% - Accent6 2 2" xfId="161"/>
    <cellStyle name="40% - Accent6 2 3" xfId="162"/>
    <cellStyle name="40% - Accent6 2 4" xfId="163"/>
    <cellStyle name="40% - Accent6 2 5" xfId="164"/>
    <cellStyle name="40% - Accent6 3" xfId="165"/>
    <cellStyle name="40% - Accent6 4" xfId="166"/>
    <cellStyle name="40% - Accent6 4 2" xfId="167"/>
    <cellStyle name="40% - Accent6 5" xfId="168"/>
    <cellStyle name="40% - Accent6 6" xfId="169"/>
    <cellStyle name="40% - Accent6 7" xfId="170"/>
    <cellStyle name="40% – rõhk1" xfId="171"/>
    <cellStyle name="40% – rõhk2" xfId="172"/>
    <cellStyle name="40% – rõhk3" xfId="173"/>
    <cellStyle name="40% – rõhk4" xfId="174"/>
    <cellStyle name="40% – rõhk5" xfId="175"/>
    <cellStyle name="40% – rõhk6" xfId="176"/>
    <cellStyle name="40% - Акцент1" xfId="177"/>
    <cellStyle name="40% - Акцент2" xfId="178"/>
    <cellStyle name="40% - Акцент3" xfId="179"/>
    <cellStyle name="40% - Акцент4" xfId="180"/>
    <cellStyle name="40% - Акцент5" xfId="181"/>
    <cellStyle name="40% - Акцент6" xfId="182"/>
    <cellStyle name="60% - Accent1" xfId="183"/>
    <cellStyle name="60% - Accent1 2" xfId="184"/>
    <cellStyle name="60% - Accent1 2 2" xfId="185"/>
    <cellStyle name="60% - Accent1 2 3" xfId="186"/>
    <cellStyle name="60% - Accent1 2 4" xfId="187"/>
    <cellStyle name="60% - Accent1 2 5" xfId="188"/>
    <cellStyle name="60% - Accent1 3" xfId="189"/>
    <cellStyle name="60% - Accent1 4" xfId="190"/>
    <cellStyle name="60% - Accent1 4 2" xfId="191"/>
    <cellStyle name="60% - Accent1 5" xfId="192"/>
    <cellStyle name="60% - Accent1 6" xfId="193"/>
    <cellStyle name="60% - Accent1 7" xfId="194"/>
    <cellStyle name="60% - Accent2" xfId="195"/>
    <cellStyle name="60% - Accent2 2" xfId="196"/>
    <cellStyle name="60% - Accent2 2 2" xfId="197"/>
    <cellStyle name="60% - Accent2 2 3" xfId="198"/>
    <cellStyle name="60% - Accent2 2 4" xfId="199"/>
    <cellStyle name="60% - Accent2 2 5" xfId="200"/>
    <cellStyle name="60% - Accent2 3" xfId="201"/>
    <cellStyle name="60% - Accent2 4" xfId="202"/>
    <cellStyle name="60% - Accent2 4 2" xfId="203"/>
    <cellStyle name="60% - Accent2 5" xfId="204"/>
    <cellStyle name="60% - Accent2 6" xfId="205"/>
    <cellStyle name="60% - Accent2 7" xfId="206"/>
    <cellStyle name="60% - Accent3" xfId="207"/>
    <cellStyle name="60% - Accent3 2" xfId="208"/>
    <cellStyle name="60% - Accent3 2 2" xfId="209"/>
    <cellStyle name="60% - Accent3 2 3" xfId="210"/>
    <cellStyle name="60% - Accent3 2 4" xfId="211"/>
    <cellStyle name="60% - Accent3 2 5" xfId="212"/>
    <cellStyle name="60% - Accent3 3" xfId="213"/>
    <cellStyle name="60% - Accent3 4" xfId="214"/>
    <cellStyle name="60% - Accent3 4 2" xfId="215"/>
    <cellStyle name="60% - Accent3 5" xfId="216"/>
    <cellStyle name="60% - Accent3 6" xfId="217"/>
    <cellStyle name="60% - Accent3 7" xfId="218"/>
    <cellStyle name="60% - Accent4" xfId="219"/>
    <cellStyle name="60% - Accent4 2" xfId="220"/>
    <cellStyle name="60% - Accent4 2 2" xfId="221"/>
    <cellStyle name="60% - Accent4 2 3" xfId="222"/>
    <cellStyle name="60% - Accent4 2 4" xfId="223"/>
    <cellStyle name="60% - Accent4 2 5" xfId="224"/>
    <cellStyle name="60% - Accent4 3" xfId="225"/>
    <cellStyle name="60% - Accent4 4" xfId="226"/>
    <cellStyle name="60% - Accent4 4 2" xfId="227"/>
    <cellStyle name="60% - Accent4 5" xfId="228"/>
    <cellStyle name="60% - Accent4 6" xfId="229"/>
    <cellStyle name="60% - Accent4 7" xfId="230"/>
    <cellStyle name="60% - Accent5" xfId="231"/>
    <cellStyle name="60% - Accent5 2" xfId="232"/>
    <cellStyle name="60% - Accent5 2 2" xfId="233"/>
    <cellStyle name="60% - Accent5 2 3" xfId="234"/>
    <cellStyle name="60% - Accent5 2 4" xfId="235"/>
    <cellStyle name="60% - Accent5 2 5" xfId="236"/>
    <cellStyle name="60% - Accent5 3" xfId="237"/>
    <cellStyle name="60% - Accent5 4" xfId="238"/>
    <cellStyle name="60% - Accent5 4 2" xfId="239"/>
    <cellStyle name="60% - Accent5 5" xfId="240"/>
    <cellStyle name="60% - Accent5 6" xfId="241"/>
    <cellStyle name="60% - Accent5 7" xfId="242"/>
    <cellStyle name="60% - Accent6" xfId="243"/>
    <cellStyle name="60% - Accent6 2" xfId="244"/>
    <cellStyle name="60% - Accent6 2 2" xfId="245"/>
    <cellStyle name="60% - Accent6 2 3" xfId="246"/>
    <cellStyle name="60% - Accent6 2 4" xfId="247"/>
    <cellStyle name="60% - Accent6 2 5" xfId="248"/>
    <cellStyle name="60% - Accent6 3" xfId="249"/>
    <cellStyle name="60% - Accent6 4" xfId="250"/>
    <cellStyle name="60% - Accent6 4 2" xfId="251"/>
    <cellStyle name="60% - Accent6 5" xfId="252"/>
    <cellStyle name="60% - Accent6 6" xfId="253"/>
    <cellStyle name="60% - Accent6 7" xfId="254"/>
    <cellStyle name="60% – rõhk1" xfId="255"/>
    <cellStyle name="60% – rõhk2" xfId="256"/>
    <cellStyle name="60% – rõhk3" xfId="257"/>
    <cellStyle name="60% – rõhk4" xfId="258"/>
    <cellStyle name="60% – rõhk5" xfId="259"/>
    <cellStyle name="60% – rõhk6" xfId="260"/>
    <cellStyle name="60% - Акцент1" xfId="261"/>
    <cellStyle name="60% - Акцент2" xfId="262"/>
    <cellStyle name="60% - Акцент3" xfId="263"/>
    <cellStyle name="60% - Акцент4" xfId="264"/>
    <cellStyle name="60% - Акцент5" xfId="265"/>
    <cellStyle name="60% - Акцент6" xfId="266"/>
    <cellStyle name="Accent1" xfId="267"/>
    <cellStyle name="Accent1 2" xfId="268"/>
    <cellStyle name="Accent1 2 2" xfId="269"/>
    <cellStyle name="Accent1 2 3" xfId="270"/>
    <cellStyle name="Accent1 2 4" xfId="271"/>
    <cellStyle name="Accent1 2 5" xfId="272"/>
    <cellStyle name="Accent1 3" xfId="273"/>
    <cellStyle name="Accent1 4" xfId="274"/>
    <cellStyle name="Accent1 4 2" xfId="275"/>
    <cellStyle name="Accent1 5" xfId="276"/>
    <cellStyle name="Accent1 6" xfId="277"/>
    <cellStyle name="Accent1 7" xfId="278"/>
    <cellStyle name="Accent2" xfId="279"/>
    <cellStyle name="Accent2 2" xfId="280"/>
    <cellStyle name="Accent2 2 2" xfId="281"/>
    <cellStyle name="Accent2 2 3" xfId="282"/>
    <cellStyle name="Accent2 2 4" xfId="283"/>
    <cellStyle name="Accent2 2 5" xfId="284"/>
    <cellStyle name="Accent2 3" xfId="285"/>
    <cellStyle name="Accent2 4" xfId="286"/>
    <cellStyle name="Accent2 4 2" xfId="287"/>
    <cellStyle name="Accent2 5" xfId="288"/>
    <cellStyle name="Accent2 6" xfId="289"/>
    <cellStyle name="Accent2 7" xfId="290"/>
    <cellStyle name="Accent3" xfId="291"/>
    <cellStyle name="Accent3 2" xfId="292"/>
    <cellStyle name="Accent3 2 2" xfId="293"/>
    <cellStyle name="Accent3 2 3" xfId="294"/>
    <cellStyle name="Accent3 2 4" xfId="295"/>
    <cellStyle name="Accent3 2 5" xfId="296"/>
    <cellStyle name="Accent3 3" xfId="297"/>
    <cellStyle name="Accent3 4" xfId="298"/>
    <cellStyle name="Accent3 4 2" xfId="299"/>
    <cellStyle name="Accent3 5" xfId="300"/>
    <cellStyle name="Accent3 6" xfId="301"/>
    <cellStyle name="Accent3 7" xfId="302"/>
    <cellStyle name="Accent4" xfId="303"/>
    <cellStyle name="Accent4 2" xfId="304"/>
    <cellStyle name="Accent4 2 2" xfId="305"/>
    <cellStyle name="Accent4 2 3" xfId="306"/>
    <cellStyle name="Accent4 2 4" xfId="307"/>
    <cellStyle name="Accent4 2 5" xfId="308"/>
    <cellStyle name="Accent4 3" xfId="309"/>
    <cellStyle name="Accent4 4" xfId="310"/>
    <cellStyle name="Accent4 4 2" xfId="311"/>
    <cellStyle name="Accent4 5" xfId="312"/>
    <cellStyle name="Accent4 6" xfId="313"/>
    <cellStyle name="Accent4 7" xfId="314"/>
    <cellStyle name="Accent5" xfId="315"/>
    <cellStyle name="Accent5 2" xfId="316"/>
    <cellStyle name="Accent5 2 2" xfId="317"/>
    <cellStyle name="Accent5 2 3" xfId="318"/>
    <cellStyle name="Accent5 2 4" xfId="319"/>
    <cellStyle name="Accent5 2 5" xfId="320"/>
    <cellStyle name="Accent5 3" xfId="321"/>
    <cellStyle name="Accent5 4" xfId="322"/>
    <cellStyle name="Accent5 4 2" xfId="323"/>
    <cellStyle name="Accent5 5" xfId="324"/>
    <cellStyle name="Accent5 6" xfId="325"/>
    <cellStyle name="Accent5 7" xfId="326"/>
    <cellStyle name="Accent6" xfId="327"/>
    <cellStyle name="Accent6 2" xfId="328"/>
    <cellStyle name="Accent6 2 2" xfId="329"/>
    <cellStyle name="Accent6 2 3" xfId="330"/>
    <cellStyle name="Accent6 2 4" xfId="331"/>
    <cellStyle name="Accent6 2 5" xfId="332"/>
    <cellStyle name="Accent6 3" xfId="333"/>
    <cellStyle name="Accent6 4" xfId="334"/>
    <cellStyle name="Accent6 4 2" xfId="335"/>
    <cellStyle name="Accent6 5" xfId="336"/>
    <cellStyle name="Accent6 6" xfId="337"/>
    <cellStyle name="Accent6 7" xfId="338"/>
    <cellStyle name="Arvutus" xfId="339"/>
    <cellStyle name="Bad" xfId="340"/>
    <cellStyle name="Bad 2" xfId="341"/>
    <cellStyle name="Bad 2 2" xfId="342"/>
    <cellStyle name="Bad 2 3" xfId="343"/>
    <cellStyle name="Bad 2 4" xfId="344"/>
    <cellStyle name="Bad 2 5" xfId="345"/>
    <cellStyle name="Bad 3" xfId="346"/>
    <cellStyle name="Bad 4" xfId="347"/>
    <cellStyle name="Bad 4 2" xfId="348"/>
    <cellStyle name="Bad 5" xfId="349"/>
    <cellStyle name="Bad 6" xfId="350"/>
    <cellStyle name="Bad 7" xfId="351"/>
    <cellStyle name="Calculation" xfId="352"/>
    <cellStyle name="Calculation 2" xfId="353"/>
    <cellStyle name="Calculation 2 2" xfId="354"/>
    <cellStyle name="Calculation 2 3" xfId="355"/>
    <cellStyle name="Calculation 2 4" xfId="356"/>
    <cellStyle name="Calculation 2 5" xfId="357"/>
    <cellStyle name="Calculation 2_anakia II etapi.xls sm. defeqturi" xfId="358"/>
    <cellStyle name="Calculation 3" xfId="359"/>
    <cellStyle name="Calculation 4" xfId="360"/>
    <cellStyle name="Calculation 4 2" xfId="361"/>
    <cellStyle name="Calculation 4_anakia II etapi.xls sm. defeqturi" xfId="362"/>
    <cellStyle name="Calculation 5" xfId="363"/>
    <cellStyle name="Calculation 6" xfId="364"/>
    <cellStyle name="Calculation 7" xfId="365"/>
    <cellStyle name="Check Cell" xfId="366"/>
    <cellStyle name="Check Cell 2" xfId="367"/>
    <cellStyle name="Check Cell 2 2" xfId="368"/>
    <cellStyle name="Check Cell 2 3" xfId="369"/>
    <cellStyle name="Check Cell 2 4" xfId="370"/>
    <cellStyle name="Check Cell 2 5" xfId="371"/>
    <cellStyle name="Check Cell 2_anakia II etapi.xls sm. defeqturi" xfId="372"/>
    <cellStyle name="Check Cell 3" xfId="373"/>
    <cellStyle name="Check Cell 4" xfId="374"/>
    <cellStyle name="Check Cell 4 2" xfId="375"/>
    <cellStyle name="Check Cell 4_anakia II etapi.xls sm. defeqturi" xfId="376"/>
    <cellStyle name="Check Cell 5" xfId="377"/>
    <cellStyle name="Check Cell 6" xfId="378"/>
    <cellStyle name="Check Cell 7" xfId="379"/>
    <cellStyle name="Comma" xfId="380"/>
    <cellStyle name="Comma [0]" xfId="381"/>
    <cellStyle name="Comma 10" xfId="382"/>
    <cellStyle name="Comma 10 2" xfId="383"/>
    <cellStyle name="Comma 11" xfId="384"/>
    <cellStyle name="Comma 11 2" xfId="385"/>
    <cellStyle name="Comma 12" xfId="386"/>
    <cellStyle name="Comma 12 2" xfId="387"/>
    <cellStyle name="Comma 12 3" xfId="388"/>
    <cellStyle name="Comma 12 4" xfId="389"/>
    <cellStyle name="Comma 12 5" xfId="390"/>
    <cellStyle name="Comma 12 6" xfId="391"/>
    <cellStyle name="Comma 12 7" xfId="392"/>
    <cellStyle name="Comma 12 8" xfId="393"/>
    <cellStyle name="Comma 13" xfId="394"/>
    <cellStyle name="Comma 14" xfId="395"/>
    <cellStyle name="Comma 14 2" xfId="396"/>
    <cellStyle name="Comma 15" xfId="397"/>
    <cellStyle name="Comma 16" xfId="398"/>
    <cellStyle name="Comma 17" xfId="399"/>
    <cellStyle name="Comma 17 2" xfId="400"/>
    <cellStyle name="Comma 18" xfId="401"/>
    <cellStyle name="Comma 18 2" xfId="402"/>
    <cellStyle name="Comma 19" xfId="403"/>
    <cellStyle name="Comma 19 2" xfId="404"/>
    <cellStyle name="Comma 2" xfId="405"/>
    <cellStyle name="Comma 2 2" xfId="406"/>
    <cellStyle name="Comma 2 2 2" xfId="407"/>
    <cellStyle name="Comma 2 2 3" xfId="408"/>
    <cellStyle name="Comma 2 3" xfId="409"/>
    <cellStyle name="Comma 2 4" xfId="410"/>
    <cellStyle name="Comma 2 5" xfId="411"/>
    <cellStyle name="Comma 2 6" xfId="412"/>
    <cellStyle name="Comma 20" xfId="413"/>
    <cellStyle name="Comma 3" xfId="414"/>
    <cellStyle name="Comma 3 2" xfId="415"/>
    <cellStyle name="Comma 3 3" xfId="416"/>
    <cellStyle name="Comma 4" xfId="417"/>
    <cellStyle name="Comma 5" xfId="418"/>
    <cellStyle name="Comma 5 2" xfId="419"/>
    <cellStyle name="Comma 6" xfId="420"/>
    <cellStyle name="Comma 6 2" xfId="421"/>
    <cellStyle name="Comma 7" xfId="422"/>
    <cellStyle name="Comma 7 2" xfId="423"/>
    <cellStyle name="Comma 8" xfId="424"/>
    <cellStyle name="Comma 8 2" xfId="425"/>
    <cellStyle name="Comma 9" xfId="426"/>
    <cellStyle name="Comma 9 2" xfId="427"/>
    <cellStyle name="Currency" xfId="428"/>
    <cellStyle name="Currency [0]" xfId="429"/>
    <cellStyle name="Currency 2" xfId="430"/>
    <cellStyle name="Currency_McxeTa BOQ - File. 17.05.2010" xfId="431"/>
    <cellStyle name="Explanatory Text" xfId="432"/>
    <cellStyle name="Explanatory Text 2" xfId="433"/>
    <cellStyle name="Explanatory Text 2 2" xfId="434"/>
    <cellStyle name="Explanatory Text 2 3" xfId="435"/>
    <cellStyle name="Explanatory Text 2 4" xfId="436"/>
    <cellStyle name="Explanatory Text 2 5" xfId="437"/>
    <cellStyle name="Explanatory Text 3" xfId="438"/>
    <cellStyle name="Explanatory Text 4" xfId="439"/>
    <cellStyle name="Explanatory Text 4 2" xfId="440"/>
    <cellStyle name="Explanatory Text 5" xfId="441"/>
    <cellStyle name="Explanatory Text 6" xfId="442"/>
    <cellStyle name="Explanatory Text 7" xfId="443"/>
    <cellStyle name="Followed Hyperlink" xfId="444"/>
    <cellStyle name="Good" xfId="445"/>
    <cellStyle name="Good 2" xfId="446"/>
    <cellStyle name="Good 2 2" xfId="447"/>
    <cellStyle name="Good 2 3" xfId="448"/>
    <cellStyle name="Good 2 4" xfId="449"/>
    <cellStyle name="Good 2 5" xfId="450"/>
    <cellStyle name="Good 3" xfId="451"/>
    <cellStyle name="Good 4" xfId="452"/>
    <cellStyle name="Good 4 2" xfId="453"/>
    <cellStyle name="Good 5" xfId="454"/>
    <cellStyle name="Good 6" xfId="455"/>
    <cellStyle name="Good 7" xfId="456"/>
    <cellStyle name="Halb" xfId="457"/>
    <cellStyle name="Hea" xfId="458"/>
    <cellStyle name="Heading 1" xfId="459"/>
    <cellStyle name="Heading 1 2" xfId="460"/>
    <cellStyle name="Heading 1 2 2" xfId="461"/>
    <cellStyle name="Heading 1 2 3" xfId="462"/>
    <cellStyle name="Heading 1 2 4" xfId="463"/>
    <cellStyle name="Heading 1 2 5" xfId="464"/>
    <cellStyle name="Heading 1 2_anakia II etapi.xls sm. defeqturi" xfId="465"/>
    <cellStyle name="Heading 1 3" xfId="466"/>
    <cellStyle name="Heading 1 4" xfId="467"/>
    <cellStyle name="Heading 1 4 2" xfId="468"/>
    <cellStyle name="Heading 1 4_anakia II etapi.xls sm. defeqturi" xfId="469"/>
    <cellStyle name="Heading 1 5" xfId="470"/>
    <cellStyle name="Heading 1 6" xfId="471"/>
    <cellStyle name="Heading 1 7" xfId="472"/>
    <cellStyle name="Heading 2" xfId="473"/>
    <cellStyle name="Heading 2 2" xfId="474"/>
    <cellStyle name="Heading 2 2 2" xfId="475"/>
    <cellStyle name="Heading 2 2 3" xfId="476"/>
    <cellStyle name="Heading 2 2 4" xfId="477"/>
    <cellStyle name="Heading 2 2 5" xfId="478"/>
    <cellStyle name="Heading 2 2_anakia II etapi.xls sm. defeqturi" xfId="479"/>
    <cellStyle name="Heading 2 3" xfId="480"/>
    <cellStyle name="Heading 2 4" xfId="481"/>
    <cellStyle name="Heading 2 4 2" xfId="482"/>
    <cellStyle name="Heading 2 4_anakia II etapi.xls sm. defeqturi" xfId="483"/>
    <cellStyle name="Heading 2 5" xfId="484"/>
    <cellStyle name="Heading 2 6" xfId="485"/>
    <cellStyle name="Heading 2 7" xfId="486"/>
    <cellStyle name="Heading 3" xfId="487"/>
    <cellStyle name="Heading 3 2" xfId="488"/>
    <cellStyle name="Heading 3 2 2" xfId="489"/>
    <cellStyle name="Heading 3 2 3" xfId="490"/>
    <cellStyle name="Heading 3 2 4" xfId="491"/>
    <cellStyle name="Heading 3 2 5" xfId="492"/>
    <cellStyle name="Heading 3 2_anakia II etapi.xls sm. defeqturi" xfId="493"/>
    <cellStyle name="Heading 3 3" xfId="494"/>
    <cellStyle name="Heading 3 4" xfId="495"/>
    <cellStyle name="Heading 3 4 2" xfId="496"/>
    <cellStyle name="Heading 3 4_anakia II etapi.xls sm. defeqturi" xfId="497"/>
    <cellStyle name="Heading 3 5" xfId="498"/>
    <cellStyle name="Heading 3 6" xfId="499"/>
    <cellStyle name="Heading 3 7" xfId="500"/>
    <cellStyle name="Heading 4" xfId="501"/>
    <cellStyle name="Heading 4 2" xfId="502"/>
    <cellStyle name="Heading 4 2 2" xfId="503"/>
    <cellStyle name="Heading 4 2 3" xfId="504"/>
    <cellStyle name="Heading 4 2 4" xfId="505"/>
    <cellStyle name="Heading 4 2 5" xfId="506"/>
    <cellStyle name="Heading 4 3" xfId="507"/>
    <cellStyle name="Heading 4 4" xfId="508"/>
    <cellStyle name="Heading 4 4 2" xfId="509"/>
    <cellStyle name="Heading 4 5" xfId="510"/>
    <cellStyle name="Heading 4 6" xfId="511"/>
    <cellStyle name="Heading 4 7" xfId="512"/>
    <cellStyle name="Hoiatustekst" xfId="513"/>
    <cellStyle name="Hyperlink" xfId="514"/>
    <cellStyle name="Hyperlink 2" xfId="515"/>
    <cellStyle name="Hyperlink 2 2" xfId="516"/>
    <cellStyle name="Input" xfId="517"/>
    <cellStyle name="Input 2" xfId="518"/>
    <cellStyle name="Input 2 2" xfId="519"/>
    <cellStyle name="Input 2 3" xfId="520"/>
    <cellStyle name="Input 2 4" xfId="521"/>
    <cellStyle name="Input 2 5" xfId="522"/>
    <cellStyle name="Input 2_anakia II etapi.xls sm. defeqturi" xfId="523"/>
    <cellStyle name="Input 3" xfId="524"/>
    <cellStyle name="Input 4" xfId="525"/>
    <cellStyle name="Input 4 2" xfId="526"/>
    <cellStyle name="Input 4_anakia II etapi.xls sm. defeqturi" xfId="527"/>
    <cellStyle name="Input 5" xfId="528"/>
    <cellStyle name="Input 6" xfId="529"/>
    <cellStyle name="Input 7" xfId="530"/>
    <cellStyle name="Kokku" xfId="531"/>
    <cellStyle name="Kontrolli lahtrit" xfId="532"/>
    <cellStyle name="Lingitud lahter" xfId="533"/>
    <cellStyle name="Linked Cell" xfId="534"/>
    <cellStyle name="Linked Cell 2" xfId="535"/>
    <cellStyle name="Linked Cell 2 2" xfId="536"/>
    <cellStyle name="Linked Cell 2 3" xfId="537"/>
    <cellStyle name="Linked Cell 2 4" xfId="538"/>
    <cellStyle name="Linked Cell 2 5" xfId="539"/>
    <cellStyle name="Linked Cell 2_anakia II etapi.xls sm. defeqturi" xfId="540"/>
    <cellStyle name="Linked Cell 3" xfId="541"/>
    <cellStyle name="Linked Cell 4" xfId="542"/>
    <cellStyle name="Linked Cell 4 2" xfId="543"/>
    <cellStyle name="Linked Cell 4_anakia II etapi.xls sm. defeqturi" xfId="544"/>
    <cellStyle name="Linked Cell 5" xfId="545"/>
    <cellStyle name="Linked Cell 6" xfId="546"/>
    <cellStyle name="Linked Cell 7" xfId="547"/>
    <cellStyle name="Märkus" xfId="548"/>
    <cellStyle name="Neutraalne" xfId="549"/>
    <cellStyle name="Neutral" xfId="550"/>
    <cellStyle name="Neutral 2" xfId="551"/>
    <cellStyle name="Neutral 2 2" xfId="552"/>
    <cellStyle name="Neutral 2 3" xfId="553"/>
    <cellStyle name="Neutral 2 4" xfId="554"/>
    <cellStyle name="Neutral 2 5" xfId="555"/>
    <cellStyle name="Neutral 3" xfId="556"/>
    <cellStyle name="Neutral 4" xfId="557"/>
    <cellStyle name="Neutral 4 2" xfId="558"/>
    <cellStyle name="Neutral 5" xfId="559"/>
    <cellStyle name="Neutral 6" xfId="560"/>
    <cellStyle name="Neutral 7" xfId="561"/>
    <cellStyle name="Normal 10" xfId="562"/>
    <cellStyle name="Normal 10 2" xfId="563"/>
    <cellStyle name="Normal 11" xfId="564"/>
    <cellStyle name="Normal 11 2" xfId="565"/>
    <cellStyle name="Normal 11 2 2" xfId="566"/>
    <cellStyle name="Normal 11 3" xfId="567"/>
    <cellStyle name="Normal 11 3 2" xfId="568"/>
    <cellStyle name="Normal 11_GAZI-2010" xfId="569"/>
    <cellStyle name="Normal 12" xfId="570"/>
    <cellStyle name="Normal 12 2" xfId="571"/>
    <cellStyle name="Normal 12 2 2" xfId="572"/>
    <cellStyle name="Normal 12_gazis gare qseli" xfId="573"/>
    <cellStyle name="Normal 13" xfId="574"/>
    <cellStyle name="Normal 13 2" xfId="575"/>
    <cellStyle name="Normal 13 2 3" xfId="576"/>
    <cellStyle name="Normal 13 3" xfId="577"/>
    <cellStyle name="Normal 13 3 2" xfId="578"/>
    <cellStyle name="Normal 13 3 2 2" xfId="579"/>
    <cellStyle name="Normal 13 4" xfId="580"/>
    <cellStyle name="Normal 13 4 2" xfId="581"/>
    <cellStyle name="Normal 13 5" xfId="582"/>
    <cellStyle name="Normal 13_GAZI-2010" xfId="583"/>
    <cellStyle name="Normal 14" xfId="584"/>
    <cellStyle name="Normal 14 2" xfId="585"/>
    <cellStyle name="Normal 14 3" xfId="586"/>
    <cellStyle name="Normal 14 3 2" xfId="587"/>
    <cellStyle name="Normal 14 4" xfId="588"/>
    <cellStyle name="Normal 14 4 2" xfId="589"/>
    <cellStyle name="Normal 14 5" xfId="590"/>
    <cellStyle name="Normal 14 5 2" xfId="591"/>
    <cellStyle name="Normal 14_anakia II etapi.xls sm. defeqturi" xfId="592"/>
    <cellStyle name="Normal 14_axalqalaqis skola " xfId="593"/>
    <cellStyle name="Normal 15" xfId="594"/>
    <cellStyle name="Normal 15 2" xfId="595"/>
    <cellStyle name="Normal 16" xfId="596"/>
    <cellStyle name="Normal 16 2" xfId="597"/>
    <cellStyle name="Normal 16 3" xfId="598"/>
    <cellStyle name="Normal 16 3 2" xfId="599"/>
    <cellStyle name="Normal 16 4" xfId="600"/>
    <cellStyle name="Normal 16_axalq.skola" xfId="601"/>
    <cellStyle name="Normal 17" xfId="602"/>
    <cellStyle name="Normal 17 2" xfId="603"/>
    <cellStyle name="Normal 18" xfId="604"/>
    <cellStyle name="Normal 19" xfId="605"/>
    <cellStyle name="Normal 2" xfId="606"/>
    <cellStyle name="Normal 2 10" xfId="607"/>
    <cellStyle name="Normal 2 2" xfId="608"/>
    <cellStyle name="Normal 2 2 2" xfId="609"/>
    <cellStyle name="Normal 2 2 3" xfId="610"/>
    <cellStyle name="Normal 2 2 4" xfId="611"/>
    <cellStyle name="Normal 2 2 5" xfId="612"/>
    <cellStyle name="Normal 2 2 6" xfId="613"/>
    <cellStyle name="Normal 2 2 7" xfId="614"/>
    <cellStyle name="Normal 2 2_2D4CD000" xfId="615"/>
    <cellStyle name="Normal 2 3" xfId="616"/>
    <cellStyle name="Normal 2 3 2" xfId="617"/>
    <cellStyle name="Normal 2 3 3" xfId="618"/>
    <cellStyle name="Normal 2 3 4" xfId="619"/>
    <cellStyle name="Normal 2 4" xfId="620"/>
    <cellStyle name="Normal 2 5" xfId="621"/>
    <cellStyle name="Normal 2 6" xfId="622"/>
    <cellStyle name="Normal 2 7" xfId="623"/>
    <cellStyle name="Normal 2 7 2" xfId="624"/>
    <cellStyle name="Normal 2 7 3" xfId="625"/>
    <cellStyle name="Normal 2 7_anakia II etapi.xls sm. defeqturi" xfId="626"/>
    <cellStyle name="Normal 2 8" xfId="627"/>
    <cellStyle name="Normal 2 9" xfId="628"/>
    <cellStyle name="Normal 2_anakia II etapi.xls sm. defeqturi" xfId="629"/>
    <cellStyle name="Normal 20" xfId="630"/>
    <cellStyle name="Normal 21" xfId="631"/>
    <cellStyle name="Normal 21 2" xfId="632"/>
    <cellStyle name="Normal 22" xfId="633"/>
    <cellStyle name="Normal 22 2" xfId="634"/>
    <cellStyle name="Normal 23" xfId="635"/>
    <cellStyle name="Normal 23 2" xfId="636"/>
    <cellStyle name="Normal 24" xfId="637"/>
    <cellStyle name="Normal 25" xfId="638"/>
    <cellStyle name="Normal 26" xfId="639"/>
    <cellStyle name="Normal 27" xfId="640"/>
    <cellStyle name="Normal 28" xfId="641"/>
    <cellStyle name="Normal 29" xfId="642"/>
    <cellStyle name="Normal 29 2" xfId="643"/>
    <cellStyle name="Normal 3" xfId="644"/>
    <cellStyle name="Normal 3 2" xfId="645"/>
    <cellStyle name="Normal 3 2 2" xfId="646"/>
    <cellStyle name="Normal 3 2_anakia II etapi.xls sm. defeqturi" xfId="647"/>
    <cellStyle name="Normal 30" xfId="648"/>
    <cellStyle name="Normal 30 2" xfId="649"/>
    <cellStyle name="Normal 31" xfId="650"/>
    <cellStyle name="Normal 32" xfId="651"/>
    <cellStyle name="Normal 32 2" xfId="652"/>
    <cellStyle name="Normal 32 3" xfId="653"/>
    <cellStyle name="Normal 32 3 2" xfId="654"/>
    <cellStyle name="Normal 33" xfId="655"/>
    <cellStyle name="Normal 33 2" xfId="656"/>
    <cellStyle name="Normal 34" xfId="657"/>
    <cellStyle name="Normal 35" xfId="658"/>
    <cellStyle name="Normal 35 2" xfId="659"/>
    <cellStyle name="Normal 35 3" xfId="660"/>
    <cellStyle name="Normal 36" xfId="661"/>
    <cellStyle name="Normal 36 2" xfId="662"/>
    <cellStyle name="Normal 36 2 2" xfId="663"/>
    <cellStyle name="Normal 36 3" xfId="664"/>
    <cellStyle name="Normal 37" xfId="665"/>
    <cellStyle name="Normal 38" xfId="666"/>
    <cellStyle name="Normal 38 2" xfId="667"/>
    <cellStyle name="Normal 38 2 2" xfId="668"/>
    <cellStyle name="Normal 38 3" xfId="669"/>
    <cellStyle name="Normal 39" xfId="670"/>
    <cellStyle name="Normal 4" xfId="671"/>
    <cellStyle name="Normal 4 2" xfId="672"/>
    <cellStyle name="Normal 40" xfId="673"/>
    <cellStyle name="Normal 40 2" xfId="674"/>
    <cellStyle name="Normal 41" xfId="675"/>
    <cellStyle name="Normal 5" xfId="676"/>
    <cellStyle name="Normal 5 2" xfId="677"/>
    <cellStyle name="Normal 5 2 2" xfId="678"/>
    <cellStyle name="Normal 5 2 3" xfId="679"/>
    <cellStyle name="Normal 5 3" xfId="680"/>
    <cellStyle name="Normal 5 3 2" xfId="681"/>
    <cellStyle name="Normal 5 4" xfId="682"/>
    <cellStyle name="Normal 5 4 2" xfId="683"/>
    <cellStyle name="Normal 5_Copy of SAN2010" xfId="684"/>
    <cellStyle name="Normal 50" xfId="685"/>
    <cellStyle name="Normal 6" xfId="686"/>
    <cellStyle name="Normal 6 2" xfId="687"/>
    <cellStyle name="Normal 6 3" xfId="688"/>
    <cellStyle name="Normal 7" xfId="689"/>
    <cellStyle name="Normal 8" xfId="690"/>
    <cellStyle name="Normal 8 2" xfId="691"/>
    <cellStyle name="Normal 8_2D4CD000" xfId="692"/>
    <cellStyle name="Normal 9" xfId="693"/>
    <cellStyle name="Normal 9 2" xfId="694"/>
    <cellStyle name="Normal 9 2 2" xfId="695"/>
    <cellStyle name="Normal 9 2 3" xfId="696"/>
    <cellStyle name="Normal 9 2 4" xfId="697"/>
    <cellStyle name="Normal 9 2_anakia II etapi.xls sm. defeqturi" xfId="698"/>
    <cellStyle name="Normal 9 3" xfId="699"/>
    <cellStyle name="Normal 9_2D4CD000" xfId="700"/>
    <cellStyle name="Normal_#10 saxli, samxedro kalaki(1). 30.03.2010.-Final+++" xfId="701"/>
    <cellStyle name="Normal_axalqalaqis skola  2" xfId="702"/>
    <cellStyle name="Normal_Book1 2" xfId="703"/>
    <cellStyle name="Normal_gare wyalsadfenigagarini 2 2" xfId="704"/>
    <cellStyle name="Normal_McxeTa BOQ - File. 17.05.2010" xfId="705"/>
    <cellStyle name="Note" xfId="706"/>
    <cellStyle name="Note 2" xfId="707"/>
    <cellStyle name="Note 2 2" xfId="708"/>
    <cellStyle name="Note 2 3" xfId="709"/>
    <cellStyle name="Note 2 4" xfId="710"/>
    <cellStyle name="Note 2 5" xfId="711"/>
    <cellStyle name="Note 2_anakia II etapi.xls sm. defeqturi" xfId="712"/>
    <cellStyle name="Note 3" xfId="713"/>
    <cellStyle name="Note 4" xfId="714"/>
    <cellStyle name="Note 4 2" xfId="715"/>
    <cellStyle name="Note 4_anakia II etapi.xls sm. defeqturi" xfId="716"/>
    <cellStyle name="Note 5" xfId="717"/>
    <cellStyle name="Note 6" xfId="718"/>
    <cellStyle name="Note 7" xfId="719"/>
    <cellStyle name="Output" xfId="720"/>
    <cellStyle name="Output 2" xfId="721"/>
    <cellStyle name="Output 2 2" xfId="722"/>
    <cellStyle name="Output 2 3" xfId="723"/>
    <cellStyle name="Output 2 4" xfId="724"/>
    <cellStyle name="Output 2 5" xfId="725"/>
    <cellStyle name="Output 2_anakia II etapi.xls sm. defeqturi" xfId="726"/>
    <cellStyle name="Output 3" xfId="727"/>
    <cellStyle name="Output 4" xfId="728"/>
    <cellStyle name="Output 4 2" xfId="729"/>
    <cellStyle name="Output 4_anakia II etapi.xls sm. defeqturi" xfId="730"/>
    <cellStyle name="Output 5" xfId="731"/>
    <cellStyle name="Output 6" xfId="732"/>
    <cellStyle name="Output 7" xfId="733"/>
    <cellStyle name="Pealkiri" xfId="734"/>
    <cellStyle name="Pealkiri 1" xfId="735"/>
    <cellStyle name="Pealkiri 2" xfId="736"/>
    <cellStyle name="Pealkiri 3" xfId="737"/>
    <cellStyle name="Pealkiri 4" xfId="738"/>
    <cellStyle name="Percent" xfId="739"/>
    <cellStyle name="Percent 2" xfId="740"/>
    <cellStyle name="Percent 3" xfId="741"/>
    <cellStyle name="Percent 3 2" xfId="742"/>
    <cellStyle name="Percent 4" xfId="743"/>
    <cellStyle name="Percent 5" xfId="744"/>
    <cellStyle name="Rõhk1" xfId="745"/>
    <cellStyle name="Rõhk2" xfId="746"/>
    <cellStyle name="Rõhk3" xfId="747"/>
    <cellStyle name="Rõhk4" xfId="748"/>
    <cellStyle name="Rõhk5" xfId="749"/>
    <cellStyle name="Rõhk6" xfId="750"/>
    <cellStyle name="Selgitav tekst" xfId="751"/>
    <cellStyle name="Sisestus" xfId="752"/>
    <cellStyle name="Style 1" xfId="753"/>
    <cellStyle name="Title" xfId="754"/>
    <cellStyle name="Title 2" xfId="755"/>
    <cellStyle name="Title 2 2" xfId="756"/>
    <cellStyle name="Title 2 3" xfId="757"/>
    <cellStyle name="Title 2 4" xfId="758"/>
    <cellStyle name="Title 2 5" xfId="759"/>
    <cellStyle name="Title 3" xfId="760"/>
    <cellStyle name="Title 4" xfId="761"/>
    <cellStyle name="Title 4 2" xfId="762"/>
    <cellStyle name="Title 5" xfId="763"/>
    <cellStyle name="Title 6" xfId="764"/>
    <cellStyle name="Title 7" xfId="765"/>
    <cellStyle name="Total" xfId="766"/>
    <cellStyle name="Total 2" xfId="767"/>
    <cellStyle name="Total 2 2" xfId="768"/>
    <cellStyle name="Total 2 3" xfId="769"/>
    <cellStyle name="Total 2 4" xfId="770"/>
    <cellStyle name="Total 2 5" xfId="771"/>
    <cellStyle name="Total 2_anakia II etapi.xls sm. defeqturi" xfId="772"/>
    <cellStyle name="Total 3" xfId="773"/>
    <cellStyle name="Total 4" xfId="774"/>
    <cellStyle name="Total 4 2" xfId="775"/>
    <cellStyle name="Total 4_anakia II etapi.xls sm. defeqturi" xfId="776"/>
    <cellStyle name="Total 5" xfId="777"/>
    <cellStyle name="Total 6" xfId="778"/>
    <cellStyle name="Total 7" xfId="779"/>
    <cellStyle name="Väljund" xfId="780"/>
    <cellStyle name="Warning Text" xfId="781"/>
    <cellStyle name="Warning Text 2" xfId="782"/>
    <cellStyle name="Warning Text 2 2" xfId="783"/>
    <cellStyle name="Warning Text 2 3" xfId="784"/>
    <cellStyle name="Warning Text 2 4" xfId="785"/>
    <cellStyle name="Warning Text 2 5" xfId="786"/>
    <cellStyle name="Warning Text 3" xfId="787"/>
    <cellStyle name="Warning Text 4" xfId="788"/>
    <cellStyle name="Warning Text 4 2" xfId="789"/>
    <cellStyle name="Warning Text 5" xfId="790"/>
    <cellStyle name="Warning Text 6" xfId="791"/>
    <cellStyle name="Warning Text 7" xfId="792"/>
    <cellStyle name="Акцент1" xfId="793"/>
    <cellStyle name="Акцент2" xfId="794"/>
    <cellStyle name="Акцент3" xfId="795"/>
    <cellStyle name="Акцент4" xfId="796"/>
    <cellStyle name="Акцент5" xfId="797"/>
    <cellStyle name="Акцент6" xfId="798"/>
    <cellStyle name="Ввод " xfId="799"/>
    <cellStyle name="Вывод" xfId="800"/>
    <cellStyle name="Вычисление" xfId="801"/>
    <cellStyle name="Заголовок 1" xfId="802"/>
    <cellStyle name="Заголовок 2" xfId="803"/>
    <cellStyle name="Заголовок 3" xfId="804"/>
    <cellStyle name="Заголовок 4" xfId="805"/>
    <cellStyle name="Итог" xfId="806"/>
    <cellStyle name="Контрольная ячейка" xfId="807"/>
    <cellStyle name="Название" xfId="808"/>
    <cellStyle name="Нейтральный" xfId="809"/>
    <cellStyle name="Обычный 10" xfId="810"/>
    <cellStyle name="Обычный 2" xfId="811"/>
    <cellStyle name="Обычный 2 2" xfId="812"/>
    <cellStyle name="Обычный 3" xfId="813"/>
    <cellStyle name="Обычный 3 2" xfId="814"/>
    <cellStyle name="Обычный 4" xfId="815"/>
    <cellStyle name="Обычный 4 2" xfId="816"/>
    <cellStyle name="Обычный 4 3" xfId="817"/>
    <cellStyle name="Обычный 5" xfId="818"/>
    <cellStyle name="Обычный 5 2" xfId="819"/>
    <cellStyle name="Обычный 5 2 2" xfId="820"/>
    <cellStyle name="Обычный 5 3" xfId="821"/>
    <cellStyle name="Обычный 6" xfId="822"/>
    <cellStyle name="Обычный 7" xfId="823"/>
    <cellStyle name="Обычный 8" xfId="824"/>
    <cellStyle name="Обычный 9" xfId="825"/>
    <cellStyle name="Обычный_2338-2339" xfId="826"/>
    <cellStyle name="Обычный_Лист1" xfId="827"/>
    <cellStyle name="Обычный_დემონტაჟი" xfId="828"/>
    <cellStyle name="Плохой" xfId="829"/>
    <cellStyle name="Пояснение" xfId="830"/>
    <cellStyle name="Примечание" xfId="831"/>
    <cellStyle name="Процентный 2" xfId="832"/>
    <cellStyle name="Процентный 3" xfId="833"/>
    <cellStyle name="Процентный 3 2" xfId="834"/>
    <cellStyle name="Связанная ячейка" xfId="835"/>
    <cellStyle name="Стиль 1" xfId="836"/>
    <cellStyle name="Текст предупреждения" xfId="837"/>
    <cellStyle name="Финансовый 2" xfId="838"/>
    <cellStyle name="Финансовый 3" xfId="839"/>
    <cellStyle name="Хороший" xfId="8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S%20Studio\Luka%20Telavi%20-%20Zugdidi\Terjola,%20Probacia%20konkurs%20!\Doc's\Terjola%20BOQ%20-%20s.%2027.08.2015+%20-%20FULL\Terjola%20Base%20-%201.%20Administraciuli.27.08.2015+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09971018mmc%20axa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ugdidi%20Sas%20-%20SPA180003503\Chasabarebeli%20proeqti%20-%20%20+%20+%20+%20+\gldanis%20bagi\Tejola%20base.%20Final%20From%20Oqro\Terjola%20Base%20-%201.%20Administraciuli.16.11.2015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ურცელ"/>
      <sheetName val="განმ.ბარათი"/>
      <sheetName val="კრებსიტი"/>
      <sheetName val="სადემონტაჟო"/>
      <sheetName val="სამშენ-მოსაპირკეთ."/>
      <sheetName val="El-sam."/>
      <sheetName val="susti denebi "/>
      <sheetName val="W.C."/>
      <sheetName val="HVAC"/>
      <sheetName val="Vide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კრებსიტი"/>
      <sheetName val="სამშენ-მოსაპირკეთ."/>
      <sheetName val="El-sam."/>
      <sheetName val="susti denebi "/>
      <sheetName val="Video"/>
      <sheetName val="შიდა W.C."/>
      <sheetName val="HVAC"/>
      <sheetName val="Stelajebi"/>
    </sheetNames>
    <sheetDataSet>
      <sheetData sheetId="0">
        <row r="1">
          <cell r="A1" t="str">
            <v>სსიპ წიაღის ეროვნული სააგენტოსთვის დავით აღმაშენებლის გამზირზე #150 მდებარე შენობის მე-8 სართულის (საერთო ფართი 889.32 კვ.მ.) სარემონტო-სამონტაჟო სამუშაოებისთვის საჭირო საპროექტო-სახარჯთაღრიცხვო დოკუმენტაციის შედგენა.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ურცელ"/>
      <sheetName val="განმ.ბარათი"/>
      <sheetName val="კრებსიტი"/>
      <sheetName val="სადემონტაჟო"/>
      <sheetName val="სამშენ-მოსაპირკეთ."/>
      <sheetName val="El-sam."/>
      <sheetName val="susti denebi "/>
      <sheetName val="W.C."/>
      <sheetName val="HVAC"/>
      <sheetName val="Vid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2" width="9.140625" style="771" customWidth="1"/>
    <col min="3" max="3" width="9.421875" style="771" customWidth="1"/>
    <col min="4" max="4" width="9.140625" style="771" customWidth="1"/>
    <col min="5" max="5" width="9.00390625" style="771" customWidth="1"/>
    <col min="6" max="13" width="9.140625" style="771" customWidth="1"/>
    <col min="14" max="14" width="13.28125" style="771" customWidth="1"/>
    <col min="15" max="16384" width="9.140625" style="771" customWidth="1"/>
  </cols>
  <sheetData>
    <row r="1" spans="1:14" ht="21" customHeight="1">
      <c r="A1" s="780" t="s">
        <v>646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</row>
    <row r="2" spans="1:9" ht="15.75">
      <c r="A2" s="770"/>
      <c r="B2" s="770"/>
      <c r="C2" s="770"/>
      <c r="D2" s="770"/>
      <c r="E2" s="770"/>
      <c r="F2" s="770"/>
      <c r="G2" s="770"/>
      <c r="H2" s="770"/>
      <c r="I2" s="770"/>
    </row>
    <row r="8" spans="1:14" ht="22.5">
      <c r="A8" s="772"/>
      <c r="B8" s="772"/>
      <c r="C8" s="772"/>
      <c r="D8" s="772"/>
      <c r="E8" s="772"/>
      <c r="F8" s="772"/>
      <c r="G8" s="772"/>
      <c r="H8" s="772"/>
      <c r="I8" s="772"/>
      <c r="J8" s="772"/>
      <c r="K8" s="772"/>
      <c r="L8" s="772"/>
      <c r="M8" s="772"/>
      <c r="N8" s="772"/>
    </row>
    <row r="10" spans="1:14" ht="72" customHeight="1">
      <c r="A10" s="781" t="str">
        <f>კრებსიტი!A1</f>
        <v>სსიპ წიაღის ეროვნული სააგენტოსთვის დავით აღმაშენებლის გამზირზე #150 მდებარე შენობის მე-8 სართულის (საერთო ფართი 889.32 კვ.მ.) სარემონტო-სამონტაჟო სამუშაოებისთვის საჭირო საპროექტო-სახარჯთაღრიცხვო დოკუმენტაციის შედგენა. </v>
      </c>
      <c r="B10" s="781"/>
      <c r="C10" s="781"/>
      <c r="D10" s="781"/>
      <c r="E10" s="781"/>
      <c r="F10" s="781"/>
      <c r="G10" s="781"/>
      <c r="H10" s="781"/>
      <c r="I10" s="781"/>
      <c r="J10" s="781"/>
      <c r="K10" s="781"/>
      <c r="L10" s="781"/>
      <c r="M10" s="781"/>
      <c r="N10" s="781"/>
    </row>
    <row r="12" spans="1:14" ht="22.5">
      <c r="A12" s="782" t="s">
        <v>636</v>
      </c>
      <c r="B12" s="782"/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2"/>
    </row>
    <row r="13" spans="1:14" ht="22.5">
      <c r="A13" s="772"/>
      <c r="B13" s="772"/>
      <c r="C13" s="772"/>
      <c r="D13" s="772"/>
      <c r="E13" s="772"/>
      <c r="F13" s="772"/>
      <c r="G13" s="772"/>
      <c r="H13" s="772"/>
      <c r="I13" s="772"/>
      <c r="J13" s="772"/>
      <c r="K13" s="772"/>
      <c r="L13" s="772"/>
      <c r="M13" s="772"/>
      <c r="N13" s="772"/>
    </row>
    <row r="14" spans="1:14" ht="22.5">
      <c r="A14" s="772"/>
      <c r="B14" s="772"/>
      <c r="C14" s="772"/>
      <c r="D14" s="772"/>
      <c r="E14" s="772"/>
      <c r="F14" s="772"/>
      <c r="G14" s="772"/>
      <c r="H14" s="772"/>
      <c r="I14" s="772"/>
      <c r="J14" s="772"/>
      <c r="K14" s="772"/>
      <c r="L14" s="772"/>
      <c r="M14" s="772"/>
      <c r="N14" s="772"/>
    </row>
    <row r="25" ht="15.75">
      <c r="I25" s="771" t="s">
        <v>637</v>
      </c>
    </row>
    <row r="28" spans="1:14" ht="18" customHeight="1">
      <c r="A28" s="783" t="s">
        <v>638</v>
      </c>
      <c r="B28" s="783"/>
      <c r="C28" s="783"/>
      <c r="D28" s="783"/>
      <c r="E28" s="783"/>
      <c r="F28" s="783"/>
      <c r="G28" s="783"/>
      <c r="H28" s="783"/>
      <c r="I28" s="783"/>
      <c r="J28" s="783"/>
      <c r="K28" s="783"/>
      <c r="L28" s="783"/>
      <c r="M28" s="783"/>
      <c r="N28" s="783"/>
    </row>
    <row r="31" ht="15.75">
      <c r="D31" s="771" t="s">
        <v>639</v>
      </c>
    </row>
  </sheetData>
  <sheetProtection/>
  <mergeCells count="4">
    <mergeCell ref="A1:N1"/>
    <mergeCell ref="A10:N10"/>
    <mergeCell ref="A12:N12"/>
    <mergeCell ref="A28:N28"/>
  </mergeCells>
  <printOptions horizontalCentered="1"/>
  <pageMargins left="0.11811023622047245" right="0.11811023622047245" top="0.5905511811023623" bottom="0.2755905511811024" header="0.4330708661417323" footer="0.11811023622047245"/>
  <pageSetup cellComments="asDisplayed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44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14.57421875" style="147" customWidth="1"/>
    <col min="2" max="2" width="62.140625" style="147" customWidth="1"/>
    <col min="3" max="3" width="25.57421875" style="147" customWidth="1"/>
    <col min="4" max="4" width="37.7109375" style="147" customWidth="1"/>
    <col min="5" max="5" width="30.57421875" style="147" customWidth="1"/>
    <col min="6" max="6" width="13.00390625" style="147" bestFit="1" customWidth="1"/>
    <col min="7" max="7" width="16.421875" style="147" customWidth="1"/>
    <col min="8" max="8" width="14.140625" style="147" customWidth="1"/>
    <col min="9" max="16384" width="9.140625" style="147" customWidth="1"/>
  </cols>
  <sheetData>
    <row r="1" spans="1:13" ht="73.5" customHeight="1">
      <c r="A1" s="784" t="s">
        <v>389</v>
      </c>
      <c r="B1" s="784"/>
      <c r="C1" s="784"/>
      <c r="D1" s="784"/>
      <c r="E1" s="495"/>
      <c r="F1" s="495"/>
      <c r="G1" s="495"/>
      <c r="H1" s="495"/>
      <c r="I1" s="495"/>
      <c r="J1" s="495"/>
      <c r="K1" s="495"/>
      <c r="L1" s="495"/>
      <c r="M1" s="495"/>
    </row>
    <row r="2" s="111" customFormat="1" ht="9.75" customHeight="1"/>
    <row r="3" spans="1:4" s="148" customFormat="1" ht="21" customHeight="1">
      <c r="A3" s="785" t="s">
        <v>114</v>
      </c>
      <c r="B3" s="785"/>
      <c r="C3" s="785"/>
      <c r="D3" s="785"/>
    </row>
    <row r="4" ht="23.25" customHeight="1" thickBot="1"/>
    <row r="5" spans="1:5" ht="39" customHeight="1" thickBot="1" thickTop="1">
      <c r="A5" s="686" t="s">
        <v>4</v>
      </c>
      <c r="B5" s="686" t="s">
        <v>49</v>
      </c>
      <c r="C5" s="686" t="s">
        <v>0</v>
      </c>
      <c r="D5" s="686" t="s">
        <v>50</v>
      </c>
      <c r="E5" s="169"/>
    </row>
    <row r="6" spans="1:4" ht="15" customHeight="1" thickBot="1" thickTop="1">
      <c r="A6" s="687">
        <v>1</v>
      </c>
      <c r="B6" s="687">
        <v>2</v>
      </c>
      <c r="C6" s="687">
        <v>3</v>
      </c>
      <c r="D6" s="687">
        <v>4</v>
      </c>
    </row>
    <row r="7" spans="1:8" s="148" customFormat="1" ht="21" customHeight="1" thickTop="1">
      <c r="A7" s="149" t="s">
        <v>117</v>
      </c>
      <c r="B7" s="150" t="s">
        <v>327</v>
      </c>
      <c r="C7" s="150" t="s">
        <v>6</v>
      </c>
      <c r="D7" s="415">
        <f>'სამშენ-მოსაპირკეთ.'!M238</f>
        <v>0</v>
      </c>
      <c r="E7" s="151"/>
      <c r="F7" s="152"/>
      <c r="G7" s="153"/>
      <c r="H7" s="154"/>
    </row>
    <row r="8" spans="1:8" s="148" customFormat="1" ht="21" customHeight="1">
      <c r="A8" s="149" t="s">
        <v>270</v>
      </c>
      <c r="B8" s="150" t="s">
        <v>25</v>
      </c>
      <c r="C8" s="150" t="s">
        <v>6</v>
      </c>
      <c r="D8" s="415">
        <f>'El-sam.'!M251</f>
        <v>0</v>
      </c>
      <c r="E8" s="155"/>
      <c r="F8" s="152"/>
      <c r="G8" s="154"/>
      <c r="H8" s="154"/>
    </row>
    <row r="9" spans="1:8" s="148" customFormat="1" ht="21" customHeight="1">
      <c r="A9" s="149" t="s">
        <v>271</v>
      </c>
      <c r="B9" s="150" t="s">
        <v>63</v>
      </c>
      <c r="C9" s="150" t="s">
        <v>6</v>
      </c>
      <c r="D9" s="415">
        <f>'susti denebi '!M112</f>
        <v>0</v>
      </c>
      <c r="E9" s="155"/>
      <c r="F9" s="152"/>
      <c r="G9" s="154"/>
      <c r="H9" s="154"/>
    </row>
    <row r="10" spans="1:8" s="148" customFormat="1" ht="36" customHeight="1">
      <c r="A10" s="149" t="s">
        <v>119</v>
      </c>
      <c r="B10" s="150" t="s">
        <v>225</v>
      </c>
      <c r="C10" s="150" t="s">
        <v>6</v>
      </c>
      <c r="D10" s="415">
        <f>Video!M44</f>
        <v>0</v>
      </c>
      <c r="E10" s="155"/>
      <c r="F10" s="152"/>
      <c r="G10" s="154"/>
      <c r="H10" s="154"/>
    </row>
    <row r="11" spans="1:8" s="148" customFormat="1" ht="21" customHeight="1">
      <c r="A11" s="149" t="s">
        <v>120</v>
      </c>
      <c r="B11" s="150" t="s">
        <v>47</v>
      </c>
      <c r="C11" s="150" t="s">
        <v>6</v>
      </c>
      <c r="D11" s="415">
        <f>'შიდა W.C.'!M163</f>
        <v>0</v>
      </c>
      <c r="E11" s="155"/>
      <c r="F11" s="152"/>
      <c r="G11" s="154"/>
      <c r="H11" s="154"/>
    </row>
    <row r="12" spans="1:8" s="148" customFormat="1" ht="21" customHeight="1">
      <c r="A12" s="149" t="s">
        <v>121</v>
      </c>
      <c r="B12" s="150" t="s">
        <v>48</v>
      </c>
      <c r="C12" s="150" t="s">
        <v>6</v>
      </c>
      <c r="D12" s="415">
        <f>HVAC!M173</f>
        <v>0</v>
      </c>
      <c r="E12" s="155"/>
      <c r="F12" s="152"/>
      <c r="G12" s="154"/>
      <c r="H12" s="154"/>
    </row>
    <row r="13" spans="1:8" s="148" customFormat="1" ht="21" customHeight="1" thickBot="1">
      <c r="A13" s="149" t="s">
        <v>123</v>
      </c>
      <c r="B13" s="150" t="s">
        <v>394</v>
      </c>
      <c r="C13" s="150" t="s">
        <v>6</v>
      </c>
      <c r="D13" s="415">
        <f>Stelajebi!M24</f>
        <v>0</v>
      </c>
      <c r="E13" s="151"/>
      <c r="F13" s="152"/>
      <c r="G13" s="154"/>
      <c r="H13" s="154"/>
    </row>
    <row r="14" spans="1:11" s="372" customFormat="1" ht="18" customHeight="1">
      <c r="A14" s="156"/>
      <c r="B14" s="157" t="s">
        <v>10</v>
      </c>
      <c r="C14" s="61"/>
      <c r="D14" s="416">
        <f>SUM(D7:D13)</f>
        <v>0</v>
      </c>
      <c r="E14" s="158"/>
      <c r="F14" s="491"/>
      <c r="G14" s="159"/>
      <c r="H14" s="159"/>
      <c r="I14" s="159"/>
      <c r="J14" s="159"/>
      <c r="K14" s="159"/>
    </row>
    <row r="15" spans="1:11" s="27" customFormat="1" ht="17.25" customHeight="1">
      <c r="A15" s="97"/>
      <c r="B15" s="34" t="s">
        <v>38</v>
      </c>
      <c r="C15" s="683">
        <v>0.05</v>
      </c>
      <c r="D15" s="162">
        <f>D14*C15</f>
        <v>0</v>
      </c>
      <c r="E15" s="160"/>
      <c r="F15" s="492"/>
      <c r="G15" s="161"/>
      <c r="H15" s="161"/>
      <c r="I15" s="161"/>
      <c r="J15" s="161"/>
      <c r="K15" s="161"/>
    </row>
    <row r="16" spans="1:11" s="372" customFormat="1" ht="17.25" customHeight="1">
      <c r="A16" s="97"/>
      <c r="B16" s="34" t="s">
        <v>9</v>
      </c>
      <c r="C16" s="16"/>
      <c r="D16" s="162">
        <f>SUM(D14:D15)</f>
        <v>0</v>
      </c>
      <c r="E16" s="163"/>
      <c r="F16" s="491"/>
      <c r="G16" s="159"/>
      <c r="H16" s="159"/>
      <c r="I16" s="159"/>
      <c r="J16" s="159"/>
      <c r="K16" s="159"/>
    </row>
    <row r="17" spans="1:11" s="27" customFormat="1" ht="17.25" customHeight="1">
      <c r="A17" s="97"/>
      <c r="B17" s="34" t="s">
        <v>39</v>
      </c>
      <c r="C17" s="683">
        <v>0.18</v>
      </c>
      <c r="D17" s="162">
        <f>D16*C17</f>
        <v>0</v>
      </c>
      <c r="E17" s="160"/>
      <c r="F17" s="492"/>
      <c r="G17" s="161"/>
      <c r="H17" s="161"/>
      <c r="I17" s="161"/>
      <c r="J17" s="161"/>
      <c r="K17" s="161"/>
    </row>
    <row r="18" spans="1:11" s="372" customFormat="1" ht="24" customHeight="1" thickBot="1">
      <c r="A18" s="164"/>
      <c r="B18" s="110" t="s">
        <v>170</v>
      </c>
      <c r="C18" s="64"/>
      <c r="D18" s="165">
        <f>SUM(D16:D17)</f>
        <v>0</v>
      </c>
      <c r="E18" s="167"/>
      <c r="F18" s="159"/>
      <c r="G18" s="159"/>
      <c r="H18" s="159"/>
      <c r="I18" s="159"/>
      <c r="J18" s="159"/>
      <c r="K18" s="159"/>
    </row>
    <row r="19" spans="5:6" ht="15.75" customHeight="1">
      <c r="E19" s="178"/>
      <c r="F19" s="168"/>
    </row>
    <row r="20" spans="4:5" ht="4.5" customHeight="1">
      <c r="D20" s="169"/>
      <c r="E20" s="178"/>
    </row>
    <row r="21" ht="15.75">
      <c r="D21" s="169"/>
    </row>
    <row r="22" spans="1:12" s="114" customFormat="1" ht="18" customHeight="1">
      <c r="A22" s="182"/>
      <c r="B22" s="114" t="s">
        <v>160</v>
      </c>
      <c r="C22" s="787" t="s">
        <v>647</v>
      </c>
      <c r="D22" s="787"/>
      <c r="L22" s="496"/>
    </row>
    <row r="23" spans="2:4" s="67" customFormat="1" ht="21" customHeight="1">
      <c r="B23" s="170"/>
      <c r="C23" s="786"/>
      <c r="D23" s="786"/>
    </row>
    <row r="24" spans="2:4" s="67" customFormat="1" ht="15.75">
      <c r="B24" s="170"/>
      <c r="C24" s="171"/>
      <c r="D24" s="172"/>
    </row>
    <row r="25" spans="2:4" s="67" customFormat="1" ht="9" customHeight="1">
      <c r="B25" s="170"/>
      <c r="C25" s="371"/>
      <c r="D25" s="172"/>
    </row>
    <row r="26" spans="2:4" s="67" customFormat="1" ht="15.75">
      <c r="B26" s="170"/>
      <c r="C26" s="171"/>
      <c r="D26" s="775"/>
    </row>
    <row r="27" spans="4:6" ht="15" customHeight="1">
      <c r="D27" s="444"/>
      <c r="F27" s="169"/>
    </row>
    <row r="28" ht="15" customHeight="1">
      <c r="F28" s="169"/>
    </row>
    <row r="29" spans="3:4" ht="15" customHeight="1">
      <c r="C29" s="173"/>
      <c r="D29" s="169"/>
    </row>
    <row r="30" ht="13.5" customHeight="1"/>
    <row r="31" spans="3:4" ht="13.5" customHeight="1">
      <c r="C31" s="173"/>
      <c r="D31" s="169"/>
    </row>
    <row r="32" ht="13.5" customHeight="1">
      <c r="D32" s="174"/>
    </row>
    <row r="33" spans="3:4" ht="13.5" customHeight="1">
      <c r="C33" s="173"/>
      <c r="D33" s="175"/>
    </row>
    <row r="34" spans="3:4" ht="13.5" customHeight="1">
      <c r="C34" s="173"/>
      <c r="D34" s="176"/>
    </row>
    <row r="35" spans="3:4" ht="18" customHeight="1">
      <c r="C35" s="148"/>
      <c r="D35" s="177"/>
    </row>
    <row r="36" ht="15.75">
      <c r="D36" s="178"/>
    </row>
    <row r="37" ht="15.75">
      <c r="D37" s="179"/>
    </row>
    <row r="38" ht="15.75">
      <c r="D38" s="169"/>
    </row>
    <row r="39" ht="15.75">
      <c r="D39" s="168"/>
    </row>
    <row r="44" ht="15.75">
      <c r="D44" s="168"/>
    </row>
  </sheetData>
  <sheetProtection/>
  <mergeCells count="4">
    <mergeCell ref="A1:D1"/>
    <mergeCell ref="A3:D3"/>
    <mergeCell ref="C23:D23"/>
    <mergeCell ref="C22:D22"/>
  </mergeCells>
  <printOptions horizontalCentered="1"/>
  <pageMargins left="0.2" right="0.2" top="0.5" bottom="0.5" header="0.433070866141732" footer="0.078740157480315"/>
  <pageSetup cellComments="asDisplayed"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831"/>
  <sheetViews>
    <sheetView tabSelected="1" view="pageBreakPreview" zoomScaleSheetLayoutView="100" zoomScalePageLayoutView="0" workbookViewId="0" topLeftCell="A107">
      <selection activeCell="C120" sqref="C120"/>
    </sheetView>
  </sheetViews>
  <sheetFormatPr defaultColWidth="9.140625" defaultRowHeight="12.75"/>
  <cols>
    <col min="1" max="1" width="3.8515625" style="271" customWidth="1"/>
    <col min="2" max="2" width="9.8515625" style="271" customWidth="1"/>
    <col min="3" max="3" width="48.8515625" style="230" customWidth="1"/>
    <col min="4" max="4" width="8.7109375" style="272" customWidth="1"/>
    <col min="5" max="5" width="7.7109375" style="271" customWidth="1"/>
    <col min="6" max="6" width="9.28125" style="230" bestFit="1" customWidth="1"/>
    <col min="7" max="7" width="9.421875" style="230" customWidth="1"/>
    <col min="8" max="8" width="11.421875" style="230" customWidth="1"/>
    <col min="9" max="9" width="9.421875" style="309" customWidth="1"/>
    <col min="10" max="10" width="11.421875" style="230" customWidth="1"/>
    <col min="11" max="11" width="9.421875" style="309" customWidth="1"/>
    <col min="12" max="12" width="10.8515625" style="230" customWidth="1"/>
    <col min="13" max="13" width="14.140625" style="231" bestFit="1" customWidth="1"/>
    <col min="14" max="14" width="11.00390625" style="385" customWidth="1"/>
    <col min="15" max="15" width="12.8515625" style="230" customWidth="1"/>
    <col min="16" max="16" width="12.57421875" style="230" customWidth="1"/>
    <col min="17" max="16384" width="9.140625" style="230" customWidth="1"/>
  </cols>
  <sheetData>
    <row r="1" spans="1:14" s="297" customFormat="1" ht="54" customHeight="1">
      <c r="A1" s="788" t="str">
        <f>'[2]კრებსიტი'!A1</f>
        <v>სსიპ წიაღის ეროვნული სააგენტოსთვის დავით აღმაშენებლის გამზირზე #150 მდებარე შენობის მე-8 სართულის (საერთო ფართი 889.32 კვ.მ.) სარემონტო-სამონტაჟო სამუშაოებისთვის საჭირო საპროექტო-სახარჯთაღრიცხვო დოკუმენტაციის შედგენა. 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383"/>
    </row>
    <row r="2" spans="1:14" s="297" customFormat="1" ht="9" customHeight="1">
      <c r="A2" s="62"/>
      <c r="B2" s="62"/>
      <c r="C2" s="732"/>
      <c r="D2" s="62"/>
      <c r="E2" s="62"/>
      <c r="F2" s="372"/>
      <c r="G2" s="732"/>
      <c r="H2" s="732"/>
      <c r="I2" s="732"/>
      <c r="J2" s="732"/>
      <c r="K2" s="732"/>
      <c r="L2" s="732"/>
      <c r="M2" s="732"/>
      <c r="N2" s="383"/>
    </row>
    <row r="3" spans="1:14" s="297" customFormat="1" ht="19.5" customHeight="1">
      <c r="A3" s="789" t="s">
        <v>118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383"/>
    </row>
    <row r="4" spans="1:14" s="297" customFormat="1" ht="9" customHeight="1">
      <c r="A4" s="12"/>
      <c r="B4" s="12"/>
      <c r="C4" s="733"/>
      <c r="D4" s="12"/>
      <c r="E4" s="12"/>
      <c r="F4" s="738"/>
      <c r="G4" s="733"/>
      <c r="H4" s="733"/>
      <c r="I4" s="733"/>
      <c r="J4" s="733"/>
      <c r="K4" s="733"/>
      <c r="L4" s="733"/>
      <c r="M4" s="733"/>
      <c r="N4" s="383"/>
    </row>
    <row r="5" spans="1:14" s="298" customFormat="1" ht="18.75" customHeight="1">
      <c r="A5" s="790" t="s">
        <v>256</v>
      </c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384"/>
    </row>
    <row r="6" spans="1:14" s="297" customFormat="1" ht="15" customHeight="1" thickBot="1">
      <c r="A6" s="13"/>
      <c r="B6" s="13"/>
      <c r="C6" s="299"/>
      <c r="D6" s="13"/>
      <c r="E6" s="13"/>
      <c r="F6" s="299"/>
      <c r="G6" s="299"/>
      <c r="H6" s="299"/>
      <c r="I6" s="300"/>
      <c r="J6" s="299"/>
      <c r="K6" s="300"/>
      <c r="L6" s="299"/>
      <c r="M6" s="299"/>
      <c r="N6" s="383"/>
    </row>
    <row r="7" spans="1:14" s="265" customFormat="1" ht="36" customHeight="1" thickBot="1" thickTop="1">
      <c r="A7" s="791" t="s">
        <v>4</v>
      </c>
      <c r="B7" s="791" t="s">
        <v>5</v>
      </c>
      <c r="C7" s="792" t="s">
        <v>2</v>
      </c>
      <c r="D7" s="791" t="s">
        <v>0</v>
      </c>
      <c r="E7" s="793" t="s">
        <v>35</v>
      </c>
      <c r="F7" s="795" t="s">
        <v>53</v>
      </c>
      <c r="G7" s="797" t="s">
        <v>34</v>
      </c>
      <c r="H7" s="798"/>
      <c r="I7" s="791" t="s">
        <v>31</v>
      </c>
      <c r="J7" s="791"/>
      <c r="K7" s="791" t="s">
        <v>36</v>
      </c>
      <c r="L7" s="791"/>
      <c r="M7" s="799" t="s">
        <v>32</v>
      </c>
      <c r="N7" s="383"/>
    </row>
    <row r="8" spans="1:14" s="265" customFormat="1" ht="29.25" customHeight="1" thickBot="1" thickTop="1">
      <c r="A8" s="791"/>
      <c r="B8" s="791"/>
      <c r="C8" s="792"/>
      <c r="D8" s="791"/>
      <c r="E8" s="794"/>
      <c r="F8" s="796"/>
      <c r="G8" s="399" t="s">
        <v>167</v>
      </c>
      <c r="H8" s="735" t="s">
        <v>26</v>
      </c>
      <c r="I8" s="399" t="s">
        <v>33</v>
      </c>
      <c r="J8" s="735" t="s">
        <v>26</v>
      </c>
      <c r="K8" s="399" t="s">
        <v>33</v>
      </c>
      <c r="L8" s="735" t="s">
        <v>26</v>
      </c>
      <c r="M8" s="800"/>
      <c r="N8" s="383"/>
    </row>
    <row r="9" spans="1:14" s="301" customFormat="1" ht="14.25" customHeight="1" thickBot="1" thickTop="1">
      <c r="A9" s="239">
        <v>1</v>
      </c>
      <c r="B9" s="239">
        <v>2</v>
      </c>
      <c r="C9" s="239">
        <v>3</v>
      </c>
      <c r="D9" s="239">
        <v>4</v>
      </c>
      <c r="E9" s="239">
        <v>5</v>
      </c>
      <c r="F9" s="440">
        <v>6</v>
      </c>
      <c r="G9" s="239">
        <v>7</v>
      </c>
      <c r="H9" s="239">
        <v>8</v>
      </c>
      <c r="I9" s="239">
        <v>9</v>
      </c>
      <c r="J9" s="239">
        <v>10</v>
      </c>
      <c r="K9" s="239">
        <v>11</v>
      </c>
      <c r="L9" s="239">
        <v>12</v>
      </c>
      <c r="M9" s="239">
        <v>13</v>
      </c>
      <c r="N9" s="384"/>
    </row>
    <row r="10" spans="1:15" s="510" customFormat="1" ht="18" customHeight="1" thickTop="1">
      <c r="A10" s="431" t="s">
        <v>71</v>
      </c>
      <c r="B10" s="498"/>
      <c r="C10" s="509" t="s">
        <v>282</v>
      </c>
      <c r="D10" s="227"/>
      <c r="E10" s="659"/>
      <c r="F10" s="227"/>
      <c r="G10" s="195"/>
      <c r="H10" s="143"/>
      <c r="I10" s="195"/>
      <c r="J10" s="143"/>
      <c r="K10" s="195"/>
      <c r="L10" s="143"/>
      <c r="M10" s="143"/>
      <c r="N10" s="500"/>
      <c r="O10" s="511"/>
    </row>
    <row r="11" spans="1:14" s="313" customFormat="1" ht="21" customHeight="1">
      <c r="A11" s="660">
        <v>1</v>
      </c>
      <c r="B11" s="32" t="s">
        <v>378</v>
      </c>
      <c r="C11" s="34" t="s">
        <v>377</v>
      </c>
      <c r="D11" s="34" t="s">
        <v>463</v>
      </c>
      <c r="E11" s="34"/>
      <c r="F11" s="8">
        <f>F201</f>
        <v>106.93</v>
      </c>
      <c r="G11" s="195"/>
      <c r="H11" s="143"/>
      <c r="I11" s="195"/>
      <c r="J11" s="143"/>
      <c r="K11" s="195"/>
      <c r="L11" s="143"/>
      <c r="M11" s="143"/>
      <c r="N11" s="7"/>
    </row>
    <row r="12" spans="1:14" s="313" customFormat="1" ht="18" customHeight="1">
      <c r="A12" s="3"/>
      <c r="B12" s="32"/>
      <c r="C12" s="3" t="s">
        <v>84</v>
      </c>
      <c r="D12" s="131" t="s">
        <v>139</v>
      </c>
      <c r="E12" s="1">
        <v>1.56</v>
      </c>
      <c r="F12" s="1">
        <f>F11*E12</f>
        <v>166.81080000000003</v>
      </c>
      <c r="G12" s="195"/>
      <c r="H12" s="143"/>
      <c r="I12" s="143"/>
      <c r="J12" s="143">
        <f>I12*F12</f>
        <v>0</v>
      </c>
      <c r="K12" s="195"/>
      <c r="L12" s="143"/>
      <c r="M12" s="143">
        <f>L12+J12+H12</f>
        <v>0</v>
      </c>
      <c r="N12" s="7"/>
    </row>
    <row r="13" spans="1:14" s="313" customFormat="1" ht="18" customHeight="1">
      <c r="A13" s="23"/>
      <c r="B13" s="32"/>
      <c r="C13" s="3" t="s">
        <v>70</v>
      </c>
      <c r="D13" s="3" t="s">
        <v>6</v>
      </c>
      <c r="E13" s="661">
        <f>9.84/100</f>
        <v>0.0984</v>
      </c>
      <c r="F13" s="1">
        <f>F11*E13</f>
        <v>10.521912</v>
      </c>
      <c r="G13" s="195"/>
      <c r="H13" s="143"/>
      <c r="I13" s="195"/>
      <c r="J13" s="143"/>
      <c r="K13" s="195"/>
      <c r="L13" s="143">
        <f>K13*F13</f>
        <v>0</v>
      </c>
      <c r="M13" s="143">
        <f>L13+J13+H13</f>
        <v>0</v>
      </c>
      <c r="N13" s="501"/>
    </row>
    <row r="14" spans="1:14" s="313" customFormat="1" ht="21" customHeight="1">
      <c r="A14" s="660">
        <f>A11+1</f>
        <v>2</v>
      </c>
      <c r="B14" s="32" t="s">
        <v>500</v>
      </c>
      <c r="C14" s="34" t="s">
        <v>438</v>
      </c>
      <c r="D14" s="34" t="s">
        <v>463</v>
      </c>
      <c r="E14" s="34"/>
      <c r="F14" s="8">
        <f>(0.9*2.1)*30</f>
        <v>56.7</v>
      </c>
      <c r="G14" s="195"/>
      <c r="H14" s="143"/>
      <c r="I14" s="195"/>
      <c r="J14" s="143"/>
      <c r="K14" s="195"/>
      <c r="L14" s="143"/>
      <c r="M14" s="143"/>
      <c r="N14" s="7"/>
    </row>
    <row r="15" spans="1:14" s="313" customFormat="1" ht="18" customHeight="1">
      <c r="A15" s="3"/>
      <c r="B15" s="32"/>
      <c r="C15" s="3" t="s">
        <v>84</v>
      </c>
      <c r="D15" s="131" t="s">
        <v>139</v>
      </c>
      <c r="E15" s="662">
        <f>(88.7)/100</f>
        <v>0.887</v>
      </c>
      <c r="F15" s="1">
        <f>F14*E15</f>
        <v>50.2929</v>
      </c>
      <c r="G15" s="195"/>
      <c r="H15" s="143"/>
      <c r="I15" s="143"/>
      <c r="J15" s="143">
        <f>I15*F15</f>
        <v>0</v>
      </c>
      <c r="K15" s="195"/>
      <c r="L15" s="143"/>
      <c r="M15" s="143">
        <f>L15+J15+H15</f>
        <v>0</v>
      </c>
      <c r="N15" s="7"/>
    </row>
    <row r="16" spans="1:14" s="313" customFormat="1" ht="18" customHeight="1">
      <c r="A16" s="23"/>
      <c r="B16" s="32"/>
      <c r="C16" s="3" t="s">
        <v>70</v>
      </c>
      <c r="D16" s="3" t="s">
        <v>6</v>
      </c>
      <c r="E16" s="661">
        <f>9.84/100</f>
        <v>0.0984</v>
      </c>
      <c r="F16" s="1">
        <f>F14*E16</f>
        <v>5.579280000000001</v>
      </c>
      <c r="G16" s="195"/>
      <c r="H16" s="143"/>
      <c r="I16" s="195"/>
      <c r="J16" s="143"/>
      <c r="K16" s="195"/>
      <c r="L16" s="143">
        <f>K16*F16</f>
        <v>0</v>
      </c>
      <c r="M16" s="143">
        <f>L16+J16+H16</f>
        <v>0</v>
      </c>
      <c r="N16" s="501"/>
    </row>
    <row r="17" spans="1:15" s="502" customFormat="1" ht="39" customHeight="1">
      <c r="A17" s="660">
        <f>A14+1</f>
        <v>3</v>
      </c>
      <c r="B17" s="39" t="s">
        <v>275</v>
      </c>
      <c r="C17" s="130" t="s">
        <v>439</v>
      </c>
      <c r="D17" s="130" t="s">
        <v>501</v>
      </c>
      <c r="E17" s="663"/>
      <c r="F17" s="146">
        <f>(5.9+6.15+2.5+3.9+1.2+6.15*3+5+6.1+2.5+1.4+4.75+1.85+0.6+5.8+6.1+5.8+2.5+1.35+4.15+5.75+0.6+1.86+5.75*6+15+2.5+5.3)*2.9*0.15</f>
        <v>65.90684999999999</v>
      </c>
      <c r="G17" s="396"/>
      <c r="H17" s="397"/>
      <c r="I17" s="397"/>
      <c r="J17" s="397"/>
      <c r="K17" s="397"/>
      <c r="L17" s="397"/>
      <c r="M17" s="664"/>
      <c r="O17" s="503"/>
    </row>
    <row r="18" spans="1:15" s="502" customFormat="1" ht="18" customHeight="1">
      <c r="A18" s="131"/>
      <c r="B18" s="39"/>
      <c r="C18" s="3" t="s">
        <v>84</v>
      </c>
      <c r="D18" s="131" t="s">
        <v>139</v>
      </c>
      <c r="E18" s="21">
        <v>6.5</v>
      </c>
      <c r="F18" s="21">
        <f>F17*E18</f>
        <v>428.39452499999993</v>
      </c>
      <c r="G18" s="418"/>
      <c r="H18" s="143"/>
      <c r="I18" s="143"/>
      <c r="J18" s="143">
        <f>I18*F18</f>
        <v>0</v>
      </c>
      <c r="K18" s="195"/>
      <c r="L18" s="143"/>
      <c r="M18" s="143">
        <f>L18+J18+H18</f>
        <v>0</v>
      </c>
      <c r="N18" s="504"/>
      <c r="O18" s="503"/>
    </row>
    <row r="19" spans="1:15" s="502" customFormat="1" ht="18" customHeight="1">
      <c r="A19" s="660"/>
      <c r="B19" s="39"/>
      <c r="C19" s="3" t="s">
        <v>70</v>
      </c>
      <c r="D19" s="131" t="s">
        <v>6</v>
      </c>
      <c r="E19" s="21">
        <v>1.8</v>
      </c>
      <c r="F19" s="21">
        <f>F17*E19</f>
        <v>118.63232999999998</v>
      </c>
      <c r="G19" s="132"/>
      <c r="H19" s="143"/>
      <c r="I19" s="195"/>
      <c r="J19" s="143"/>
      <c r="K19" s="195"/>
      <c r="L19" s="143">
        <f>K19*F19</f>
        <v>0</v>
      </c>
      <c r="M19" s="143">
        <f>L19+J19+H19</f>
        <v>0</v>
      </c>
      <c r="O19" s="505"/>
    </row>
    <row r="20" spans="1:15" s="502" customFormat="1" ht="39" customHeight="1">
      <c r="A20" s="660">
        <f>A17+1</f>
        <v>4</v>
      </c>
      <c r="B20" s="39" t="s">
        <v>502</v>
      </c>
      <c r="C20" s="130" t="s">
        <v>440</v>
      </c>
      <c r="D20" s="130" t="s">
        <v>463</v>
      </c>
      <c r="E20" s="663"/>
      <c r="F20" s="393">
        <f>35+156+29</f>
        <v>220</v>
      </c>
      <c r="G20" s="418"/>
      <c r="H20" s="665"/>
      <c r="I20" s="665"/>
      <c r="J20" s="665"/>
      <c r="K20" s="665"/>
      <c r="L20" s="665"/>
      <c r="M20" s="283"/>
      <c r="N20" s="506"/>
      <c r="O20" s="503"/>
    </row>
    <row r="21" spans="1:15" s="240" customFormat="1" ht="15.75">
      <c r="A21" s="659"/>
      <c r="B21" s="696"/>
      <c r="C21" s="141" t="s">
        <v>84</v>
      </c>
      <c r="D21" s="666" t="s">
        <v>139</v>
      </c>
      <c r="E21" s="745">
        <f>32.3/100</f>
        <v>0.32299999999999995</v>
      </c>
      <c r="F21" s="143">
        <f>F20*E21</f>
        <v>71.05999999999999</v>
      </c>
      <c r="G21" s="143"/>
      <c r="H21" s="195"/>
      <c r="I21" s="143"/>
      <c r="J21" s="195">
        <f>I21*F21</f>
        <v>0</v>
      </c>
      <c r="K21" s="143"/>
      <c r="L21" s="143"/>
      <c r="M21" s="143">
        <f>L21+J21+H21</f>
        <v>0</v>
      </c>
      <c r="N21" s="419"/>
      <c r="O21" s="380"/>
    </row>
    <row r="22" spans="1:15" s="240" customFormat="1" ht="15.75">
      <c r="A22" s="659"/>
      <c r="B22" s="696"/>
      <c r="C22" s="3" t="s">
        <v>70</v>
      </c>
      <c r="D22" s="131" t="s">
        <v>6</v>
      </c>
      <c r="E22" s="746">
        <f>2.15/100</f>
        <v>0.0215</v>
      </c>
      <c r="F22" s="21">
        <f>F20*E22</f>
        <v>4.7299999999999995</v>
      </c>
      <c r="G22" s="132"/>
      <c r="H22" s="143"/>
      <c r="I22" s="195"/>
      <c r="J22" s="143"/>
      <c r="K22" s="195"/>
      <c r="L22" s="143">
        <f>K22*F22</f>
        <v>0</v>
      </c>
      <c r="M22" s="143">
        <f>L22+J22+H22</f>
        <v>0</v>
      </c>
      <c r="N22" s="667"/>
      <c r="O22" s="380"/>
    </row>
    <row r="23" spans="1:15" s="502" customFormat="1" ht="36" customHeight="1">
      <c r="A23" s="660">
        <f>A20+1</f>
        <v>5</v>
      </c>
      <c r="B23" s="39" t="s">
        <v>441</v>
      </c>
      <c r="C23" s="130" t="s">
        <v>442</v>
      </c>
      <c r="D23" s="130" t="s">
        <v>463</v>
      </c>
      <c r="E23" s="663"/>
      <c r="F23" s="393">
        <f>21.2+15.83+16.45+51.83+13+36.65+11.42+6.64+23.52+18.54+38.54+8.81+3.79+20.43+22.76+10.27+4.3+7.67+39.36+39.9+8.52+25.1+40.84+15+22.16</f>
        <v>522.53</v>
      </c>
      <c r="G23" s="418"/>
      <c r="H23" s="665"/>
      <c r="I23" s="665"/>
      <c r="J23" s="665"/>
      <c r="K23" s="665"/>
      <c r="L23" s="665"/>
      <c r="M23" s="283"/>
      <c r="N23" s="506"/>
      <c r="O23" s="503"/>
    </row>
    <row r="24" spans="1:15" s="240" customFormat="1" ht="18" customHeight="1">
      <c r="A24" s="659"/>
      <c r="B24" s="696"/>
      <c r="C24" s="141" t="s">
        <v>84</v>
      </c>
      <c r="D24" s="23" t="s">
        <v>464</v>
      </c>
      <c r="E24" s="662">
        <f>28.9/100</f>
        <v>0.289</v>
      </c>
      <c r="F24" s="143">
        <f>F23*E24</f>
        <v>151.01117</v>
      </c>
      <c r="G24" s="143"/>
      <c r="H24" s="195"/>
      <c r="I24" s="143"/>
      <c r="J24" s="195">
        <f>I24*F24</f>
        <v>0</v>
      </c>
      <c r="K24" s="143"/>
      <c r="L24" s="143"/>
      <c r="M24" s="143">
        <f>L24+J24+H24</f>
        <v>0</v>
      </c>
      <c r="N24" s="419"/>
      <c r="O24" s="380"/>
    </row>
    <row r="25" spans="1:15" s="240" customFormat="1" ht="18" customHeight="1">
      <c r="A25" s="659"/>
      <c r="B25" s="696"/>
      <c r="C25" s="141" t="s">
        <v>70</v>
      </c>
      <c r="D25" s="666" t="s">
        <v>6</v>
      </c>
      <c r="E25" s="668">
        <f>6.28/100</f>
        <v>0.06280000000000001</v>
      </c>
      <c r="F25" s="143">
        <f>F23*E25</f>
        <v>32.814884</v>
      </c>
      <c r="G25" s="143"/>
      <c r="H25" s="195"/>
      <c r="I25" s="143"/>
      <c r="J25" s="195"/>
      <c r="K25" s="143"/>
      <c r="L25" s="143">
        <f>K25*F25</f>
        <v>0</v>
      </c>
      <c r="M25" s="143">
        <f>L25+J25+H25</f>
        <v>0</v>
      </c>
      <c r="N25" s="419"/>
      <c r="O25" s="380"/>
    </row>
    <row r="26" spans="1:15" s="502" customFormat="1" ht="39" customHeight="1">
      <c r="A26" s="660">
        <f>A23+1</f>
        <v>6</v>
      </c>
      <c r="B26" s="39" t="s">
        <v>330</v>
      </c>
      <c r="C26" s="130" t="s">
        <v>503</v>
      </c>
      <c r="D26" s="130" t="s">
        <v>463</v>
      </c>
      <c r="E26" s="663"/>
      <c r="F26" s="393">
        <f>F20+F23</f>
        <v>742.53</v>
      </c>
      <c r="G26" s="418"/>
      <c r="H26" s="665"/>
      <c r="I26" s="665"/>
      <c r="J26" s="665"/>
      <c r="K26" s="665"/>
      <c r="L26" s="665"/>
      <c r="M26" s="283"/>
      <c r="N26" s="506"/>
      <c r="O26" s="503"/>
    </row>
    <row r="27" spans="1:15" s="240" customFormat="1" ht="18" customHeight="1">
      <c r="A27" s="659"/>
      <c r="B27" s="696"/>
      <c r="C27" s="141" t="s">
        <v>84</v>
      </c>
      <c r="D27" s="666" t="s">
        <v>139</v>
      </c>
      <c r="E27" s="668">
        <f>(23.8+2.84*3)/100</f>
        <v>0.3232</v>
      </c>
      <c r="F27" s="143">
        <f>F26*E27</f>
        <v>239.985696</v>
      </c>
      <c r="G27" s="143"/>
      <c r="H27" s="195"/>
      <c r="I27" s="143"/>
      <c r="J27" s="195">
        <f>I27*F27</f>
        <v>0</v>
      </c>
      <c r="K27" s="143"/>
      <c r="L27" s="143"/>
      <c r="M27" s="143">
        <f>L27+J27+H27</f>
        <v>0</v>
      </c>
      <c r="N27" s="419"/>
      <c r="O27" s="380"/>
    </row>
    <row r="28" spans="1:15" s="240" customFormat="1" ht="18" customHeight="1">
      <c r="A28" s="659"/>
      <c r="B28" s="696"/>
      <c r="C28" s="141" t="s">
        <v>70</v>
      </c>
      <c r="D28" s="666" t="s">
        <v>6</v>
      </c>
      <c r="E28" s="668">
        <f>(3.92+0.78*3)/100</f>
        <v>0.0626</v>
      </c>
      <c r="F28" s="143">
        <f>F26*E28</f>
        <v>46.482378</v>
      </c>
      <c r="G28" s="143"/>
      <c r="H28" s="195"/>
      <c r="I28" s="143"/>
      <c r="J28" s="195"/>
      <c r="K28" s="143"/>
      <c r="L28" s="143">
        <f>K28*F28</f>
        <v>0</v>
      </c>
      <c r="M28" s="143">
        <f>L28+J28+H28</f>
        <v>0</v>
      </c>
      <c r="N28" s="419"/>
      <c r="O28" s="380"/>
    </row>
    <row r="29" spans="1:15" s="502" customFormat="1" ht="36" customHeight="1">
      <c r="A29" s="660">
        <f>A26+1</f>
        <v>7</v>
      </c>
      <c r="B29" s="39" t="s">
        <v>46</v>
      </c>
      <c r="C29" s="130" t="s">
        <v>443</v>
      </c>
      <c r="D29" s="130" t="s">
        <v>138</v>
      </c>
      <c r="E29" s="663"/>
      <c r="F29" s="393">
        <v>1</v>
      </c>
      <c r="G29" s="418"/>
      <c r="H29" s="665"/>
      <c r="I29" s="665"/>
      <c r="J29" s="665"/>
      <c r="K29" s="665"/>
      <c r="L29" s="665"/>
      <c r="M29" s="283"/>
      <c r="N29" s="506"/>
      <c r="O29" s="503"/>
    </row>
    <row r="30" spans="1:15" s="240" customFormat="1" ht="18" customHeight="1">
      <c r="A30" s="659"/>
      <c r="B30" s="696"/>
      <c r="C30" s="141" t="s">
        <v>84</v>
      </c>
      <c r="D30" s="666" t="str">
        <f>D29</f>
        <v>kompl.</v>
      </c>
      <c r="E30" s="143">
        <v>1</v>
      </c>
      <c r="F30" s="143">
        <f>F29*E30</f>
        <v>1</v>
      </c>
      <c r="G30" s="143"/>
      <c r="H30" s="195"/>
      <c r="I30" s="143"/>
      <c r="J30" s="195">
        <f>I30*F30</f>
        <v>0</v>
      </c>
      <c r="K30" s="143"/>
      <c r="L30" s="143"/>
      <c r="M30" s="143">
        <f>L30+J30+H30</f>
        <v>0</v>
      </c>
      <c r="N30" s="419"/>
      <c r="O30" s="380"/>
    </row>
    <row r="31" spans="1:13" ht="36" customHeight="1">
      <c r="A31" s="3">
        <f>A29+1</f>
        <v>8</v>
      </c>
      <c r="B31" s="33" t="s">
        <v>46</v>
      </c>
      <c r="C31" s="34" t="s">
        <v>381</v>
      </c>
      <c r="D31" s="34" t="s">
        <v>501</v>
      </c>
      <c r="E31" s="23"/>
      <c r="F31" s="24">
        <f>F11*0.1+F14*0.1+F17+F20*0.02+F23*0.02+F26*0.04+15</f>
        <v>141.82164999999998</v>
      </c>
      <c r="G31" s="195"/>
      <c r="H31" s="143"/>
      <c r="I31" s="195"/>
      <c r="J31" s="143"/>
      <c r="K31" s="195"/>
      <c r="L31" s="143"/>
      <c r="M31" s="143"/>
    </row>
    <row r="32" spans="1:13" ht="18">
      <c r="A32" s="23"/>
      <c r="B32" s="33"/>
      <c r="C32" s="3" t="s">
        <v>13</v>
      </c>
      <c r="D32" s="3" t="s">
        <v>504</v>
      </c>
      <c r="E32" s="2">
        <v>1</v>
      </c>
      <c r="F32" s="2">
        <f>E32*F31</f>
        <v>141.82164999999998</v>
      </c>
      <c r="G32" s="195"/>
      <c r="H32" s="143"/>
      <c r="I32" s="195"/>
      <c r="J32" s="143">
        <f>I32*F32</f>
        <v>0</v>
      </c>
      <c r="K32" s="195"/>
      <c r="L32" s="143"/>
      <c r="M32" s="143">
        <f>L32+J32+H32</f>
        <v>0</v>
      </c>
    </row>
    <row r="33" spans="1:13" ht="39" customHeight="1">
      <c r="A33" s="3">
        <f>A31+1</f>
        <v>9</v>
      </c>
      <c r="B33" s="747" t="s">
        <v>505</v>
      </c>
      <c r="C33" s="34" t="s">
        <v>276</v>
      </c>
      <c r="D33" s="34" t="s">
        <v>8</v>
      </c>
      <c r="E33" s="23"/>
      <c r="F33" s="24">
        <v>225.92</v>
      </c>
      <c r="G33" s="195"/>
      <c r="H33" s="143"/>
      <c r="I33" s="195"/>
      <c r="J33" s="143"/>
      <c r="K33" s="195"/>
      <c r="L33" s="143"/>
      <c r="M33" s="143"/>
    </row>
    <row r="34" spans="1:13" ht="18">
      <c r="A34" s="23"/>
      <c r="B34" s="33"/>
      <c r="C34" s="3" t="s">
        <v>13</v>
      </c>
      <c r="D34" s="3" t="s">
        <v>504</v>
      </c>
      <c r="E34" s="2">
        <v>0.53</v>
      </c>
      <c r="F34" s="2">
        <f>E34*F33</f>
        <v>119.7376</v>
      </c>
      <c r="G34" s="195"/>
      <c r="H34" s="143"/>
      <c r="I34" s="195"/>
      <c r="J34" s="143">
        <f>I34*F34</f>
        <v>0</v>
      </c>
      <c r="K34" s="195"/>
      <c r="L34" s="143"/>
      <c r="M34" s="143">
        <f>L34+J34+H34</f>
        <v>0</v>
      </c>
    </row>
    <row r="35" spans="1:13" ht="51" customHeight="1">
      <c r="A35" s="3">
        <f>A33+1</f>
        <v>10</v>
      </c>
      <c r="B35" s="140" t="s">
        <v>550</v>
      </c>
      <c r="C35" s="34" t="s">
        <v>283</v>
      </c>
      <c r="D35" s="34" t="s">
        <v>8</v>
      </c>
      <c r="E35" s="23"/>
      <c r="F35" s="24">
        <f>(F17+F20*0.02+F26*0.05)*2+F23*0.02+0.6</f>
        <v>225.91729999999998</v>
      </c>
      <c r="G35" s="195"/>
      <c r="H35" s="143"/>
      <c r="I35" s="195"/>
      <c r="J35" s="143"/>
      <c r="K35" s="195"/>
      <c r="L35" s="143"/>
      <c r="M35" s="143"/>
    </row>
    <row r="36" spans="1:13" ht="15.75">
      <c r="A36" s="23"/>
      <c r="B36" s="697"/>
      <c r="C36" s="3" t="s">
        <v>37</v>
      </c>
      <c r="D36" s="3" t="s">
        <v>8</v>
      </c>
      <c r="E36" s="2">
        <v>1</v>
      </c>
      <c r="F36" s="2">
        <f>E36*F35</f>
        <v>225.91729999999998</v>
      </c>
      <c r="G36" s="195"/>
      <c r="H36" s="143"/>
      <c r="I36" s="195"/>
      <c r="J36" s="143"/>
      <c r="K36" s="195"/>
      <c r="L36" s="143">
        <f>K36*F36</f>
        <v>0</v>
      </c>
      <c r="M36" s="143">
        <f>L36+J36+H36</f>
        <v>0</v>
      </c>
    </row>
    <row r="37" spans="1:16" s="77" customFormat="1" ht="18" customHeight="1">
      <c r="A37" s="23"/>
      <c r="B37" s="35"/>
      <c r="C37" s="181" t="s">
        <v>284</v>
      </c>
      <c r="D37" s="108"/>
      <c r="E37" s="23"/>
      <c r="F37" s="108"/>
      <c r="G37" s="8"/>
      <c r="H37" s="8">
        <f>SUM(H11:H36)</f>
        <v>0</v>
      </c>
      <c r="I37" s="24"/>
      <c r="J37" s="8">
        <f>SUM(J11:J36)</f>
        <v>0</v>
      </c>
      <c r="K37" s="24"/>
      <c r="L37" s="8">
        <f>SUM(L11:L36)</f>
        <v>0</v>
      </c>
      <c r="M37" s="8">
        <f>SUM(M11:M36)</f>
        <v>0</v>
      </c>
      <c r="N37" s="388"/>
      <c r="O37" s="303"/>
      <c r="P37" s="112"/>
    </row>
    <row r="38" spans="1:15" s="510" customFormat="1" ht="18" customHeight="1">
      <c r="A38" s="431" t="s">
        <v>74</v>
      </c>
      <c r="B38" s="498"/>
      <c r="C38" s="509" t="s">
        <v>3</v>
      </c>
      <c r="D38" s="227"/>
      <c r="E38" s="659"/>
      <c r="F38" s="227"/>
      <c r="G38" s="195"/>
      <c r="H38" s="143"/>
      <c r="I38" s="195"/>
      <c r="J38" s="143"/>
      <c r="K38" s="195"/>
      <c r="L38" s="143"/>
      <c r="M38" s="143"/>
      <c r="N38" s="500"/>
      <c r="O38" s="511"/>
    </row>
    <row r="39" spans="1:16" s="313" customFormat="1" ht="54" customHeight="1">
      <c r="A39" s="3">
        <f>A35+1</f>
        <v>11</v>
      </c>
      <c r="B39" s="33" t="s">
        <v>506</v>
      </c>
      <c r="C39" s="34" t="s">
        <v>379</v>
      </c>
      <c r="D39" s="34" t="s">
        <v>501</v>
      </c>
      <c r="E39" s="669"/>
      <c r="F39" s="8">
        <v>5</v>
      </c>
      <c r="G39" s="441"/>
      <c r="H39" s="441"/>
      <c r="I39" s="442"/>
      <c r="J39" s="441"/>
      <c r="K39" s="442"/>
      <c r="L39" s="441"/>
      <c r="M39" s="441"/>
      <c r="N39" s="443"/>
      <c r="P39" s="7"/>
    </row>
    <row r="40" spans="1:16" s="313" customFormat="1" ht="18" customHeight="1">
      <c r="A40" s="441"/>
      <c r="B40" s="698"/>
      <c r="C40" s="3" t="s">
        <v>13</v>
      </c>
      <c r="D40" s="3" t="s">
        <v>504</v>
      </c>
      <c r="E40" s="2">
        <v>8.4</v>
      </c>
      <c r="F40" s="1">
        <f>F39*E40</f>
        <v>42</v>
      </c>
      <c r="G40" s="1"/>
      <c r="H40" s="5"/>
      <c r="I40" s="1"/>
      <c r="J40" s="2">
        <f>I40*F40</f>
        <v>0</v>
      </c>
      <c r="K40" s="1"/>
      <c r="L40" s="2"/>
      <c r="M40" s="2">
        <f aca="true" t="shared" si="0" ref="M40:M47">L40+J40+H40</f>
        <v>0</v>
      </c>
      <c r="N40" s="55"/>
      <c r="P40" s="7"/>
    </row>
    <row r="41" spans="1:14" s="27" customFormat="1" ht="17.25" customHeight="1">
      <c r="A41" s="23"/>
      <c r="B41" s="32"/>
      <c r="C41" s="3" t="s">
        <v>70</v>
      </c>
      <c r="D41" s="3" t="s">
        <v>6</v>
      </c>
      <c r="E41" s="2">
        <v>0.81</v>
      </c>
      <c r="F41" s="2">
        <f>F39*E41</f>
        <v>4.050000000000001</v>
      </c>
      <c r="G41" s="1"/>
      <c r="H41" s="5"/>
      <c r="I41" s="1"/>
      <c r="J41" s="5"/>
      <c r="K41" s="1"/>
      <c r="L41" s="2">
        <f>K41*F41</f>
        <v>0</v>
      </c>
      <c r="M41" s="2">
        <f t="shared" si="0"/>
        <v>0</v>
      </c>
      <c r="N41" s="55"/>
    </row>
    <row r="42" spans="1:16" s="313" customFormat="1" ht="18" customHeight="1">
      <c r="A42" s="441"/>
      <c r="B42" s="32"/>
      <c r="C42" s="3" t="s">
        <v>52</v>
      </c>
      <c r="D42" s="3" t="s">
        <v>504</v>
      </c>
      <c r="E42" s="662">
        <f>101.5/100</f>
        <v>1.015</v>
      </c>
      <c r="F42" s="2">
        <f>E42*F39</f>
        <v>5.074999999999999</v>
      </c>
      <c r="G42" s="1"/>
      <c r="H42" s="2">
        <f aca="true" t="shared" si="1" ref="H42:H47">G42*F42</f>
        <v>0</v>
      </c>
      <c r="I42" s="1"/>
      <c r="J42" s="2"/>
      <c r="K42" s="1"/>
      <c r="L42" s="2"/>
      <c r="M42" s="2">
        <f t="shared" si="0"/>
        <v>0</v>
      </c>
      <c r="N42" s="55"/>
      <c r="P42" s="7"/>
    </row>
    <row r="43" spans="1:14" s="27" customFormat="1" ht="17.25" customHeight="1">
      <c r="A43" s="23"/>
      <c r="B43" s="138"/>
      <c r="C43" s="23" t="s">
        <v>111</v>
      </c>
      <c r="D43" s="3" t="s">
        <v>8</v>
      </c>
      <c r="E43" s="2">
        <v>1.03</v>
      </c>
      <c r="F43" s="671">
        <f>(F39*120)*0.4*3*E43/1000</f>
        <v>0.7416</v>
      </c>
      <c r="G43" s="195"/>
      <c r="H43" s="143">
        <f t="shared" si="1"/>
        <v>0</v>
      </c>
      <c r="I43" s="195"/>
      <c r="J43" s="143"/>
      <c r="K43" s="195"/>
      <c r="L43" s="143"/>
      <c r="M43" s="143">
        <f t="shared" si="0"/>
        <v>0</v>
      </c>
      <c r="N43" s="387"/>
    </row>
    <row r="44" spans="1:16" s="313" customFormat="1" ht="18" customHeight="1">
      <c r="A44" s="441"/>
      <c r="B44" s="698"/>
      <c r="C44" s="3" t="s">
        <v>281</v>
      </c>
      <c r="D44" s="23" t="s">
        <v>42</v>
      </c>
      <c r="E44" s="1">
        <v>5</v>
      </c>
      <c r="F44" s="662">
        <f>SUM(F43:F43)*E44</f>
        <v>3.708</v>
      </c>
      <c r="G44" s="1"/>
      <c r="H44" s="2">
        <f t="shared" si="1"/>
        <v>0</v>
      </c>
      <c r="I44" s="1"/>
      <c r="J44" s="2"/>
      <c r="K44" s="1"/>
      <c r="L44" s="2"/>
      <c r="M44" s="2">
        <f t="shared" si="0"/>
        <v>0</v>
      </c>
      <c r="N44" s="55"/>
      <c r="P44" s="7"/>
    </row>
    <row r="45" spans="1:16" s="313" customFormat="1" ht="18" customHeight="1">
      <c r="A45" s="441"/>
      <c r="B45" s="35"/>
      <c r="C45" s="23" t="s">
        <v>30</v>
      </c>
      <c r="D45" s="3" t="s">
        <v>464</v>
      </c>
      <c r="E45" s="1">
        <f>1.37</f>
        <v>1.37</v>
      </c>
      <c r="F45" s="1">
        <f>F39*E45</f>
        <v>6.8500000000000005</v>
      </c>
      <c r="G45" s="1"/>
      <c r="H45" s="2">
        <f t="shared" si="1"/>
        <v>0</v>
      </c>
      <c r="I45" s="1"/>
      <c r="J45" s="2"/>
      <c r="K45" s="1"/>
      <c r="L45" s="2"/>
      <c r="M45" s="2">
        <f t="shared" si="0"/>
        <v>0</v>
      </c>
      <c r="N45" s="55"/>
      <c r="P45" s="7"/>
    </row>
    <row r="46" spans="1:16" s="313" customFormat="1" ht="18" customHeight="1">
      <c r="A46" s="441"/>
      <c r="B46" s="35"/>
      <c r="C46" s="3" t="s">
        <v>29</v>
      </c>
      <c r="D46" s="3" t="s">
        <v>504</v>
      </c>
      <c r="E46" s="661">
        <f>(0.84+2.56+0.26)/100</f>
        <v>0.0366</v>
      </c>
      <c r="F46" s="1">
        <f>F39*E46</f>
        <v>0.183</v>
      </c>
      <c r="G46" s="1"/>
      <c r="H46" s="2">
        <f t="shared" si="1"/>
        <v>0</v>
      </c>
      <c r="I46" s="1"/>
      <c r="J46" s="2"/>
      <c r="K46" s="1"/>
      <c r="L46" s="2"/>
      <c r="M46" s="2">
        <f t="shared" si="0"/>
        <v>0</v>
      </c>
      <c r="N46" s="55"/>
      <c r="P46" s="7"/>
    </row>
    <row r="47" spans="1:14" s="27" customFormat="1" ht="17.25" customHeight="1">
      <c r="A47" s="23"/>
      <c r="B47" s="32"/>
      <c r="C47" s="3" t="s">
        <v>69</v>
      </c>
      <c r="D47" s="3" t="s">
        <v>6</v>
      </c>
      <c r="E47" s="2">
        <f>39/100</f>
        <v>0.39</v>
      </c>
      <c r="F47" s="2">
        <f>F39*E47</f>
        <v>1.9500000000000002</v>
      </c>
      <c r="G47" s="1"/>
      <c r="H47" s="2">
        <f t="shared" si="1"/>
        <v>0</v>
      </c>
      <c r="I47" s="1"/>
      <c r="J47" s="2"/>
      <c r="K47" s="1"/>
      <c r="L47" s="2"/>
      <c r="M47" s="2">
        <f t="shared" si="0"/>
        <v>0</v>
      </c>
      <c r="N47" s="55"/>
    </row>
    <row r="48" spans="1:15" s="510" customFormat="1" ht="18" customHeight="1">
      <c r="A48" s="431"/>
      <c r="B48" s="498"/>
      <c r="C48" s="509" t="s">
        <v>135</v>
      </c>
      <c r="D48" s="227"/>
      <c r="E48" s="659"/>
      <c r="F48" s="227"/>
      <c r="G48" s="195"/>
      <c r="H48" s="143"/>
      <c r="I48" s="195"/>
      <c r="J48" s="143"/>
      <c r="K48" s="195"/>
      <c r="L48" s="143"/>
      <c r="M48" s="143"/>
      <c r="N48" s="313"/>
      <c r="O48" s="511"/>
    </row>
    <row r="49" spans="1:16" s="490" customFormat="1" ht="39" customHeight="1">
      <c r="A49" s="3">
        <f>A39+1</f>
        <v>12</v>
      </c>
      <c r="B49" s="33" t="s">
        <v>507</v>
      </c>
      <c r="C49" s="130" t="s">
        <v>380</v>
      </c>
      <c r="D49" s="130" t="s">
        <v>463</v>
      </c>
      <c r="E49" s="130"/>
      <c r="F49" s="393">
        <f>(5.9+6.1+3.1+6.1+3.3+3.3+2.3+5.8+1.2+0.5+5.8+2.8+3.4+14)*2.9+(14*1*2.1)</f>
        <v>213.83999999999997</v>
      </c>
      <c r="G49" s="195"/>
      <c r="H49" s="143"/>
      <c r="I49" s="195"/>
      <c r="J49" s="143"/>
      <c r="K49" s="195"/>
      <c r="L49" s="143"/>
      <c r="M49" s="143"/>
      <c r="N49" s="507"/>
      <c r="O49" s="113"/>
      <c r="P49" s="113"/>
    </row>
    <row r="50" spans="1:16" s="490" customFormat="1" ht="17.25" customHeight="1">
      <c r="A50" s="672"/>
      <c r="B50" s="38"/>
      <c r="C50" s="131" t="s">
        <v>13</v>
      </c>
      <c r="D50" s="660" t="s">
        <v>464</v>
      </c>
      <c r="E50" s="21">
        <f>252/100</f>
        <v>2.52</v>
      </c>
      <c r="F50" s="283">
        <f>F49*E50</f>
        <v>538.8767999999999</v>
      </c>
      <c r="G50" s="195"/>
      <c r="H50" s="143"/>
      <c r="I50" s="195"/>
      <c r="J50" s="143">
        <f>I50*F50</f>
        <v>0</v>
      </c>
      <c r="K50" s="195"/>
      <c r="L50" s="143"/>
      <c r="M50" s="143">
        <f aca="true" t="shared" si="2" ref="M50:M60">L50+J50+H50</f>
        <v>0</v>
      </c>
      <c r="N50" s="508"/>
      <c r="O50" s="113"/>
      <c r="P50" s="113"/>
    </row>
    <row r="51" spans="1:14" s="27" customFormat="1" ht="17.25" customHeight="1">
      <c r="A51" s="23"/>
      <c r="B51" s="32"/>
      <c r="C51" s="3" t="s">
        <v>70</v>
      </c>
      <c r="D51" s="3" t="s">
        <v>6</v>
      </c>
      <c r="E51" s="438">
        <f>9.1/100</f>
        <v>0.091</v>
      </c>
      <c r="F51" s="2">
        <f>F49*E51</f>
        <v>19.459439999999997</v>
      </c>
      <c r="G51" s="195"/>
      <c r="H51" s="143"/>
      <c r="I51" s="195"/>
      <c r="J51" s="143"/>
      <c r="K51" s="195"/>
      <c r="L51" s="143">
        <f>K51*F51</f>
        <v>0</v>
      </c>
      <c r="M51" s="143">
        <f t="shared" si="2"/>
        <v>0</v>
      </c>
      <c r="N51" s="387"/>
    </row>
    <row r="52" spans="1:16" s="490" customFormat="1" ht="17.25" customHeight="1">
      <c r="A52" s="672"/>
      <c r="B52" s="38"/>
      <c r="C52" s="748" t="s">
        <v>508</v>
      </c>
      <c r="D52" s="131" t="s">
        <v>7</v>
      </c>
      <c r="E52" s="21">
        <v>0.7</v>
      </c>
      <c r="F52" s="21">
        <f>E52*F49</f>
        <v>149.68799999999996</v>
      </c>
      <c r="G52" s="195"/>
      <c r="H52" s="143">
        <f aca="true" t="shared" si="3" ref="H52:H59">G52*F52</f>
        <v>0</v>
      </c>
      <c r="I52" s="195"/>
      <c r="J52" s="143"/>
      <c r="K52" s="195"/>
      <c r="L52" s="143"/>
      <c r="M52" s="143">
        <f t="shared" si="2"/>
        <v>0</v>
      </c>
      <c r="N52" s="508"/>
      <c r="O52" s="113"/>
      <c r="P52" s="113"/>
    </row>
    <row r="53" spans="1:14" s="27" customFormat="1" ht="17.25" customHeight="1">
      <c r="A53" s="23"/>
      <c r="B53" s="38"/>
      <c r="C53" s="748" t="s">
        <v>509</v>
      </c>
      <c r="D53" s="131" t="s">
        <v>7</v>
      </c>
      <c r="E53" s="21">
        <v>2</v>
      </c>
      <c r="F53" s="21">
        <f>E53*F49</f>
        <v>427.67999999999995</v>
      </c>
      <c r="G53" s="195"/>
      <c r="H53" s="143">
        <f>G53*F53</f>
        <v>0</v>
      </c>
      <c r="I53" s="195"/>
      <c r="J53" s="143"/>
      <c r="K53" s="195"/>
      <c r="L53" s="143"/>
      <c r="M53" s="143">
        <f t="shared" si="2"/>
        <v>0</v>
      </c>
      <c r="N53" s="387"/>
    </row>
    <row r="54" spans="1:14" s="27" customFormat="1" ht="17.25" customHeight="1">
      <c r="A54" s="23"/>
      <c r="B54" s="35"/>
      <c r="C54" s="748" t="s">
        <v>161</v>
      </c>
      <c r="D54" s="3" t="s">
        <v>510</v>
      </c>
      <c r="E54" s="100">
        <v>44</v>
      </c>
      <c r="F54" s="21">
        <f>E54*F49</f>
        <v>9408.96</v>
      </c>
      <c r="G54" s="195"/>
      <c r="H54" s="143">
        <f t="shared" si="3"/>
        <v>0</v>
      </c>
      <c r="I54" s="195"/>
      <c r="J54" s="143"/>
      <c r="K54" s="195"/>
      <c r="L54" s="143"/>
      <c r="M54" s="143">
        <f t="shared" si="2"/>
        <v>0</v>
      </c>
      <c r="N54" s="387"/>
    </row>
    <row r="55" spans="1:14" s="27" customFormat="1" ht="17.25" customHeight="1">
      <c r="A55" s="23"/>
      <c r="B55" s="38"/>
      <c r="C55" s="748" t="s">
        <v>511</v>
      </c>
      <c r="D55" s="3" t="s">
        <v>510</v>
      </c>
      <c r="E55" s="100">
        <v>1.5</v>
      </c>
      <c r="F55" s="21">
        <f>F49*E55</f>
        <v>320.76</v>
      </c>
      <c r="G55" s="195"/>
      <c r="H55" s="143">
        <f t="shared" si="3"/>
        <v>0</v>
      </c>
      <c r="I55" s="195"/>
      <c r="J55" s="143"/>
      <c r="K55" s="195"/>
      <c r="L55" s="143"/>
      <c r="M55" s="143">
        <f t="shared" si="2"/>
        <v>0</v>
      </c>
      <c r="N55" s="387"/>
    </row>
    <row r="56" spans="1:14" s="27" customFormat="1" ht="17.25" customHeight="1">
      <c r="A56" s="23"/>
      <c r="B56" s="38"/>
      <c r="C56" s="131" t="s">
        <v>512</v>
      </c>
      <c r="D56" s="131" t="s">
        <v>7</v>
      </c>
      <c r="E56" s="21">
        <v>1.5</v>
      </c>
      <c r="F56" s="21">
        <f>F49*E56</f>
        <v>320.76</v>
      </c>
      <c r="G56" s="195"/>
      <c r="H56" s="143">
        <f t="shared" si="3"/>
        <v>0</v>
      </c>
      <c r="I56" s="195"/>
      <c r="J56" s="143"/>
      <c r="K56" s="195"/>
      <c r="L56" s="143"/>
      <c r="M56" s="143">
        <f t="shared" si="2"/>
        <v>0</v>
      </c>
      <c r="N56" s="387"/>
    </row>
    <row r="57" spans="1:14" s="27" customFormat="1" ht="17.25" customHeight="1">
      <c r="A57" s="23"/>
      <c r="B57" s="38"/>
      <c r="C57" s="131" t="s">
        <v>513</v>
      </c>
      <c r="D57" s="131" t="s">
        <v>7</v>
      </c>
      <c r="E57" s="21">
        <v>1.2</v>
      </c>
      <c r="F57" s="21">
        <f>E57*F49</f>
        <v>256.60799999999995</v>
      </c>
      <c r="G57" s="195"/>
      <c r="H57" s="143">
        <f t="shared" si="3"/>
        <v>0</v>
      </c>
      <c r="I57" s="195"/>
      <c r="J57" s="143"/>
      <c r="K57" s="195"/>
      <c r="L57" s="143"/>
      <c r="M57" s="143">
        <f t="shared" si="2"/>
        <v>0</v>
      </c>
      <c r="N57" s="387"/>
    </row>
    <row r="58" spans="1:16" s="490" customFormat="1" ht="17.25" customHeight="1">
      <c r="A58" s="672"/>
      <c r="B58" s="38"/>
      <c r="C58" s="3" t="s">
        <v>514</v>
      </c>
      <c r="D58" s="131" t="s">
        <v>464</v>
      </c>
      <c r="E58" s="21">
        <v>1</v>
      </c>
      <c r="F58" s="21">
        <f>E58*F49</f>
        <v>213.83999999999997</v>
      </c>
      <c r="G58" s="195"/>
      <c r="H58" s="143">
        <f t="shared" si="3"/>
        <v>0</v>
      </c>
      <c r="I58" s="195"/>
      <c r="J58" s="143"/>
      <c r="K58" s="195"/>
      <c r="L58" s="143"/>
      <c r="M58" s="143">
        <f t="shared" si="2"/>
        <v>0</v>
      </c>
      <c r="N58" s="508"/>
      <c r="O58" s="113"/>
      <c r="P58" s="113"/>
    </row>
    <row r="59" spans="1:16" s="490" customFormat="1" ht="18">
      <c r="A59" s="672"/>
      <c r="B59" s="38"/>
      <c r="C59" s="131" t="s">
        <v>515</v>
      </c>
      <c r="D59" s="131" t="s">
        <v>464</v>
      </c>
      <c r="E59" s="21">
        <v>4.2</v>
      </c>
      <c r="F59" s="21">
        <f>E59*F49</f>
        <v>898.1279999999999</v>
      </c>
      <c r="G59" s="195"/>
      <c r="H59" s="143">
        <f t="shared" si="3"/>
        <v>0</v>
      </c>
      <c r="I59" s="195"/>
      <c r="J59" s="143"/>
      <c r="K59" s="195"/>
      <c r="L59" s="143"/>
      <c r="M59" s="143">
        <f t="shared" si="2"/>
        <v>0</v>
      </c>
      <c r="N59" s="508"/>
      <c r="O59" s="113"/>
      <c r="P59" s="113"/>
    </row>
    <row r="60" spans="1:16" s="490" customFormat="1" ht="17.25" customHeight="1">
      <c r="A60" s="672"/>
      <c r="B60" s="38"/>
      <c r="C60" s="3" t="s">
        <v>69</v>
      </c>
      <c r="D60" s="3" t="s">
        <v>6</v>
      </c>
      <c r="E60" s="2">
        <f>16.4/100</f>
        <v>0.16399999999999998</v>
      </c>
      <c r="F60" s="2">
        <f>E60*F49</f>
        <v>35.06975999999999</v>
      </c>
      <c r="G60" s="1"/>
      <c r="H60" s="2">
        <f>G60*F60</f>
        <v>0</v>
      </c>
      <c r="I60" s="1"/>
      <c r="J60" s="2"/>
      <c r="K60" s="1"/>
      <c r="L60" s="2"/>
      <c r="M60" s="2">
        <f t="shared" si="2"/>
        <v>0</v>
      </c>
      <c r="N60" s="508"/>
      <c r="O60" s="113"/>
      <c r="P60" s="113"/>
    </row>
    <row r="61" spans="1:16" s="490" customFormat="1" ht="39" customHeight="1">
      <c r="A61" s="3">
        <f>A49+1</f>
        <v>13</v>
      </c>
      <c r="B61" s="33" t="s">
        <v>507</v>
      </c>
      <c r="C61" s="130" t="s">
        <v>247</v>
      </c>
      <c r="D61" s="130" t="s">
        <v>463</v>
      </c>
      <c r="E61" s="130"/>
      <c r="F61" s="393">
        <f>(2+1.3+1+3+5+2.6)*2.9</f>
        <v>43.21</v>
      </c>
      <c r="G61" s="195"/>
      <c r="H61" s="143"/>
      <c r="I61" s="195"/>
      <c r="J61" s="143"/>
      <c r="K61" s="195"/>
      <c r="L61" s="143"/>
      <c r="M61" s="143"/>
      <c r="N61" s="507"/>
      <c r="O61" s="113"/>
      <c r="P61" s="113"/>
    </row>
    <row r="62" spans="1:16" s="490" customFormat="1" ht="17.25" customHeight="1">
      <c r="A62" s="672"/>
      <c r="B62" s="38"/>
      <c r="C62" s="131" t="s">
        <v>13</v>
      </c>
      <c r="D62" s="660" t="s">
        <v>464</v>
      </c>
      <c r="E62" s="21">
        <f>252/100</f>
        <v>2.52</v>
      </c>
      <c r="F62" s="283">
        <f>F61*E62</f>
        <v>108.8892</v>
      </c>
      <c r="G62" s="195"/>
      <c r="H62" s="143"/>
      <c r="I62" s="195"/>
      <c r="J62" s="143">
        <f>I62*F62</f>
        <v>0</v>
      </c>
      <c r="K62" s="195"/>
      <c r="L62" s="143"/>
      <c r="M62" s="143">
        <f aca="true" t="shared" si="4" ref="M62:M72">L62+J62+H62</f>
        <v>0</v>
      </c>
      <c r="N62" s="508"/>
      <c r="O62" s="113"/>
      <c r="P62" s="113"/>
    </row>
    <row r="63" spans="1:14" s="27" customFormat="1" ht="17.25" customHeight="1">
      <c r="A63" s="23"/>
      <c r="B63" s="32"/>
      <c r="C63" s="3" t="s">
        <v>70</v>
      </c>
      <c r="D63" s="3" t="s">
        <v>6</v>
      </c>
      <c r="E63" s="438">
        <f>9.1/100</f>
        <v>0.091</v>
      </c>
      <c r="F63" s="2">
        <f>F61*E63</f>
        <v>3.9321099999999998</v>
      </c>
      <c r="G63" s="195"/>
      <c r="H63" s="143"/>
      <c r="I63" s="195"/>
      <c r="J63" s="143"/>
      <c r="K63" s="195"/>
      <c r="L63" s="143">
        <f>K63*F63</f>
        <v>0</v>
      </c>
      <c r="M63" s="143">
        <f t="shared" si="4"/>
        <v>0</v>
      </c>
      <c r="N63" s="387"/>
    </row>
    <row r="64" spans="1:16" s="490" customFormat="1" ht="17.25" customHeight="1">
      <c r="A64" s="672"/>
      <c r="B64" s="38"/>
      <c r="C64" s="748" t="s">
        <v>508</v>
      </c>
      <c r="D64" s="131" t="s">
        <v>7</v>
      </c>
      <c r="E64" s="21">
        <v>0.7</v>
      </c>
      <c r="F64" s="21">
        <f>E64*F61</f>
        <v>30.247</v>
      </c>
      <c r="G64" s="195"/>
      <c r="H64" s="143">
        <f aca="true" t="shared" si="5" ref="H64:H72">G64*F64</f>
        <v>0</v>
      </c>
      <c r="I64" s="195"/>
      <c r="J64" s="143"/>
      <c r="K64" s="195"/>
      <c r="L64" s="143"/>
      <c r="M64" s="143">
        <f t="shared" si="4"/>
        <v>0</v>
      </c>
      <c r="N64" s="508"/>
      <c r="O64" s="113"/>
      <c r="P64" s="113"/>
    </row>
    <row r="65" spans="1:14" s="27" customFormat="1" ht="17.25" customHeight="1">
      <c r="A65" s="23"/>
      <c r="B65" s="38"/>
      <c r="C65" s="748" t="s">
        <v>509</v>
      </c>
      <c r="D65" s="131" t="s">
        <v>7</v>
      </c>
      <c r="E65" s="21">
        <v>2</v>
      </c>
      <c r="F65" s="21">
        <f>E65*F61</f>
        <v>86.42</v>
      </c>
      <c r="G65" s="195"/>
      <c r="H65" s="143">
        <f t="shared" si="5"/>
        <v>0</v>
      </c>
      <c r="I65" s="195"/>
      <c r="J65" s="143"/>
      <c r="K65" s="195"/>
      <c r="L65" s="143"/>
      <c r="M65" s="143">
        <f t="shared" si="4"/>
        <v>0</v>
      </c>
      <c r="N65" s="387"/>
    </row>
    <row r="66" spans="1:14" s="27" customFormat="1" ht="17.25" customHeight="1">
      <c r="A66" s="23"/>
      <c r="B66" s="35"/>
      <c r="C66" s="748" t="s">
        <v>161</v>
      </c>
      <c r="D66" s="3" t="s">
        <v>510</v>
      </c>
      <c r="E66" s="100">
        <v>44</v>
      </c>
      <c r="F66" s="21">
        <f>F61*E66</f>
        <v>1901.24</v>
      </c>
      <c r="G66" s="195"/>
      <c r="H66" s="143">
        <f t="shared" si="5"/>
        <v>0</v>
      </c>
      <c r="I66" s="195"/>
      <c r="J66" s="143"/>
      <c r="K66" s="195"/>
      <c r="L66" s="143"/>
      <c r="M66" s="143">
        <f t="shared" si="4"/>
        <v>0</v>
      </c>
      <c r="N66" s="387"/>
    </row>
    <row r="67" spans="1:14" s="27" customFormat="1" ht="17.25" customHeight="1">
      <c r="A67" s="23"/>
      <c r="B67" s="38"/>
      <c r="C67" s="748" t="s">
        <v>511</v>
      </c>
      <c r="D67" s="3" t="s">
        <v>510</v>
      </c>
      <c r="E67" s="100">
        <v>1.5</v>
      </c>
      <c r="F67" s="21">
        <f>F61*E67</f>
        <v>64.815</v>
      </c>
      <c r="G67" s="195"/>
      <c r="H67" s="143">
        <f t="shared" si="5"/>
        <v>0</v>
      </c>
      <c r="I67" s="195"/>
      <c r="J67" s="143"/>
      <c r="K67" s="195"/>
      <c r="L67" s="143"/>
      <c r="M67" s="143">
        <f t="shared" si="4"/>
        <v>0</v>
      </c>
      <c r="N67" s="387"/>
    </row>
    <row r="68" spans="1:14" s="27" customFormat="1" ht="17.25" customHeight="1">
      <c r="A68" s="23"/>
      <c r="B68" s="38"/>
      <c r="C68" s="131" t="s">
        <v>512</v>
      </c>
      <c r="D68" s="131" t="s">
        <v>7</v>
      </c>
      <c r="E68" s="21">
        <v>1.5</v>
      </c>
      <c r="F68" s="21">
        <f>E68*F61</f>
        <v>64.815</v>
      </c>
      <c r="G68" s="195"/>
      <c r="H68" s="143">
        <f t="shared" si="5"/>
        <v>0</v>
      </c>
      <c r="I68" s="195"/>
      <c r="J68" s="143"/>
      <c r="K68" s="195"/>
      <c r="L68" s="143"/>
      <c r="M68" s="143">
        <f t="shared" si="4"/>
        <v>0</v>
      </c>
      <c r="N68" s="387"/>
    </row>
    <row r="69" spans="1:16" s="490" customFormat="1" ht="17.25" customHeight="1">
      <c r="A69" s="672"/>
      <c r="B69" s="38"/>
      <c r="C69" s="131" t="s">
        <v>513</v>
      </c>
      <c r="D69" s="131" t="s">
        <v>7</v>
      </c>
      <c r="E69" s="21">
        <v>1.2</v>
      </c>
      <c r="F69" s="21">
        <f>E69*F61</f>
        <v>51.852</v>
      </c>
      <c r="G69" s="195"/>
      <c r="H69" s="143">
        <f t="shared" si="5"/>
        <v>0</v>
      </c>
      <c r="I69" s="195"/>
      <c r="J69" s="143"/>
      <c r="K69" s="195"/>
      <c r="L69" s="143"/>
      <c r="M69" s="143">
        <f t="shared" si="4"/>
        <v>0</v>
      </c>
      <c r="N69" s="508"/>
      <c r="O69" s="113"/>
      <c r="P69" s="113"/>
    </row>
    <row r="70" spans="1:16" s="490" customFormat="1" ht="18">
      <c r="A70" s="672"/>
      <c r="B70" s="38"/>
      <c r="C70" s="3" t="s">
        <v>514</v>
      </c>
      <c r="D70" s="131" t="s">
        <v>464</v>
      </c>
      <c r="E70" s="21">
        <v>1</v>
      </c>
      <c r="F70" s="21">
        <f>E70*F61</f>
        <v>43.21</v>
      </c>
      <c r="G70" s="195"/>
      <c r="H70" s="143">
        <f t="shared" si="5"/>
        <v>0</v>
      </c>
      <c r="I70" s="195"/>
      <c r="J70" s="143"/>
      <c r="K70" s="195"/>
      <c r="L70" s="143"/>
      <c r="M70" s="143">
        <f t="shared" si="4"/>
        <v>0</v>
      </c>
      <c r="N70" s="508"/>
      <c r="O70" s="113"/>
      <c r="P70" s="113"/>
    </row>
    <row r="71" spans="1:16" s="490" customFormat="1" ht="18">
      <c r="A71" s="672"/>
      <c r="B71" s="38"/>
      <c r="C71" s="131" t="s">
        <v>515</v>
      </c>
      <c r="D71" s="131" t="s">
        <v>464</v>
      </c>
      <c r="E71" s="21">
        <v>4.2</v>
      </c>
      <c r="F71" s="21">
        <f>E71*F61</f>
        <v>181.482</v>
      </c>
      <c r="G71" s="195"/>
      <c r="H71" s="143">
        <f t="shared" si="5"/>
        <v>0</v>
      </c>
      <c r="I71" s="195"/>
      <c r="J71" s="143"/>
      <c r="K71" s="195"/>
      <c r="L71" s="143"/>
      <c r="M71" s="143">
        <f t="shared" si="4"/>
        <v>0</v>
      </c>
      <c r="N71" s="508"/>
      <c r="O71" s="113"/>
      <c r="P71" s="113"/>
    </row>
    <row r="72" spans="1:16" s="490" customFormat="1" ht="17.25" customHeight="1">
      <c r="A72" s="672"/>
      <c r="B72" s="38"/>
      <c r="C72" s="3" t="s">
        <v>69</v>
      </c>
      <c r="D72" s="3" t="s">
        <v>6</v>
      </c>
      <c r="E72" s="2">
        <f>16.4/100</f>
        <v>0.16399999999999998</v>
      </c>
      <c r="F72" s="21">
        <f>E72*F61</f>
        <v>7.08644</v>
      </c>
      <c r="G72" s="1"/>
      <c r="H72" s="143">
        <f t="shared" si="5"/>
        <v>0</v>
      </c>
      <c r="I72" s="195"/>
      <c r="J72" s="143"/>
      <c r="K72" s="195"/>
      <c r="L72" s="143"/>
      <c r="M72" s="143">
        <f t="shared" si="4"/>
        <v>0</v>
      </c>
      <c r="N72" s="508"/>
      <c r="O72" s="113"/>
      <c r="P72" s="113"/>
    </row>
    <row r="73" spans="1:16" s="77" customFormat="1" ht="18" customHeight="1">
      <c r="A73" s="23"/>
      <c r="B73" s="35"/>
      <c r="C73" s="181" t="s">
        <v>90</v>
      </c>
      <c r="D73" s="108"/>
      <c r="E73" s="23"/>
      <c r="F73" s="108"/>
      <c r="G73" s="8"/>
      <c r="H73" s="8">
        <f>SUM(H39:H72)</f>
        <v>0</v>
      </c>
      <c r="I73" s="24"/>
      <c r="J73" s="8">
        <f>SUM(J39:J72)</f>
        <v>0</v>
      </c>
      <c r="K73" s="24"/>
      <c r="L73" s="8">
        <f>SUM(L39:L72)</f>
        <v>0</v>
      </c>
      <c r="M73" s="8">
        <f>SUM(M39:M72)</f>
        <v>0</v>
      </c>
      <c r="N73" s="388"/>
      <c r="O73" s="303"/>
      <c r="P73" s="112"/>
    </row>
    <row r="74" spans="1:15" s="510" customFormat="1" ht="18" customHeight="1">
      <c r="A74" s="431" t="s">
        <v>181</v>
      </c>
      <c r="B74" s="498"/>
      <c r="C74" s="509" t="s">
        <v>40</v>
      </c>
      <c r="D74" s="227"/>
      <c r="E74" s="659"/>
      <c r="F74" s="227"/>
      <c r="G74" s="195"/>
      <c r="H74" s="143"/>
      <c r="I74" s="195"/>
      <c r="J74" s="143"/>
      <c r="K74" s="195"/>
      <c r="L74" s="143"/>
      <c r="M74" s="143"/>
      <c r="N74" s="500"/>
      <c r="O74" s="511"/>
    </row>
    <row r="75" spans="1:16" s="510" customFormat="1" ht="18" customHeight="1">
      <c r="A75" s="659"/>
      <c r="B75" s="498"/>
      <c r="C75" s="509" t="s">
        <v>277</v>
      </c>
      <c r="D75" s="509"/>
      <c r="E75" s="227"/>
      <c r="F75" s="227"/>
      <c r="G75" s="673"/>
      <c r="H75" s="195"/>
      <c r="I75" s="143"/>
      <c r="J75" s="195"/>
      <c r="K75" s="143"/>
      <c r="L75" s="195"/>
      <c r="M75" s="143"/>
      <c r="N75" s="143"/>
      <c r="P75" s="511"/>
    </row>
    <row r="76" spans="1:14" s="372" customFormat="1" ht="36" customHeight="1">
      <c r="A76" s="3">
        <f>A61+1</f>
        <v>14</v>
      </c>
      <c r="B76" s="33" t="s">
        <v>444</v>
      </c>
      <c r="C76" s="34" t="s">
        <v>445</v>
      </c>
      <c r="D76" s="34" t="s">
        <v>463</v>
      </c>
      <c r="E76" s="1"/>
      <c r="F76" s="24">
        <f>F80</f>
        <v>821.51</v>
      </c>
      <c r="G76" s="195"/>
      <c r="H76" s="143"/>
      <c r="I76" s="195"/>
      <c r="J76" s="143"/>
      <c r="K76" s="195"/>
      <c r="L76" s="143"/>
      <c r="M76" s="143"/>
      <c r="N76" s="386"/>
    </row>
    <row r="77" spans="1:14" s="27" customFormat="1" ht="17.25" customHeight="1">
      <c r="A77" s="23"/>
      <c r="B77" s="32"/>
      <c r="C77" s="3" t="s">
        <v>13</v>
      </c>
      <c r="D77" s="131" t="s">
        <v>139</v>
      </c>
      <c r="E77" s="438">
        <v>0.271</v>
      </c>
      <c r="F77" s="1">
        <f>F76*E77</f>
        <v>222.62921</v>
      </c>
      <c r="G77" s="195"/>
      <c r="H77" s="143"/>
      <c r="I77" s="195"/>
      <c r="J77" s="143">
        <f>I77*F77</f>
        <v>0</v>
      </c>
      <c r="K77" s="195"/>
      <c r="L77" s="143"/>
      <c r="M77" s="143">
        <f>L77+J77+H77</f>
        <v>0</v>
      </c>
      <c r="N77" s="387"/>
    </row>
    <row r="78" spans="1:14" s="27" customFormat="1" ht="17.25" customHeight="1">
      <c r="A78" s="23"/>
      <c r="B78" s="32"/>
      <c r="C78" s="3" t="s">
        <v>70</v>
      </c>
      <c r="D78" s="3" t="s">
        <v>6</v>
      </c>
      <c r="E78" s="438">
        <f>2.3/100</f>
        <v>0.023</v>
      </c>
      <c r="F78" s="2">
        <f>F76*E78</f>
        <v>18.89473</v>
      </c>
      <c r="G78" s="195"/>
      <c r="H78" s="143"/>
      <c r="I78" s="195"/>
      <c r="J78" s="143"/>
      <c r="K78" s="195"/>
      <c r="L78" s="143">
        <f>K78*F78</f>
        <v>0</v>
      </c>
      <c r="M78" s="143">
        <f>L78+J78+H78</f>
        <v>0</v>
      </c>
      <c r="N78" s="387"/>
    </row>
    <row r="79" spans="1:14" s="27" customFormat="1" ht="17.25" customHeight="1">
      <c r="A79" s="23"/>
      <c r="B79" s="32"/>
      <c r="C79" s="3" t="s">
        <v>446</v>
      </c>
      <c r="D79" s="3" t="s">
        <v>464</v>
      </c>
      <c r="E79" s="2">
        <v>1.03</v>
      </c>
      <c r="F79" s="2">
        <f>E79*F76</f>
        <v>846.1553</v>
      </c>
      <c r="G79" s="195"/>
      <c r="H79" s="143">
        <f>G79*F79</f>
        <v>0</v>
      </c>
      <c r="I79" s="195"/>
      <c r="J79" s="143"/>
      <c r="K79" s="195"/>
      <c r="L79" s="143"/>
      <c r="M79" s="143">
        <f>L79+J79+H79</f>
        <v>0</v>
      </c>
      <c r="N79" s="387"/>
    </row>
    <row r="80" spans="1:14" s="372" customFormat="1" ht="36" customHeight="1">
      <c r="A80" s="3">
        <f>A76+1</f>
        <v>15</v>
      </c>
      <c r="B80" s="33" t="s">
        <v>15</v>
      </c>
      <c r="C80" s="34" t="s">
        <v>113</v>
      </c>
      <c r="D80" s="34" t="s">
        <v>463</v>
      </c>
      <c r="E80" s="8"/>
      <c r="F80" s="8">
        <f>F95+F102+F115+F126</f>
        <v>821.51</v>
      </c>
      <c r="G80" s="195"/>
      <c r="H80" s="143"/>
      <c r="I80" s="195"/>
      <c r="J80" s="143"/>
      <c r="K80" s="195"/>
      <c r="L80" s="143"/>
      <c r="M80" s="143"/>
      <c r="N80" s="386"/>
    </row>
    <row r="81" spans="1:14" s="27" customFormat="1" ht="18" customHeight="1">
      <c r="A81" s="23"/>
      <c r="B81" s="35"/>
      <c r="C81" s="23" t="s">
        <v>13</v>
      </c>
      <c r="D81" s="131" t="s">
        <v>139</v>
      </c>
      <c r="E81" s="671">
        <f>(18.8+0.34*4)*0.01</f>
        <v>0.2016</v>
      </c>
      <c r="F81" s="2">
        <f>F80*E81</f>
        <v>165.616416</v>
      </c>
      <c r="G81" s="195"/>
      <c r="H81" s="143"/>
      <c r="I81" s="195"/>
      <c r="J81" s="143">
        <f>I81*F81</f>
        <v>0</v>
      </c>
      <c r="K81" s="195"/>
      <c r="L81" s="143"/>
      <c r="M81" s="143">
        <f>L81+J81+H81</f>
        <v>0</v>
      </c>
      <c r="N81" s="387"/>
    </row>
    <row r="82" spans="1:14" s="27" customFormat="1" ht="18" customHeight="1">
      <c r="A82" s="23"/>
      <c r="B82" s="32"/>
      <c r="C82" s="3" t="s">
        <v>70</v>
      </c>
      <c r="D82" s="3" t="s">
        <v>6</v>
      </c>
      <c r="E82" s="671">
        <f>(0.95+0.23*4)/100</f>
        <v>0.0187</v>
      </c>
      <c r="F82" s="2">
        <f>F80*E82</f>
        <v>15.362237</v>
      </c>
      <c r="G82" s="195"/>
      <c r="H82" s="143"/>
      <c r="I82" s="195"/>
      <c r="J82" s="143"/>
      <c r="K82" s="195"/>
      <c r="L82" s="143">
        <f>K82*F82</f>
        <v>0</v>
      </c>
      <c r="M82" s="143">
        <f>L82+J82+H82</f>
        <v>0</v>
      </c>
      <c r="N82" s="387"/>
    </row>
    <row r="83" spans="1:14" s="27" customFormat="1" ht="18" customHeight="1">
      <c r="A83" s="23"/>
      <c r="B83" s="32"/>
      <c r="C83" s="23" t="s">
        <v>45</v>
      </c>
      <c r="D83" s="23" t="s">
        <v>504</v>
      </c>
      <c r="E83" s="671">
        <f>(2.04+0.51*4)/100</f>
        <v>0.0408</v>
      </c>
      <c r="F83" s="2">
        <f>F80*E83</f>
        <v>33.517608</v>
      </c>
      <c r="G83" s="195"/>
      <c r="H83" s="143"/>
      <c r="I83" s="195"/>
      <c r="J83" s="143"/>
      <c r="K83" s="195"/>
      <c r="L83" s="143"/>
      <c r="M83" s="143"/>
      <c r="N83" s="387"/>
    </row>
    <row r="84" spans="1:14" s="77" customFormat="1" ht="18" customHeight="1">
      <c r="A84" s="3"/>
      <c r="B84" s="32"/>
      <c r="C84" s="23" t="s">
        <v>43</v>
      </c>
      <c r="D84" s="23" t="s">
        <v>504</v>
      </c>
      <c r="E84" s="2">
        <v>1.21</v>
      </c>
      <c r="F84" s="2">
        <f>F83*E84</f>
        <v>40.55630568</v>
      </c>
      <c r="G84" s="195"/>
      <c r="H84" s="143">
        <f>G84*F84</f>
        <v>0</v>
      </c>
      <c r="I84" s="195"/>
      <c r="J84" s="143"/>
      <c r="K84" s="195"/>
      <c r="L84" s="143"/>
      <c r="M84" s="143">
        <f>L84+J84+H84</f>
        <v>0</v>
      </c>
      <c r="N84" s="389"/>
    </row>
    <row r="85" spans="1:14" s="77" customFormat="1" ht="18" customHeight="1">
      <c r="A85" s="3"/>
      <c r="B85" s="32"/>
      <c r="C85" s="23" t="s">
        <v>44</v>
      </c>
      <c r="D85" s="23" t="s">
        <v>8</v>
      </c>
      <c r="E85" s="438">
        <v>0.304</v>
      </c>
      <c r="F85" s="2">
        <f>E85*F83</f>
        <v>10.189352832</v>
      </c>
      <c r="G85" s="195"/>
      <c r="H85" s="143">
        <f>G85*F85</f>
        <v>0</v>
      </c>
      <c r="I85" s="195"/>
      <c r="J85" s="143"/>
      <c r="K85" s="195"/>
      <c r="L85" s="143"/>
      <c r="M85" s="143">
        <f>L85+J85+H85</f>
        <v>0</v>
      </c>
      <c r="N85" s="389"/>
    </row>
    <row r="86" spans="1:14" s="27" customFormat="1" ht="18" customHeight="1">
      <c r="A86" s="23"/>
      <c r="B86" s="32"/>
      <c r="C86" s="3" t="s">
        <v>69</v>
      </c>
      <c r="D86" s="3" t="s">
        <v>6</v>
      </c>
      <c r="E86" s="671">
        <v>0.0636</v>
      </c>
      <c r="F86" s="2">
        <f>F80*E86</f>
        <v>52.248036</v>
      </c>
      <c r="G86" s="195"/>
      <c r="H86" s="143">
        <f>G86*F86</f>
        <v>0</v>
      </c>
      <c r="I86" s="195"/>
      <c r="J86" s="143"/>
      <c r="K86" s="195"/>
      <c r="L86" s="143"/>
      <c r="M86" s="143">
        <f>L86+J86+H86</f>
        <v>0</v>
      </c>
      <c r="N86" s="387"/>
    </row>
    <row r="87" spans="1:16" s="313" customFormat="1" ht="39" customHeight="1">
      <c r="A87" s="3">
        <f>A80+1</f>
        <v>16</v>
      </c>
      <c r="B87" s="33" t="s">
        <v>516</v>
      </c>
      <c r="C87" s="34" t="s">
        <v>331</v>
      </c>
      <c r="D87" s="34" t="s">
        <v>463</v>
      </c>
      <c r="E87" s="670"/>
      <c r="F87" s="8">
        <f>F102</f>
        <v>45.8</v>
      </c>
      <c r="G87" s="195"/>
      <c r="H87" s="143"/>
      <c r="I87" s="195"/>
      <c r="J87" s="143"/>
      <c r="K87" s="195"/>
      <c r="L87" s="143"/>
      <c r="M87" s="143"/>
      <c r="N87" s="512"/>
      <c r="P87" s="7"/>
    </row>
    <row r="88" spans="1:16" s="313" customFormat="1" ht="18" customHeight="1">
      <c r="A88" s="3"/>
      <c r="B88" s="698"/>
      <c r="C88" s="23" t="s">
        <v>13</v>
      </c>
      <c r="D88" s="23" t="s">
        <v>139</v>
      </c>
      <c r="E88" s="438">
        <f>33.6/100</f>
        <v>0.336</v>
      </c>
      <c r="F88" s="1">
        <f>F87*E88</f>
        <v>15.3888</v>
      </c>
      <c r="G88" s="195"/>
      <c r="H88" s="143"/>
      <c r="I88" s="195"/>
      <c r="J88" s="143">
        <f>I88*F88</f>
        <v>0</v>
      </c>
      <c r="K88" s="195"/>
      <c r="L88" s="143"/>
      <c r="M88" s="143">
        <f>L88+J88+H88</f>
        <v>0</v>
      </c>
      <c r="N88" s="513"/>
      <c r="P88" s="7"/>
    </row>
    <row r="89" spans="1:16" s="313" customFormat="1" ht="18" customHeight="1">
      <c r="A89" s="3"/>
      <c r="B89" s="698"/>
      <c r="C89" s="3" t="s">
        <v>70</v>
      </c>
      <c r="D89" s="3" t="s">
        <v>6</v>
      </c>
      <c r="E89" s="438">
        <f>1.5/100</f>
        <v>0.015</v>
      </c>
      <c r="F89" s="2">
        <f>F87*E89</f>
        <v>0.6869999999999999</v>
      </c>
      <c r="G89" s="195"/>
      <c r="H89" s="143"/>
      <c r="I89" s="195"/>
      <c r="J89" s="143"/>
      <c r="K89" s="195"/>
      <c r="L89" s="143">
        <f>K89*F89</f>
        <v>0</v>
      </c>
      <c r="M89" s="143">
        <f>L89+J89+H89</f>
        <v>0</v>
      </c>
      <c r="N89" s="513"/>
      <c r="P89" s="7"/>
    </row>
    <row r="90" spans="1:16" s="313" customFormat="1" ht="18" customHeight="1">
      <c r="A90" s="3"/>
      <c r="B90" s="35"/>
      <c r="C90" s="23" t="s">
        <v>517</v>
      </c>
      <c r="D90" s="23" t="s">
        <v>8</v>
      </c>
      <c r="E90" s="671">
        <f>0.24/100</f>
        <v>0.0024</v>
      </c>
      <c r="F90" s="2">
        <f>F87*E90</f>
        <v>0.10991999999999999</v>
      </c>
      <c r="G90" s="195"/>
      <c r="H90" s="143">
        <f>G90*F90</f>
        <v>0</v>
      </c>
      <c r="I90" s="195"/>
      <c r="J90" s="143"/>
      <c r="K90" s="195"/>
      <c r="L90" s="143"/>
      <c r="M90" s="143">
        <f>L90+J90+H90</f>
        <v>0</v>
      </c>
      <c r="N90" s="513"/>
      <c r="P90" s="7"/>
    </row>
    <row r="91" spans="1:14" s="27" customFormat="1" ht="18" customHeight="1">
      <c r="A91" s="23"/>
      <c r="B91" s="32"/>
      <c r="C91" s="3" t="s">
        <v>69</v>
      </c>
      <c r="D91" s="3" t="s">
        <v>6</v>
      </c>
      <c r="E91" s="671">
        <f>2.28/100</f>
        <v>0.022799999999999997</v>
      </c>
      <c r="F91" s="2">
        <f>F87*E91</f>
        <v>1.0442399999999998</v>
      </c>
      <c r="G91" s="195"/>
      <c r="H91" s="143">
        <f>G91*F91</f>
        <v>0</v>
      </c>
      <c r="I91" s="195"/>
      <c r="J91" s="143"/>
      <c r="K91" s="195"/>
      <c r="L91" s="143"/>
      <c r="M91" s="143">
        <f>L91+J91+H91</f>
        <v>0</v>
      </c>
      <c r="N91" s="387"/>
    </row>
    <row r="92" spans="1:14" s="27" customFormat="1" ht="24" customHeight="1">
      <c r="A92" s="3">
        <f>A87+1</f>
        <v>17</v>
      </c>
      <c r="B92" s="33" t="s">
        <v>46</v>
      </c>
      <c r="C92" s="34" t="s">
        <v>470</v>
      </c>
      <c r="D92" s="34" t="s">
        <v>463</v>
      </c>
      <c r="E92" s="8"/>
      <c r="F92" s="8">
        <f>1.75+2.45</f>
        <v>4.2</v>
      </c>
      <c r="G92" s="195"/>
      <c r="H92" s="143"/>
      <c r="I92" s="195"/>
      <c r="J92" s="143"/>
      <c r="K92" s="195"/>
      <c r="L92" s="143"/>
      <c r="M92" s="143"/>
      <c r="N92" s="386"/>
    </row>
    <row r="93" spans="1:14" s="27" customFormat="1" ht="17.25" customHeight="1">
      <c r="A93" s="23"/>
      <c r="B93" s="35"/>
      <c r="C93" s="23" t="s">
        <v>13</v>
      </c>
      <c r="D93" s="23" t="s">
        <v>464</v>
      </c>
      <c r="E93" s="2">
        <v>1</v>
      </c>
      <c r="F93" s="2">
        <f>F92*E93</f>
        <v>4.2</v>
      </c>
      <c r="G93" s="195"/>
      <c r="H93" s="143"/>
      <c r="I93" s="195"/>
      <c r="J93" s="143">
        <f>I93*F93</f>
        <v>0</v>
      </c>
      <c r="K93" s="195"/>
      <c r="L93" s="143"/>
      <c r="M93" s="143">
        <f>L93+J93+H93</f>
        <v>0</v>
      </c>
      <c r="N93" s="387"/>
    </row>
    <row r="94" spans="1:14" s="27" customFormat="1" ht="18" customHeight="1">
      <c r="A94" s="23"/>
      <c r="B94" s="35"/>
      <c r="C94" s="3" t="s">
        <v>382</v>
      </c>
      <c r="D94" s="23" t="s">
        <v>464</v>
      </c>
      <c r="E94" s="2">
        <v>1</v>
      </c>
      <c r="F94" s="2">
        <f>E94*F92</f>
        <v>4.2</v>
      </c>
      <c r="G94" s="195"/>
      <c r="H94" s="143">
        <f>G94*F94</f>
        <v>0</v>
      </c>
      <c r="I94" s="195"/>
      <c r="J94" s="143"/>
      <c r="K94" s="195"/>
      <c r="L94" s="143"/>
      <c r="M94" s="143">
        <f>L94+J94+H94</f>
        <v>0</v>
      </c>
      <c r="N94" s="387"/>
    </row>
    <row r="95" spans="1:14" s="27" customFormat="1" ht="36" customHeight="1">
      <c r="A95" s="3">
        <f>A92+1</f>
        <v>18</v>
      </c>
      <c r="B95" s="33" t="s">
        <v>16</v>
      </c>
      <c r="C95" s="34" t="s">
        <v>137</v>
      </c>
      <c r="D95" s="34" t="s">
        <v>463</v>
      </c>
      <c r="E95" s="8"/>
      <c r="F95" s="8">
        <f>197.2+1.75+2.5</f>
        <v>201.45</v>
      </c>
      <c r="G95" s="195"/>
      <c r="H95" s="143"/>
      <c r="I95" s="195"/>
      <c r="J95" s="143"/>
      <c r="K95" s="195"/>
      <c r="L95" s="143"/>
      <c r="M95" s="143"/>
      <c r="N95" s="386"/>
    </row>
    <row r="96" spans="1:14" s="27" customFormat="1" ht="17.25" customHeight="1">
      <c r="A96" s="23"/>
      <c r="B96" s="35"/>
      <c r="C96" s="23" t="s">
        <v>13</v>
      </c>
      <c r="D96" s="131" t="s">
        <v>139</v>
      </c>
      <c r="E96" s="2">
        <f>108*0.01</f>
        <v>1.08</v>
      </c>
      <c r="F96" s="2">
        <f>F95*E96</f>
        <v>217.566</v>
      </c>
      <c r="G96" s="195"/>
      <c r="H96" s="143"/>
      <c r="I96" s="195"/>
      <c r="J96" s="143">
        <f>I96*F96</f>
        <v>0</v>
      </c>
      <c r="K96" s="195"/>
      <c r="L96" s="143"/>
      <c r="M96" s="143">
        <f aca="true" t="shared" si="6" ref="M96:M101">L96+J96+H96</f>
        <v>0</v>
      </c>
      <c r="N96" s="387"/>
    </row>
    <row r="97" spans="1:14" s="27" customFormat="1" ht="17.25" customHeight="1">
      <c r="A97" s="23"/>
      <c r="B97" s="32"/>
      <c r="C97" s="3" t="s">
        <v>70</v>
      </c>
      <c r="D97" s="3" t="s">
        <v>6</v>
      </c>
      <c r="E97" s="671">
        <v>0.0452</v>
      </c>
      <c r="F97" s="2">
        <f>F95*E97</f>
        <v>9.10554</v>
      </c>
      <c r="G97" s="195"/>
      <c r="H97" s="143"/>
      <c r="I97" s="195"/>
      <c r="J97" s="143"/>
      <c r="K97" s="195"/>
      <c r="L97" s="143">
        <f>K97*F97</f>
        <v>0</v>
      </c>
      <c r="M97" s="143">
        <f t="shared" si="6"/>
        <v>0</v>
      </c>
      <c r="N97" s="387"/>
    </row>
    <row r="98" spans="1:14" s="27" customFormat="1" ht="17.25" customHeight="1">
      <c r="A98" s="23"/>
      <c r="B98" s="32"/>
      <c r="C98" s="23" t="s">
        <v>28</v>
      </c>
      <c r="D98" s="23" t="s">
        <v>42</v>
      </c>
      <c r="E98" s="2">
        <v>5</v>
      </c>
      <c r="F98" s="2">
        <f>F95*E98</f>
        <v>1007.25</v>
      </c>
      <c r="G98" s="195"/>
      <c r="H98" s="143">
        <f>G98*F98</f>
        <v>0</v>
      </c>
      <c r="I98" s="195"/>
      <c r="J98" s="143"/>
      <c r="K98" s="195"/>
      <c r="L98" s="143"/>
      <c r="M98" s="143">
        <f t="shared" si="6"/>
        <v>0</v>
      </c>
      <c r="N98" s="387"/>
    </row>
    <row r="99" spans="1:14" s="27" customFormat="1" ht="17.25" customHeight="1">
      <c r="A99" s="23"/>
      <c r="B99" s="35"/>
      <c r="C99" s="23" t="s">
        <v>195</v>
      </c>
      <c r="D99" s="23" t="s">
        <v>464</v>
      </c>
      <c r="E99" s="2">
        <v>1.02</v>
      </c>
      <c r="F99" s="2">
        <f>E99*F95</f>
        <v>205.47899999999998</v>
      </c>
      <c r="G99" s="195"/>
      <c r="H99" s="143">
        <f>G99*F99</f>
        <v>0</v>
      </c>
      <c r="I99" s="195"/>
      <c r="J99" s="143"/>
      <c r="K99" s="195"/>
      <c r="L99" s="143"/>
      <c r="M99" s="143">
        <f t="shared" si="6"/>
        <v>0</v>
      </c>
      <c r="N99" s="387"/>
    </row>
    <row r="100" spans="1:14" s="27" customFormat="1" ht="17.25" customHeight="1">
      <c r="A100" s="23"/>
      <c r="B100" s="35"/>
      <c r="C100" s="23" t="s">
        <v>159</v>
      </c>
      <c r="D100" s="23" t="s">
        <v>42</v>
      </c>
      <c r="E100" s="2">
        <v>0.3</v>
      </c>
      <c r="F100" s="2">
        <f>E100*F95</f>
        <v>60.434999999999995</v>
      </c>
      <c r="G100" s="195"/>
      <c r="H100" s="143">
        <f>G100*F100</f>
        <v>0</v>
      </c>
      <c r="I100" s="195"/>
      <c r="J100" s="143"/>
      <c r="K100" s="195"/>
      <c r="L100" s="143"/>
      <c r="M100" s="143">
        <f t="shared" si="6"/>
        <v>0</v>
      </c>
      <c r="N100" s="387"/>
    </row>
    <row r="101" spans="1:14" s="27" customFormat="1" ht="17.25" customHeight="1">
      <c r="A101" s="23"/>
      <c r="B101" s="32"/>
      <c r="C101" s="3" t="s">
        <v>69</v>
      </c>
      <c r="D101" s="3" t="s">
        <v>6</v>
      </c>
      <c r="E101" s="671">
        <v>0.0466</v>
      </c>
      <c r="F101" s="2">
        <f>F95*E101</f>
        <v>9.38757</v>
      </c>
      <c r="G101" s="195"/>
      <c r="H101" s="143">
        <f>G101*F101</f>
        <v>0</v>
      </c>
      <c r="I101" s="195"/>
      <c r="J101" s="143"/>
      <c r="K101" s="195"/>
      <c r="L101" s="143"/>
      <c r="M101" s="143">
        <f t="shared" si="6"/>
        <v>0</v>
      </c>
      <c r="N101" s="387"/>
    </row>
    <row r="102" spans="1:14" s="27" customFormat="1" ht="24" customHeight="1">
      <c r="A102" s="3">
        <f>A95+1</f>
        <v>19</v>
      </c>
      <c r="B102" s="33" t="s">
        <v>16</v>
      </c>
      <c r="C102" s="34" t="s">
        <v>447</v>
      </c>
      <c r="D102" s="34" t="s">
        <v>463</v>
      </c>
      <c r="E102" s="8"/>
      <c r="F102" s="8">
        <v>45.8</v>
      </c>
      <c r="G102" s="195"/>
      <c r="H102" s="143"/>
      <c r="I102" s="195"/>
      <c r="J102" s="143"/>
      <c r="K102" s="195"/>
      <c r="L102" s="143"/>
      <c r="M102" s="143"/>
      <c r="N102" s="386"/>
    </row>
    <row r="103" spans="1:14" s="27" customFormat="1" ht="17.25" customHeight="1">
      <c r="A103" s="23"/>
      <c r="B103" s="35"/>
      <c r="C103" s="23" t="s">
        <v>13</v>
      </c>
      <c r="D103" s="131" t="s">
        <v>139</v>
      </c>
      <c r="E103" s="2">
        <f>108*0.01</f>
        <v>1.08</v>
      </c>
      <c r="F103" s="2">
        <f>F102*E103</f>
        <v>49.464</v>
      </c>
      <c r="G103" s="195"/>
      <c r="H103" s="143"/>
      <c r="I103" s="195"/>
      <c r="J103" s="143">
        <f>I103*F103</f>
        <v>0</v>
      </c>
      <c r="K103" s="195"/>
      <c r="L103" s="143"/>
      <c r="M103" s="143">
        <f aca="true" t="shared" si="7" ref="M103:M108">L103+J103+H103</f>
        <v>0</v>
      </c>
      <c r="N103" s="387"/>
    </row>
    <row r="104" spans="1:14" s="27" customFormat="1" ht="17.25" customHeight="1">
      <c r="A104" s="23"/>
      <c r="B104" s="32"/>
      <c r="C104" s="3" t="s">
        <v>70</v>
      </c>
      <c r="D104" s="3" t="s">
        <v>6</v>
      </c>
      <c r="E104" s="671">
        <v>0.0452</v>
      </c>
      <c r="F104" s="2">
        <f>F102*E104</f>
        <v>2.0701599999999996</v>
      </c>
      <c r="G104" s="195"/>
      <c r="H104" s="143"/>
      <c r="I104" s="195"/>
      <c r="J104" s="143"/>
      <c r="K104" s="195"/>
      <c r="L104" s="143">
        <f>K104*F104</f>
        <v>0</v>
      </c>
      <c r="M104" s="143">
        <f t="shared" si="7"/>
        <v>0</v>
      </c>
      <c r="N104" s="387"/>
    </row>
    <row r="105" spans="1:14" s="27" customFormat="1" ht="17.25" customHeight="1">
      <c r="A105" s="23"/>
      <c r="B105" s="32"/>
      <c r="C105" s="23" t="s">
        <v>28</v>
      </c>
      <c r="D105" s="23" t="s">
        <v>42</v>
      </c>
      <c r="E105" s="2">
        <v>5</v>
      </c>
      <c r="F105" s="2">
        <f>F102*E105</f>
        <v>229</v>
      </c>
      <c r="G105" s="195"/>
      <c r="H105" s="143">
        <f>G105*F105</f>
        <v>0</v>
      </c>
      <c r="I105" s="195"/>
      <c r="J105" s="143"/>
      <c r="K105" s="195"/>
      <c r="L105" s="143"/>
      <c r="M105" s="143">
        <f t="shared" si="7"/>
        <v>0</v>
      </c>
      <c r="N105" s="387"/>
    </row>
    <row r="106" spans="1:14" s="27" customFormat="1" ht="17.25" customHeight="1">
      <c r="A106" s="23"/>
      <c r="B106" s="35"/>
      <c r="C106" s="23" t="s">
        <v>448</v>
      </c>
      <c r="D106" s="23" t="s">
        <v>464</v>
      </c>
      <c r="E106" s="2">
        <v>1.02</v>
      </c>
      <c r="F106" s="2">
        <f>E106*F102</f>
        <v>46.716</v>
      </c>
      <c r="G106" s="195"/>
      <c r="H106" s="143">
        <f>G106*F106</f>
        <v>0</v>
      </c>
      <c r="I106" s="195"/>
      <c r="J106" s="143"/>
      <c r="K106" s="195"/>
      <c r="L106" s="143"/>
      <c r="M106" s="143">
        <f t="shared" si="7"/>
        <v>0</v>
      </c>
      <c r="N106" s="387"/>
    </row>
    <row r="107" spans="1:14" s="27" customFormat="1" ht="17.25" customHeight="1">
      <c r="A107" s="23"/>
      <c r="B107" s="35"/>
      <c r="C107" s="23" t="s">
        <v>159</v>
      </c>
      <c r="D107" s="23" t="s">
        <v>42</v>
      </c>
      <c r="E107" s="2">
        <v>0.3</v>
      </c>
      <c r="F107" s="2">
        <f>E107*F102</f>
        <v>13.739999999999998</v>
      </c>
      <c r="G107" s="195"/>
      <c r="H107" s="143">
        <f>G107*F107</f>
        <v>0</v>
      </c>
      <c r="I107" s="195"/>
      <c r="J107" s="143"/>
      <c r="K107" s="195"/>
      <c r="L107" s="143"/>
      <c r="M107" s="143">
        <f t="shared" si="7"/>
        <v>0</v>
      </c>
      <c r="N107" s="387"/>
    </row>
    <row r="108" spans="1:14" s="27" customFormat="1" ht="17.25" customHeight="1">
      <c r="A108" s="23"/>
      <c r="B108" s="32"/>
      <c r="C108" s="3" t="s">
        <v>69</v>
      </c>
      <c r="D108" s="3" t="s">
        <v>6</v>
      </c>
      <c r="E108" s="671">
        <v>0.0466</v>
      </c>
      <c r="F108" s="2">
        <f>F102*E108</f>
        <v>2.13428</v>
      </c>
      <c r="G108" s="195"/>
      <c r="H108" s="143">
        <f>G108*F108</f>
        <v>0</v>
      </c>
      <c r="I108" s="195"/>
      <c r="J108" s="143"/>
      <c r="K108" s="195"/>
      <c r="L108" s="143"/>
      <c r="M108" s="143">
        <f t="shared" si="7"/>
        <v>0</v>
      </c>
      <c r="N108" s="387"/>
    </row>
    <row r="109" spans="1:14" s="27" customFormat="1" ht="36" customHeight="1">
      <c r="A109" s="3">
        <f>A102+1</f>
        <v>20</v>
      </c>
      <c r="B109" s="33" t="s">
        <v>518</v>
      </c>
      <c r="C109" s="34" t="s">
        <v>99</v>
      </c>
      <c r="D109" s="34" t="s">
        <v>7</v>
      </c>
      <c r="E109" s="8"/>
      <c r="F109" s="8">
        <f>172.53</f>
        <v>172.53</v>
      </c>
      <c r="G109" s="195"/>
      <c r="H109" s="143"/>
      <c r="I109" s="195"/>
      <c r="J109" s="143"/>
      <c r="K109" s="195"/>
      <c r="L109" s="143"/>
      <c r="M109" s="143"/>
      <c r="N109" s="387"/>
    </row>
    <row r="110" spans="1:14" s="27" customFormat="1" ht="17.25" customHeight="1">
      <c r="A110" s="23"/>
      <c r="B110" s="35"/>
      <c r="C110" s="23" t="s">
        <v>13</v>
      </c>
      <c r="D110" s="131" t="s">
        <v>139</v>
      </c>
      <c r="E110" s="438">
        <f>26.9*0.01</f>
        <v>0.269</v>
      </c>
      <c r="F110" s="2">
        <f>F109*E110</f>
        <v>46.41057</v>
      </c>
      <c r="G110" s="195"/>
      <c r="H110" s="143"/>
      <c r="I110" s="195"/>
      <c r="J110" s="143">
        <f>I110*F110</f>
        <v>0</v>
      </c>
      <c r="K110" s="195"/>
      <c r="L110" s="143"/>
      <c r="M110" s="143">
        <f>L110+J110+H110</f>
        <v>0</v>
      </c>
      <c r="N110" s="387"/>
    </row>
    <row r="111" spans="1:14" s="27" customFormat="1" ht="17.25" customHeight="1">
      <c r="A111" s="23"/>
      <c r="B111" s="32"/>
      <c r="C111" s="3" t="s">
        <v>70</v>
      </c>
      <c r="D111" s="3" t="s">
        <v>6</v>
      </c>
      <c r="E111" s="671">
        <v>0.0116</v>
      </c>
      <c r="F111" s="2">
        <f>F109*E111</f>
        <v>2.0013479999999997</v>
      </c>
      <c r="G111" s="195"/>
      <c r="H111" s="143"/>
      <c r="I111" s="195"/>
      <c r="J111" s="143"/>
      <c r="K111" s="195"/>
      <c r="L111" s="143">
        <f>K111*F111</f>
        <v>0</v>
      </c>
      <c r="M111" s="143">
        <f>L111+J111+H111</f>
        <v>0</v>
      </c>
      <c r="N111" s="387"/>
    </row>
    <row r="112" spans="1:14" s="27" customFormat="1" ht="17.25" customHeight="1">
      <c r="A112" s="23"/>
      <c r="B112" s="32"/>
      <c r="C112" s="23" t="s">
        <v>28</v>
      </c>
      <c r="D112" s="23" t="s">
        <v>42</v>
      </c>
      <c r="E112" s="2">
        <v>0.5</v>
      </c>
      <c r="F112" s="2">
        <f>E112*F113</f>
        <v>13.543605</v>
      </c>
      <c r="G112" s="195"/>
      <c r="H112" s="143">
        <f>G112*F112</f>
        <v>0</v>
      </c>
      <c r="I112" s="195"/>
      <c r="J112" s="143"/>
      <c r="K112" s="195"/>
      <c r="L112" s="143"/>
      <c r="M112" s="143">
        <f>L112+J112+H112</f>
        <v>0</v>
      </c>
      <c r="N112" s="387"/>
    </row>
    <row r="113" spans="1:14" s="27" customFormat="1" ht="17.25" customHeight="1">
      <c r="A113" s="23"/>
      <c r="B113" s="35"/>
      <c r="C113" s="23" t="s">
        <v>195</v>
      </c>
      <c r="D113" s="23" t="s">
        <v>464</v>
      </c>
      <c r="E113" s="438">
        <v>0.157</v>
      </c>
      <c r="F113" s="2">
        <f>E113*F109</f>
        <v>27.08721</v>
      </c>
      <c r="G113" s="195"/>
      <c r="H113" s="143">
        <f>G113*F113</f>
        <v>0</v>
      </c>
      <c r="I113" s="195"/>
      <c r="J113" s="143"/>
      <c r="K113" s="195"/>
      <c r="L113" s="143"/>
      <c r="M113" s="143">
        <f>L113+J113+H113</f>
        <v>0</v>
      </c>
      <c r="N113" s="387"/>
    </row>
    <row r="114" spans="1:14" s="27" customFormat="1" ht="17.25" customHeight="1">
      <c r="A114" s="23"/>
      <c r="B114" s="35"/>
      <c r="C114" s="23" t="s">
        <v>159</v>
      </c>
      <c r="D114" s="23" t="s">
        <v>42</v>
      </c>
      <c r="E114" s="2">
        <v>0.08</v>
      </c>
      <c r="F114" s="2">
        <f>E114*F113</f>
        <v>2.1669768</v>
      </c>
      <c r="G114" s="195"/>
      <c r="H114" s="143">
        <f>G114*F114</f>
        <v>0</v>
      </c>
      <c r="I114" s="195"/>
      <c r="J114" s="143"/>
      <c r="K114" s="195"/>
      <c r="L114" s="143"/>
      <c r="M114" s="143">
        <f>L114+J114+H114</f>
        <v>0</v>
      </c>
      <c r="N114" s="387"/>
    </row>
    <row r="115" spans="1:14" s="27" customFormat="1" ht="39" customHeight="1">
      <c r="A115" s="3">
        <f>A109+1</f>
        <v>21</v>
      </c>
      <c r="B115" s="33" t="s">
        <v>449</v>
      </c>
      <c r="C115" s="34" t="s">
        <v>649</v>
      </c>
      <c r="D115" s="34" t="s">
        <v>463</v>
      </c>
      <c r="E115" s="8"/>
      <c r="F115" s="8">
        <v>565.7</v>
      </c>
      <c r="G115" s="195"/>
      <c r="H115" s="143"/>
      <c r="I115" s="195"/>
      <c r="J115" s="143"/>
      <c r="K115" s="195"/>
      <c r="L115" s="143"/>
      <c r="M115" s="143"/>
      <c r="N115" s="387"/>
    </row>
    <row r="116" spans="1:14" s="27" customFormat="1" ht="18" customHeight="1">
      <c r="A116" s="23"/>
      <c r="B116" s="35"/>
      <c r="C116" s="23" t="s">
        <v>13</v>
      </c>
      <c r="D116" s="131" t="s">
        <v>139</v>
      </c>
      <c r="E116" s="438">
        <f>53.6*0.01</f>
        <v>0.536</v>
      </c>
      <c r="F116" s="21">
        <f>F115*E116</f>
        <v>303.21520000000004</v>
      </c>
      <c r="G116" s="195"/>
      <c r="H116" s="143"/>
      <c r="I116" s="195"/>
      <c r="J116" s="143">
        <f>I116*F116</f>
        <v>0</v>
      </c>
      <c r="K116" s="195"/>
      <c r="L116" s="143"/>
      <c r="M116" s="143">
        <f>L116+J116+H116</f>
        <v>0</v>
      </c>
      <c r="N116" s="387"/>
    </row>
    <row r="117" spans="1:14" s="27" customFormat="1" ht="18" customHeight="1">
      <c r="A117" s="23"/>
      <c r="B117" s="32"/>
      <c r="C117" s="3" t="s">
        <v>70</v>
      </c>
      <c r="D117" s="3" t="s">
        <v>6</v>
      </c>
      <c r="E117" s="671">
        <f>3.65*0.01</f>
        <v>0.0365</v>
      </c>
      <c r="F117" s="2">
        <f>F115*E117</f>
        <v>20.64805</v>
      </c>
      <c r="G117" s="195"/>
      <c r="H117" s="143"/>
      <c r="I117" s="195"/>
      <c r="J117" s="143"/>
      <c r="K117" s="195"/>
      <c r="L117" s="143">
        <f>K117*F117</f>
        <v>0</v>
      </c>
      <c r="M117" s="143">
        <f>L117+J117+H117</f>
        <v>0</v>
      </c>
      <c r="N117" s="387"/>
    </row>
    <row r="118" spans="1:14" s="27" customFormat="1" ht="33" customHeight="1">
      <c r="A118" s="23"/>
      <c r="B118" s="32"/>
      <c r="C118" s="23" t="s">
        <v>650</v>
      </c>
      <c r="D118" s="23" t="s">
        <v>464</v>
      </c>
      <c r="E118" s="2">
        <v>1.05</v>
      </c>
      <c r="F118" s="2">
        <f>F115*E118</f>
        <v>593.9850000000001</v>
      </c>
      <c r="G118" s="195"/>
      <c r="H118" s="143">
        <f>G118*F118</f>
        <v>0</v>
      </c>
      <c r="I118" s="195"/>
      <c r="J118" s="143"/>
      <c r="K118" s="195"/>
      <c r="L118" s="143"/>
      <c r="M118" s="143">
        <f>L118+J118+H118</f>
        <v>0</v>
      </c>
      <c r="N118" s="387"/>
    </row>
    <row r="119" spans="1:14" s="27" customFormat="1" ht="18" customHeight="1">
      <c r="A119" s="23"/>
      <c r="B119" s="35"/>
      <c r="C119" s="23" t="s">
        <v>450</v>
      </c>
      <c r="D119" s="23" t="s">
        <v>7</v>
      </c>
      <c r="E119" s="2"/>
      <c r="F119" s="2">
        <v>36</v>
      </c>
      <c r="G119" s="195"/>
      <c r="H119" s="143">
        <f>G119*F119</f>
        <v>0</v>
      </c>
      <c r="I119" s="195"/>
      <c r="J119" s="143"/>
      <c r="K119" s="195"/>
      <c r="L119" s="143"/>
      <c r="M119" s="143">
        <f>L119+J119+H119</f>
        <v>0</v>
      </c>
      <c r="N119" s="387"/>
    </row>
    <row r="120" spans="1:14" s="27" customFormat="1" ht="18" customHeight="1">
      <c r="A120" s="23"/>
      <c r="B120" s="32"/>
      <c r="C120" s="3" t="s">
        <v>69</v>
      </c>
      <c r="D120" s="3" t="s">
        <v>6</v>
      </c>
      <c r="E120" s="438">
        <f>10.7/100</f>
        <v>0.107</v>
      </c>
      <c r="F120" s="2">
        <f>F115*E120</f>
        <v>60.529900000000005</v>
      </c>
      <c r="G120" s="195"/>
      <c r="H120" s="143">
        <f>G120*F120</f>
        <v>0</v>
      </c>
      <c r="I120" s="195"/>
      <c r="J120" s="143"/>
      <c r="K120" s="195"/>
      <c r="L120" s="143"/>
      <c r="M120" s="143">
        <f>L120+J120+H120</f>
        <v>0</v>
      </c>
      <c r="N120" s="387"/>
    </row>
    <row r="121" spans="1:14" s="27" customFormat="1" ht="31.5">
      <c r="A121" s="3">
        <f>A115+1</f>
        <v>22</v>
      </c>
      <c r="B121" s="33" t="s">
        <v>451</v>
      </c>
      <c r="C121" s="34" t="s">
        <v>457</v>
      </c>
      <c r="D121" s="34" t="s">
        <v>7</v>
      </c>
      <c r="E121" s="8"/>
      <c r="F121" s="8">
        <f>440.96</f>
        <v>440.96</v>
      </c>
      <c r="G121" s="195"/>
      <c r="H121" s="143"/>
      <c r="I121" s="195"/>
      <c r="J121" s="143"/>
      <c r="K121" s="195"/>
      <c r="L121" s="143"/>
      <c r="M121" s="143"/>
      <c r="N121" s="387"/>
    </row>
    <row r="122" spans="1:14" s="27" customFormat="1" ht="18" customHeight="1">
      <c r="A122" s="23"/>
      <c r="B122" s="35"/>
      <c r="C122" s="23" t="s">
        <v>13</v>
      </c>
      <c r="D122" s="131" t="s">
        <v>139</v>
      </c>
      <c r="E122" s="438">
        <f>15.1/100</f>
        <v>0.151</v>
      </c>
      <c r="F122" s="21">
        <f>F121*E122</f>
        <v>66.58496</v>
      </c>
      <c r="G122" s="195"/>
      <c r="H122" s="143"/>
      <c r="I122" s="195"/>
      <c r="J122" s="143">
        <f>I122*F122</f>
        <v>0</v>
      </c>
      <c r="K122" s="195"/>
      <c r="L122" s="143"/>
      <c r="M122" s="143">
        <f>L122+J122+H122</f>
        <v>0</v>
      </c>
      <c r="N122" s="387"/>
    </row>
    <row r="123" spans="1:14" s="27" customFormat="1" ht="18" customHeight="1">
      <c r="A123" s="23"/>
      <c r="B123" s="32"/>
      <c r="C123" s="3" t="s">
        <v>70</v>
      </c>
      <c r="D123" s="3" t="s">
        <v>6</v>
      </c>
      <c r="E123" s="438">
        <f>0.2/100</f>
        <v>0.002</v>
      </c>
      <c r="F123" s="2">
        <f>F121*E123</f>
        <v>0.8819199999999999</v>
      </c>
      <c r="G123" s="195"/>
      <c r="H123" s="143"/>
      <c r="I123" s="195"/>
      <c r="J123" s="143"/>
      <c r="K123" s="195"/>
      <c r="L123" s="143">
        <f>K123*F123</f>
        <v>0</v>
      </c>
      <c r="M123" s="143">
        <f>L123+J123+H123</f>
        <v>0</v>
      </c>
      <c r="N123" s="387"/>
    </row>
    <row r="124" spans="1:14" s="27" customFormat="1" ht="18" customHeight="1">
      <c r="A124" s="23"/>
      <c r="B124" s="35"/>
      <c r="C124" s="3" t="s">
        <v>458</v>
      </c>
      <c r="D124" s="3" t="s">
        <v>7</v>
      </c>
      <c r="E124" s="2">
        <v>1.01</v>
      </c>
      <c r="F124" s="2">
        <f>F121*1.07</f>
        <v>471.8272</v>
      </c>
      <c r="G124" s="195"/>
      <c r="H124" s="143">
        <f>G124*F124</f>
        <v>0</v>
      </c>
      <c r="I124" s="195"/>
      <c r="J124" s="143"/>
      <c r="K124" s="195"/>
      <c r="L124" s="143"/>
      <c r="M124" s="143">
        <f>L124+J124+H124</f>
        <v>0</v>
      </c>
      <c r="N124" s="387"/>
    </row>
    <row r="125" spans="1:14" s="27" customFormat="1" ht="18" customHeight="1">
      <c r="A125" s="23"/>
      <c r="B125" s="32"/>
      <c r="C125" s="3" t="s">
        <v>69</v>
      </c>
      <c r="D125" s="3" t="s">
        <v>6</v>
      </c>
      <c r="E125" s="438">
        <f>0.2/100</f>
        <v>0.002</v>
      </c>
      <c r="F125" s="2">
        <f>F121*E125</f>
        <v>0.8819199999999999</v>
      </c>
      <c r="G125" s="195"/>
      <c r="H125" s="143">
        <f>G125*F125</f>
        <v>0</v>
      </c>
      <c r="I125" s="195"/>
      <c r="J125" s="143"/>
      <c r="K125" s="195"/>
      <c r="L125" s="143"/>
      <c r="M125" s="143">
        <f>L125+J125+H125</f>
        <v>0</v>
      </c>
      <c r="N125" s="387"/>
    </row>
    <row r="126" spans="1:14" s="27" customFormat="1" ht="36" customHeight="1">
      <c r="A126" s="3">
        <f>A121+1</f>
        <v>23</v>
      </c>
      <c r="B126" s="33" t="s">
        <v>16</v>
      </c>
      <c r="C126" s="34" t="s">
        <v>519</v>
      </c>
      <c r="D126" s="34" t="s">
        <v>463</v>
      </c>
      <c r="E126" s="8"/>
      <c r="F126" s="8">
        <v>8.56</v>
      </c>
      <c r="G126" s="195"/>
      <c r="H126" s="143"/>
      <c r="I126" s="195"/>
      <c r="J126" s="143"/>
      <c r="K126" s="195"/>
      <c r="L126" s="143"/>
      <c r="M126" s="143"/>
      <c r="N126" s="386"/>
    </row>
    <row r="127" spans="1:14" s="27" customFormat="1" ht="17.25" customHeight="1">
      <c r="A127" s="23"/>
      <c r="B127" s="35"/>
      <c r="C127" s="23" t="s">
        <v>13</v>
      </c>
      <c r="D127" s="23" t="s">
        <v>464</v>
      </c>
      <c r="E127" s="2">
        <f>108*0.01</f>
        <v>1.08</v>
      </c>
      <c r="F127" s="2">
        <f>F126*E127</f>
        <v>9.244800000000001</v>
      </c>
      <c r="G127" s="195"/>
      <c r="H127" s="143"/>
      <c r="I127" s="195"/>
      <c r="J127" s="143">
        <f>I127*F127</f>
        <v>0</v>
      </c>
      <c r="K127" s="195"/>
      <c r="L127" s="143"/>
      <c r="M127" s="143">
        <f aca="true" t="shared" si="8" ref="M127:M132">L127+J127+H127</f>
        <v>0</v>
      </c>
      <c r="N127" s="387"/>
    </row>
    <row r="128" spans="1:14" s="27" customFormat="1" ht="17.25" customHeight="1">
      <c r="A128" s="23"/>
      <c r="B128" s="32"/>
      <c r="C128" s="3" t="s">
        <v>70</v>
      </c>
      <c r="D128" s="3" t="s">
        <v>6</v>
      </c>
      <c r="E128" s="671">
        <v>0.0452</v>
      </c>
      <c r="F128" s="2">
        <f>F126*E128</f>
        <v>0.386912</v>
      </c>
      <c r="G128" s="195"/>
      <c r="H128" s="143"/>
      <c r="I128" s="195"/>
      <c r="J128" s="143"/>
      <c r="K128" s="195"/>
      <c r="L128" s="143">
        <f>K128*F128</f>
        <v>0</v>
      </c>
      <c r="M128" s="143">
        <f t="shared" si="8"/>
        <v>0</v>
      </c>
      <c r="N128" s="387"/>
    </row>
    <row r="129" spans="1:14" s="27" customFormat="1" ht="17.25" customHeight="1">
      <c r="A129" s="23"/>
      <c r="B129" s="32"/>
      <c r="C129" s="23" t="s">
        <v>452</v>
      </c>
      <c r="D129" s="23" t="s">
        <v>42</v>
      </c>
      <c r="E129" s="2">
        <v>5</v>
      </c>
      <c r="F129" s="2">
        <f>F126*E129</f>
        <v>42.800000000000004</v>
      </c>
      <c r="G129" s="195"/>
      <c r="H129" s="143">
        <f>G129*F129</f>
        <v>0</v>
      </c>
      <c r="I129" s="195"/>
      <c r="J129" s="143"/>
      <c r="K129" s="195"/>
      <c r="L129" s="143"/>
      <c r="M129" s="143">
        <f t="shared" si="8"/>
        <v>0</v>
      </c>
      <c r="N129" s="387"/>
    </row>
    <row r="130" spans="1:14" s="27" customFormat="1" ht="31.5">
      <c r="A130" s="23"/>
      <c r="B130" s="35"/>
      <c r="C130" s="23" t="s">
        <v>453</v>
      </c>
      <c r="D130" s="23" t="s">
        <v>464</v>
      </c>
      <c r="E130" s="2">
        <v>1.02</v>
      </c>
      <c r="F130" s="2">
        <f>E130*F126</f>
        <v>8.731200000000001</v>
      </c>
      <c r="G130" s="195"/>
      <c r="H130" s="143">
        <f>G130*F130</f>
        <v>0</v>
      </c>
      <c r="I130" s="195"/>
      <c r="J130" s="143"/>
      <c r="K130" s="195"/>
      <c r="L130" s="143"/>
      <c r="M130" s="143">
        <f t="shared" si="8"/>
        <v>0</v>
      </c>
      <c r="N130" s="387"/>
    </row>
    <row r="131" spans="1:14" s="27" customFormat="1" ht="17.25" customHeight="1">
      <c r="A131" s="23"/>
      <c r="B131" s="35"/>
      <c r="C131" s="23" t="s">
        <v>159</v>
      </c>
      <c r="D131" s="23" t="s">
        <v>42</v>
      </c>
      <c r="E131" s="2">
        <v>0.3</v>
      </c>
      <c r="F131" s="2">
        <f>E131*F126</f>
        <v>2.568</v>
      </c>
      <c r="G131" s="195"/>
      <c r="H131" s="143">
        <f>G131*F131</f>
        <v>0</v>
      </c>
      <c r="I131" s="195"/>
      <c r="J131" s="143"/>
      <c r="K131" s="195"/>
      <c r="L131" s="143"/>
      <c r="M131" s="143">
        <f t="shared" si="8"/>
        <v>0</v>
      </c>
      <c r="N131" s="387"/>
    </row>
    <row r="132" spans="1:14" s="27" customFormat="1" ht="17.25" customHeight="1">
      <c r="A132" s="23"/>
      <c r="B132" s="32"/>
      <c r="C132" s="3" t="s">
        <v>69</v>
      </c>
      <c r="D132" s="3" t="s">
        <v>6</v>
      </c>
      <c r="E132" s="671">
        <v>0.0466</v>
      </c>
      <c r="F132" s="2">
        <f>F126*E132</f>
        <v>0.39889600000000003</v>
      </c>
      <c r="G132" s="195"/>
      <c r="H132" s="143">
        <f>G132*F132</f>
        <v>0</v>
      </c>
      <c r="I132" s="195"/>
      <c r="J132" s="143"/>
      <c r="K132" s="195"/>
      <c r="L132" s="143"/>
      <c r="M132" s="143">
        <f t="shared" si="8"/>
        <v>0</v>
      </c>
      <c r="N132" s="387"/>
    </row>
    <row r="133" spans="1:16" s="510" customFormat="1" ht="18" customHeight="1">
      <c r="A133" s="659"/>
      <c r="B133" s="498"/>
      <c r="C133" s="509" t="s">
        <v>135</v>
      </c>
      <c r="D133" s="509"/>
      <c r="E133" s="227"/>
      <c r="F133" s="227"/>
      <c r="G133" s="673"/>
      <c r="H133" s="195"/>
      <c r="I133" s="143"/>
      <c r="J133" s="195"/>
      <c r="K133" s="143"/>
      <c r="L133" s="195"/>
      <c r="M133" s="143"/>
      <c r="N133" s="143"/>
      <c r="P133" s="511"/>
    </row>
    <row r="134" spans="1:14" s="372" customFormat="1" ht="36" customHeight="1">
      <c r="A134" s="3">
        <f>A126+1</f>
        <v>24</v>
      </c>
      <c r="B134" s="33" t="s">
        <v>459</v>
      </c>
      <c r="C134" s="34" t="s">
        <v>460</v>
      </c>
      <c r="D134" s="34" t="s">
        <v>463</v>
      </c>
      <c r="E134" s="8"/>
      <c r="F134" s="8">
        <v>180</v>
      </c>
      <c r="G134" s="195"/>
      <c r="H134" s="143"/>
      <c r="I134" s="195"/>
      <c r="J134" s="143"/>
      <c r="K134" s="195"/>
      <c r="L134" s="143"/>
      <c r="M134" s="143"/>
      <c r="N134" s="387"/>
    </row>
    <row r="135" spans="1:14" s="27" customFormat="1" ht="18" customHeight="1">
      <c r="A135" s="23"/>
      <c r="B135" s="35"/>
      <c r="C135" s="23" t="s">
        <v>13</v>
      </c>
      <c r="D135" s="131" t="s">
        <v>139</v>
      </c>
      <c r="E135" s="2">
        <f>64*0.01</f>
        <v>0.64</v>
      </c>
      <c r="F135" s="2">
        <f>F134*E135</f>
        <v>115.2</v>
      </c>
      <c r="G135" s="195"/>
      <c r="H135" s="143"/>
      <c r="I135" s="195"/>
      <c r="J135" s="143">
        <f>I135*F135</f>
        <v>0</v>
      </c>
      <c r="K135" s="195"/>
      <c r="L135" s="143"/>
      <c r="M135" s="143">
        <f>L135+J135+H135</f>
        <v>0</v>
      </c>
      <c r="N135" s="387"/>
    </row>
    <row r="136" spans="1:14" s="27" customFormat="1" ht="18" customHeight="1">
      <c r="A136" s="23"/>
      <c r="B136" s="35"/>
      <c r="C136" s="23" t="s">
        <v>461</v>
      </c>
      <c r="D136" s="3" t="s">
        <v>141</v>
      </c>
      <c r="E136" s="438">
        <f>4.1*0.01</f>
        <v>0.040999999999999995</v>
      </c>
      <c r="F136" s="2">
        <f>E136*F134</f>
        <v>7.379999999999999</v>
      </c>
      <c r="G136" s="195"/>
      <c r="H136" s="143"/>
      <c r="I136" s="195"/>
      <c r="J136" s="143"/>
      <c r="K136" s="195"/>
      <c r="L136" s="143">
        <f>K136*F136</f>
        <v>0</v>
      </c>
      <c r="M136" s="143">
        <f>L136+J136+H136</f>
        <v>0</v>
      </c>
      <c r="N136" s="387"/>
    </row>
    <row r="137" spans="1:14" s="27" customFormat="1" ht="18" customHeight="1">
      <c r="A137" s="23"/>
      <c r="B137" s="32"/>
      <c r="C137" s="3" t="s">
        <v>70</v>
      </c>
      <c r="D137" s="3" t="s">
        <v>6</v>
      </c>
      <c r="E137" s="438">
        <v>0.021</v>
      </c>
      <c r="F137" s="2">
        <f>F134*E137</f>
        <v>3.7800000000000002</v>
      </c>
      <c r="G137" s="195"/>
      <c r="H137" s="143"/>
      <c r="I137" s="195"/>
      <c r="J137" s="143"/>
      <c r="K137" s="195"/>
      <c r="L137" s="143">
        <f>K137*F137</f>
        <v>0</v>
      </c>
      <c r="M137" s="143">
        <f>L137+J137+H137</f>
        <v>0</v>
      </c>
      <c r="N137" s="387"/>
    </row>
    <row r="138" spans="1:14" s="27" customFormat="1" ht="18" customHeight="1">
      <c r="A138" s="23"/>
      <c r="B138" s="32"/>
      <c r="C138" s="23" t="s">
        <v>110</v>
      </c>
      <c r="D138" s="23" t="s">
        <v>504</v>
      </c>
      <c r="E138" s="671">
        <f>(1.58+0.2)/100</f>
        <v>0.0178</v>
      </c>
      <c r="F138" s="2">
        <f>F134*E138</f>
        <v>3.204</v>
      </c>
      <c r="G138" s="195"/>
      <c r="H138" s="143"/>
      <c r="I138" s="195"/>
      <c r="J138" s="143"/>
      <c r="K138" s="195"/>
      <c r="L138" s="143"/>
      <c r="M138" s="143"/>
      <c r="N138" s="387"/>
    </row>
    <row r="139" spans="1:14" s="77" customFormat="1" ht="18" customHeight="1">
      <c r="A139" s="3"/>
      <c r="B139" s="32"/>
      <c r="C139" s="23" t="s">
        <v>43</v>
      </c>
      <c r="D139" s="23" t="s">
        <v>504</v>
      </c>
      <c r="E139" s="2">
        <v>1.16</v>
      </c>
      <c r="F139" s="2">
        <f>F138*E139</f>
        <v>3.71664</v>
      </c>
      <c r="G139" s="195"/>
      <c r="H139" s="143">
        <f>G139*F139</f>
        <v>0</v>
      </c>
      <c r="I139" s="195"/>
      <c r="J139" s="143"/>
      <c r="K139" s="195"/>
      <c r="L139" s="143"/>
      <c r="M139" s="143">
        <f>L139+J139+H139</f>
        <v>0</v>
      </c>
      <c r="N139" s="389"/>
    </row>
    <row r="140" spans="1:14" s="77" customFormat="1" ht="18" customHeight="1">
      <c r="A140" s="3"/>
      <c r="B140" s="32"/>
      <c r="C140" s="23" t="s">
        <v>44</v>
      </c>
      <c r="D140" s="23" t="s">
        <v>8</v>
      </c>
      <c r="E140" s="438">
        <v>0.416</v>
      </c>
      <c r="F140" s="2">
        <f>E140*F138</f>
        <v>1.332864</v>
      </c>
      <c r="G140" s="195"/>
      <c r="H140" s="143">
        <f>G140*F140</f>
        <v>0</v>
      </c>
      <c r="I140" s="195"/>
      <c r="J140" s="143"/>
      <c r="K140" s="195"/>
      <c r="L140" s="143"/>
      <c r="M140" s="143">
        <f>L140+J140+H140</f>
        <v>0</v>
      </c>
      <c r="N140" s="389"/>
    </row>
    <row r="141" spans="1:14" s="27" customFormat="1" ht="18" customHeight="1">
      <c r="A141" s="23"/>
      <c r="B141" s="32"/>
      <c r="C141" s="3" t="s">
        <v>69</v>
      </c>
      <c r="D141" s="3" t="s">
        <v>6</v>
      </c>
      <c r="E141" s="438">
        <f>0.3/100</f>
        <v>0.003</v>
      </c>
      <c r="F141" s="2">
        <f>F134*E141</f>
        <v>0.54</v>
      </c>
      <c r="G141" s="195"/>
      <c r="H141" s="143">
        <f>G141*F141</f>
        <v>0</v>
      </c>
      <c r="I141" s="195"/>
      <c r="J141" s="143"/>
      <c r="K141" s="195"/>
      <c r="L141" s="143"/>
      <c r="M141" s="143">
        <f>L141+J141+H141</f>
        <v>0</v>
      </c>
      <c r="N141" s="387"/>
    </row>
    <row r="142" spans="1:15" s="37" customFormat="1" ht="36" customHeight="1">
      <c r="A142" s="3">
        <f>A134+1</f>
        <v>25</v>
      </c>
      <c r="B142" s="32" t="s">
        <v>462</v>
      </c>
      <c r="C142" s="34" t="s">
        <v>466</v>
      </c>
      <c r="D142" s="34" t="s">
        <v>463</v>
      </c>
      <c r="E142" s="8"/>
      <c r="F142" s="374">
        <v>40</v>
      </c>
      <c r="G142" s="1"/>
      <c r="H142" s="1"/>
      <c r="I142" s="2"/>
      <c r="J142" s="2"/>
      <c r="K142" s="2"/>
      <c r="L142" s="2"/>
      <c r="M142" s="1"/>
      <c r="N142" s="27"/>
      <c r="O142" s="27"/>
    </row>
    <row r="143" spans="1:15" s="37" customFormat="1" ht="18" customHeight="1">
      <c r="A143" s="108"/>
      <c r="B143" s="35"/>
      <c r="C143" s="3" t="s">
        <v>13</v>
      </c>
      <c r="D143" s="23" t="s">
        <v>464</v>
      </c>
      <c r="E143" s="1">
        <f>116/100</f>
        <v>1.16</v>
      </c>
      <c r="F143" s="100">
        <f>F142*E143</f>
        <v>46.4</v>
      </c>
      <c r="G143" s="1"/>
      <c r="H143" s="2"/>
      <c r="I143" s="1"/>
      <c r="J143" s="1">
        <f>I143*F143</f>
        <v>0</v>
      </c>
      <c r="K143" s="1"/>
      <c r="L143" s="1"/>
      <c r="M143" s="2">
        <f>L143+J143+H143</f>
        <v>0</v>
      </c>
      <c r="N143" s="27"/>
      <c r="O143" s="27"/>
    </row>
    <row r="144" spans="1:15" s="37" customFormat="1" ht="18" customHeight="1">
      <c r="A144" s="108"/>
      <c r="B144" s="35"/>
      <c r="C144" s="3" t="s">
        <v>70</v>
      </c>
      <c r="D144" s="3" t="s">
        <v>6</v>
      </c>
      <c r="E144" s="671">
        <f>4.26/100</f>
        <v>0.0426</v>
      </c>
      <c r="F144" s="438">
        <f>F141*E144</f>
        <v>0.023004</v>
      </c>
      <c r="G144" s="195"/>
      <c r="H144" s="143"/>
      <c r="I144" s="195"/>
      <c r="J144" s="143"/>
      <c r="K144" s="195"/>
      <c r="L144" s="143">
        <f>K144*F144</f>
        <v>0</v>
      </c>
      <c r="M144" s="143">
        <f>L144+J144+H144</f>
        <v>0</v>
      </c>
      <c r="N144" s="27"/>
      <c r="O144" s="27"/>
    </row>
    <row r="145" spans="1:15" s="37" customFormat="1" ht="18" customHeight="1">
      <c r="A145" s="108"/>
      <c r="B145" s="35"/>
      <c r="C145" s="3" t="s">
        <v>465</v>
      </c>
      <c r="D145" s="3" t="s">
        <v>8</v>
      </c>
      <c r="E145" s="3">
        <f>3.7/100</f>
        <v>0.037000000000000005</v>
      </c>
      <c r="F145" s="100">
        <f>F142*E145</f>
        <v>1.4800000000000002</v>
      </c>
      <c r="G145" s="1"/>
      <c r="H145" s="2">
        <f>G145*F145</f>
        <v>0</v>
      </c>
      <c r="I145" s="1"/>
      <c r="J145" s="1"/>
      <c r="K145" s="1"/>
      <c r="L145" s="1"/>
      <c r="M145" s="2">
        <f>L145+J145+H145</f>
        <v>0</v>
      </c>
      <c r="N145" s="27"/>
      <c r="O145" s="27"/>
    </row>
    <row r="146" spans="1:15" s="37" customFormat="1" ht="18" customHeight="1">
      <c r="A146" s="108"/>
      <c r="B146" s="35"/>
      <c r="C146" s="3" t="s">
        <v>69</v>
      </c>
      <c r="D146" s="3" t="s">
        <v>6</v>
      </c>
      <c r="E146" s="3">
        <f>0.3/100</f>
        <v>0.003</v>
      </c>
      <c r="F146" s="100">
        <f>F142*E146</f>
        <v>0.12</v>
      </c>
      <c r="G146" s="1"/>
      <c r="H146" s="2">
        <f>G146*F146</f>
        <v>0</v>
      </c>
      <c r="I146" s="1"/>
      <c r="J146" s="1"/>
      <c r="K146" s="1"/>
      <c r="L146" s="1"/>
      <c r="M146" s="2">
        <f>L146+J146+H146</f>
        <v>0</v>
      </c>
      <c r="N146" s="27"/>
      <c r="O146" s="27"/>
    </row>
    <row r="147" spans="1:14" s="372" customFormat="1" ht="51" customHeight="1">
      <c r="A147" s="3">
        <f>A142+1</f>
        <v>26</v>
      </c>
      <c r="B147" s="33" t="s">
        <v>17</v>
      </c>
      <c r="C147" s="34" t="s">
        <v>385</v>
      </c>
      <c r="D147" s="34" t="s">
        <v>463</v>
      </c>
      <c r="E147" s="1"/>
      <c r="F147" s="8">
        <f>(F121+F109)*2.9</f>
        <v>1779.1209999999999</v>
      </c>
      <c r="G147" s="195"/>
      <c r="H147" s="143"/>
      <c r="I147" s="195"/>
      <c r="J147" s="143"/>
      <c r="K147" s="195"/>
      <c r="L147" s="143"/>
      <c r="M147" s="143"/>
      <c r="N147" s="387"/>
    </row>
    <row r="148" spans="1:15" s="37" customFormat="1" ht="18" customHeight="1">
      <c r="A148" s="23"/>
      <c r="B148" s="35"/>
      <c r="C148" s="3" t="s">
        <v>13</v>
      </c>
      <c r="D148" s="131" t="s">
        <v>139</v>
      </c>
      <c r="E148" s="662">
        <f>65.8*0.01</f>
        <v>0.658</v>
      </c>
      <c r="F148" s="1">
        <f>F147*E148</f>
        <v>1170.6616179999999</v>
      </c>
      <c r="G148" s="195"/>
      <c r="H148" s="143"/>
      <c r="I148" s="195"/>
      <c r="J148" s="143">
        <f>I148*F148</f>
        <v>0</v>
      </c>
      <c r="K148" s="195"/>
      <c r="L148" s="143"/>
      <c r="M148" s="143">
        <f aca="true" t="shared" si="9" ref="M148:M153">L148+J148+H148</f>
        <v>0</v>
      </c>
      <c r="N148" s="387"/>
      <c r="O148" s="27"/>
    </row>
    <row r="149" spans="1:14" s="27" customFormat="1" ht="18" customHeight="1">
      <c r="A149" s="23"/>
      <c r="B149" s="32"/>
      <c r="C149" s="3" t="s">
        <v>70</v>
      </c>
      <c r="D149" s="3" t="s">
        <v>6</v>
      </c>
      <c r="E149" s="2">
        <v>0.01</v>
      </c>
      <c r="F149" s="2">
        <f>F147*E149</f>
        <v>17.79121</v>
      </c>
      <c r="G149" s="195"/>
      <c r="H149" s="143"/>
      <c r="I149" s="195"/>
      <c r="J149" s="143"/>
      <c r="K149" s="195"/>
      <c r="L149" s="143">
        <f>K149*F149</f>
        <v>0</v>
      </c>
      <c r="M149" s="143">
        <f t="shared" si="9"/>
        <v>0</v>
      </c>
      <c r="N149" s="387"/>
    </row>
    <row r="150" spans="1:14" s="27" customFormat="1" ht="17.25" customHeight="1">
      <c r="A150" s="23"/>
      <c r="B150" s="35"/>
      <c r="C150" s="23" t="s">
        <v>386</v>
      </c>
      <c r="D150" s="23" t="s">
        <v>42</v>
      </c>
      <c r="E150" s="2">
        <v>0.63</v>
      </c>
      <c r="F150" s="1">
        <f>F147*E150</f>
        <v>1120.8462299999999</v>
      </c>
      <c r="G150" s="195"/>
      <c r="H150" s="143">
        <f>G150*F150</f>
        <v>0</v>
      </c>
      <c r="I150" s="195"/>
      <c r="J150" s="143"/>
      <c r="K150" s="195"/>
      <c r="L150" s="143"/>
      <c r="M150" s="143">
        <f t="shared" si="9"/>
        <v>0</v>
      </c>
      <c r="N150" s="387"/>
    </row>
    <row r="151" spans="1:14" s="27" customFormat="1" ht="18" customHeight="1">
      <c r="A151" s="23"/>
      <c r="B151" s="35"/>
      <c r="C151" s="23" t="s">
        <v>20</v>
      </c>
      <c r="D151" s="23" t="s">
        <v>42</v>
      </c>
      <c r="E151" s="2">
        <v>0.79</v>
      </c>
      <c r="F151" s="1">
        <f>F147*E151</f>
        <v>1405.50559</v>
      </c>
      <c r="G151" s="195"/>
      <c r="H151" s="143">
        <f>G151*F151</f>
        <v>0</v>
      </c>
      <c r="I151" s="195"/>
      <c r="J151" s="143"/>
      <c r="K151" s="195"/>
      <c r="L151" s="143"/>
      <c r="M151" s="143">
        <f t="shared" si="9"/>
        <v>0</v>
      </c>
      <c r="N151" s="387"/>
    </row>
    <row r="152" spans="1:14" s="27" customFormat="1" ht="18" customHeight="1">
      <c r="A152" s="23"/>
      <c r="B152" s="35"/>
      <c r="C152" s="23" t="s">
        <v>51</v>
      </c>
      <c r="D152" s="23" t="s">
        <v>7</v>
      </c>
      <c r="E152" s="2">
        <v>0.5</v>
      </c>
      <c r="F152" s="1">
        <f>E152*F147</f>
        <v>889.5604999999999</v>
      </c>
      <c r="G152" s="195"/>
      <c r="H152" s="143">
        <f>G152*F152</f>
        <v>0</v>
      </c>
      <c r="I152" s="195"/>
      <c r="J152" s="143"/>
      <c r="K152" s="195"/>
      <c r="L152" s="143"/>
      <c r="M152" s="143">
        <f t="shared" si="9"/>
        <v>0</v>
      </c>
      <c r="N152" s="387"/>
    </row>
    <row r="153" spans="1:14" s="27" customFormat="1" ht="18" customHeight="1">
      <c r="A153" s="23"/>
      <c r="B153" s="32"/>
      <c r="C153" s="3" t="s">
        <v>69</v>
      </c>
      <c r="D153" s="3" t="s">
        <v>6</v>
      </c>
      <c r="E153" s="438">
        <v>0.016</v>
      </c>
      <c r="F153" s="2">
        <f>F147*E153</f>
        <v>28.465936</v>
      </c>
      <c r="G153" s="195"/>
      <c r="H153" s="143">
        <f>G153*F153</f>
        <v>0</v>
      </c>
      <c r="I153" s="195"/>
      <c r="J153" s="143"/>
      <c r="K153" s="195"/>
      <c r="L153" s="143"/>
      <c r="M153" s="143">
        <f t="shared" si="9"/>
        <v>0</v>
      </c>
      <c r="N153" s="387"/>
    </row>
    <row r="154" spans="1:14" s="372" customFormat="1" ht="21" customHeight="1">
      <c r="A154" s="3">
        <f>A147+1</f>
        <v>27</v>
      </c>
      <c r="B154" s="33" t="s">
        <v>21</v>
      </c>
      <c r="C154" s="34" t="s">
        <v>383</v>
      </c>
      <c r="D154" s="34" t="s">
        <v>463</v>
      </c>
      <c r="E154" s="1"/>
      <c r="F154" s="8">
        <f>(4.36+4.21+6.8+14.7+7.7+16.52+7.8+5.78+8.37)*2</f>
        <v>152.48000000000002</v>
      </c>
      <c r="G154" s="195"/>
      <c r="H154" s="143"/>
      <c r="I154" s="195"/>
      <c r="J154" s="143"/>
      <c r="K154" s="195"/>
      <c r="L154" s="143"/>
      <c r="M154" s="143"/>
      <c r="N154" s="387"/>
    </row>
    <row r="155" spans="1:15" s="37" customFormat="1" ht="17.25" customHeight="1">
      <c r="A155" s="23"/>
      <c r="B155" s="35"/>
      <c r="C155" s="3" t="s">
        <v>13</v>
      </c>
      <c r="D155" s="131" t="s">
        <v>139</v>
      </c>
      <c r="E155" s="1">
        <f>170*0.01</f>
        <v>1.7</v>
      </c>
      <c r="F155" s="1">
        <f>F154*E155</f>
        <v>259.216</v>
      </c>
      <c r="G155" s="195"/>
      <c r="H155" s="143"/>
      <c r="I155" s="195"/>
      <c r="J155" s="143">
        <f>I155*F155</f>
        <v>0</v>
      </c>
      <c r="K155" s="195"/>
      <c r="L155" s="143"/>
      <c r="M155" s="143">
        <f aca="true" t="shared" si="10" ref="M155:M160">L155+J155+H155</f>
        <v>0</v>
      </c>
      <c r="N155" s="387"/>
      <c r="O155" s="27"/>
    </row>
    <row r="156" spans="1:14" s="27" customFormat="1" ht="17.25" customHeight="1">
      <c r="A156" s="23"/>
      <c r="B156" s="32"/>
      <c r="C156" s="3" t="s">
        <v>70</v>
      </c>
      <c r="D156" s="3" t="s">
        <v>6</v>
      </c>
      <c r="E156" s="2">
        <v>0.02</v>
      </c>
      <c r="F156" s="2">
        <f>F154*E156</f>
        <v>3.0496000000000003</v>
      </c>
      <c r="G156" s="195"/>
      <c r="H156" s="143"/>
      <c r="I156" s="195"/>
      <c r="J156" s="143"/>
      <c r="K156" s="195"/>
      <c r="L156" s="143">
        <f>K156*F156</f>
        <v>0</v>
      </c>
      <c r="M156" s="143">
        <f t="shared" si="10"/>
        <v>0</v>
      </c>
      <c r="N156" s="387"/>
    </row>
    <row r="157" spans="1:14" s="27" customFormat="1" ht="17.25" customHeight="1">
      <c r="A157" s="23"/>
      <c r="B157" s="32"/>
      <c r="C157" s="23" t="s">
        <v>28</v>
      </c>
      <c r="D157" s="23" t="s">
        <v>42</v>
      </c>
      <c r="E157" s="2">
        <v>5</v>
      </c>
      <c r="F157" s="2">
        <f>F154*E157</f>
        <v>762.4000000000001</v>
      </c>
      <c r="G157" s="195"/>
      <c r="H157" s="143">
        <f>G157*F157</f>
        <v>0</v>
      </c>
      <c r="I157" s="195"/>
      <c r="J157" s="143"/>
      <c r="K157" s="195"/>
      <c r="L157" s="143"/>
      <c r="M157" s="143">
        <f t="shared" si="10"/>
        <v>0</v>
      </c>
      <c r="N157" s="387"/>
    </row>
    <row r="158" spans="1:14" s="27" customFormat="1" ht="17.25" customHeight="1">
      <c r="A158" s="23"/>
      <c r="B158" s="35"/>
      <c r="C158" s="23" t="s">
        <v>23</v>
      </c>
      <c r="D158" s="23" t="s">
        <v>464</v>
      </c>
      <c r="E158" s="2">
        <v>1</v>
      </c>
      <c r="F158" s="1">
        <f>F154*E158</f>
        <v>152.48000000000002</v>
      </c>
      <c r="G158" s="195"/>
      <c r="H158" s="143">
        <f>G158*F158</f>
        <v>0</v>
      </c>
      <c r="I158" s="195"/>
      <c r="J158" s="143"/>
      <c r="K158" s="195"/>
      <c r="L158" s="143"/>
      <c r="M158" s="143">
        <f t="shared" si="10"/>
        <v>0</v>
      </c>
      <c r="N158" s="387"/>
    </row>
    <row r="159" spans="1:14" s="27" customFormat="1" ht="17.25" customHeight="1">
      <c r="A159" s="23"/>
      <c r="B159" s="35"/>
      <c r="C159" s="23" t="s">
        <v>24</v>
      </c>
      <c r="D159" s="23" t="s">
        <v>7</v>
      </c>
      <c r="E159" s="2">
        <v>0.5</v>
      </c>
      <c r="F159" s="1">
        <f>F154*E159</f>
        <v>76.24000000000001</v>
      </c>
      <c r="G159" s="195"/>
      <c r="H159" s="143">
        <f>G159*F159</f>
        <v>0</v>
      </c>
      <c r="I159" s="195"/>
      <c r="J159" s="143"/>
      <c r="K159" s="195"/>
      <c r="L159" s="143"/>
      <c r="M159" s="143">
        <f t="shared" si="10"/>
        <v>0</v>
      </c>
      <c r="N159" s="387"/>
    </row>
    <row r="160" spans="1:14" s="27" customFormat="1" ht="17.25" customHeight="1">
      <c r="A160" s="23"/>
      <c r="B160" s="32"/>
      <c r="C160" s="3" t="s">
        <v>69</v>
      </c>
      <c r="D160" s="3" t="s">
        <v>6</v>
      </c>
      <c r="E160" s="438">
        <v>0.007</v>
      </c>
      <c r="F160" s="2">
        <f>F154*E160</f>
        <v>1.06736</v>
      </c>
      <c r="G160" s="195"/>
      <c r="H160" s="143">
        <f>G160*F160</f>
        <v>0</v>
      </c>
      <c r="I160" s="195"/>
      <c r="J160" s="143"/>
      <c r="K160" s="195"/>
      <c r="L160" s="143"/>
      <c r="M160" s="143">
        <f t="shared" si="10"/>
        <v>0</v>
      </c>
      <c r="N160" s="387"/>
    </row>
    <row r="161" spans="1:14" s="372" customFormat="1" ht="54" customHeight="1">
      <c r="A161" s="3">
        <f>A154+1</f>
        <v>28</v>
      </c>
      <c r="B161" s="33" t="s">
        <v>17</v>
      </c>
      <c r="C161" s="34" t="s">
        <v>279</v>
      </c>
      <c r="D161" s="34" t="s">
        <v>463</v>
      </c>
      <c r="E161" s="1"/>
      <c r="F161" s="8">
        <f>(4.36+4.21+6.8+14.7+7.7+16.52+7.8+5.78+8.37)*1</f>
        <v>76.24000000000001</v>
      </c>
      <c r="G161" s="195"/>
      <c r="H161" s="143"/>
      <c r="I161" s="195"/>
      <c r="J161" s="143"/>
      <c r="K161" s="195"/>
      <c r="L161" s="143"/>
      <c r="M161" s="143"/>
      <c r="N161" s="387"/>
    </row>
    <row r="162" spans="1:15" s="37" customFormat="1" ht="18" customHeight="1">
      <c r="A162" s="23"/>
      <c r="B162" s="35"/>
      <c r="C162" s="3" t="s">
        <v>13</v>
      </c>
      <c r="D162" s="131" t="s">
        <v>139</v>
      </c>
      <c r="E162" s="662">
        <f>65.8*0.01</f>
        <v>0.658</v>
      </c>
      <c r="F162" s="1">
        <f>F161*E162</f>
        <v>50.16592000000001</v>
      </c>
      <c r="G162" s="195"/>
      <c r="H162" s="143"/>
      <c r="I162" s="195"/>
      <c r="J162" s="143">
        <f>I162*F162</f>
        <v>0</v>
      </c>
      <c r="K162" s="195"/>
      <c r="L162" s="143"/>
      <c r="M162" s="143">
        <f aca="true" t="shared" si="11" ref="M162:M167">L162+J162+H162</f>
        <v>0</v>
      </c>
      <c r="N162" s="387"/>
      <c r="O162" s="27"/>
    </row>
    <row r="163" spans="1:14" s="27" customFormat="1" ht="18" customHeight="1">
      <c r="A163" s="23"/>
      <c r="B163" s="32"/>
      <c r="C163" s="3" t="s">
        <v>70</v>
      </c>
      <c r="D163" s="3" t="s">
        <v>6</v>
      </c>
      <c r="E163" s="2">
        <v>0.01</v>
      </c>
      <c r="F163" s="2">
        <f>F161*E163</f>
        <v>0.7624000000000001</v>
      </c>
      <c r="G163" s="195"/>
      <c r="H163" s="143"/>
      <c r="I163" s="195"/>
      <c r="J163" s="143"/>
      <c r="K163" s="195"/>
      <c r="L163" s="143">
        <f>K163*F163</f>
        <v>0</v>
      </c>
      <c r="M163" s="143">
        <f t="shared" si="11"/>
        <v>0</v>
      </c>
      <c r="N163" s="387"/>
    </row>
    <row r="164" spans="1:14" s="27" customFormat="1" ht="17.25" customHeight="1">
      <c r="A164" s="23"/>
      <c r="B164" s="35"/>
      <c r="C164" s="23" t="s">
        <v>19</v>
      </c>
      <c r="D164" s="23" t="s">
        <v>42</v>
      </c>
      <c r="E164" s="2">
        <v>0.63</v>
      </c>
      <c r="F164" s="1">
        <f>F161*E164</f>
        <v>48.031200000000005</v>
      </c>
      <c r="G164" s="195"/>
      <c r="H164" s="143">
        <f>G164*F164</f>
        <v>0</v>
      </c>
      <c r="I164" s="195"/>
      <c r="J164" s="143"/>
      <c r="K164" s="195"/>
      <c r="L164" s="143"/>
      <c r="M164" s="143">
        <f t="shared" si="11"/>
        <v>0</v>
      </c>
      <c r="N164" s="387"/>
    </row>
    <row r="165" spans="1:14" s="27" customFormat="1" ht="18" customHeight="1">
      <c r="A165" s="23"/>
      <c r="B165" s="35"/>
      <c r="C165" s="23" t="s">
        <v>20</v>
      </c>
      <c r="D165" s="23" t="s">
        <v>42</v>
      </c>
      <c r="E165" s="2">
        <v>0.79</v>
      </c>
      <c r="F165" s="1">
        <f>F161*E165</f>
        <v>60.22960000000001</v>
      </c>
      <c r="G165" s="195"/>
      <c r="H165" s="143">
        <f>G165*F165</f>
        <v>0</v>
      </c>
      <c r="I165" s="195"/>
      <c r="J165" s="143"/>
      <c r="K165" s="195"/>
      <c r="L165" s="143"/>
      <c r="M165" s="143">
        <f t="shared" si="11"/>
        <v>0</v>
      </c>
      <c r="N165" s="387"/>
    </row>
    <row r="166" spans="1:14" s="27" customFormat="1" ht="18" customHeight="1">
      <c r="A166" s="23"/>
      <c r="B166" s="35"/>
      <c r="C166" s="23" t="s">
        <v>51</v>
      </c>
      <c r="D166" s="23" t="s">
        <v>7</v>
      </c>
      <c r="E166" s="2">
        <v>0.5</v>
      </c>
      <c r="F166" s="1">
        <f>E166*F161</f>
        <v>38.120000000000005</v>
      </c>
      <c r="G166" s="195"/>
      <c r="H166" s="143">
        <f>G166*F166</f>
        <v>0</v>
      </c>
      <c r="I166" s="195"/>
      <c r="J166" s="143"/>
      <c r="K166" s="195"/>
      <c r="L166" s="143"/>
      <c r="M166" s="143">
        <f t="shared" si="11"/>
        <v>0</v>
      </c>
      <c r="N166" s="387"/>
    </row>
    <row r="167" spans="1:14" s="27" customFormat="1" ht="18" customHeight="1">
      <c r="A167" s="23"/>
      <c r="B167" s="32"/>
      <c r="C167" s="3" t="s">
        <v>69</v>
      </c>
      <c r="D167" s="3" t="s">
        <v>6</v>
      </c>
      <c r="E167" s="438">
        <v>0.016</v>
      </c>
      <c r="F167" s="2">
        <f>F161*E167</f>
        <v>1.2198400000000003</v>
      </c>
      <c r="G167" s="195"/>
      <c r="H167" s="143">
        <f>G167*F167</f>
        <v>0</v>
      </c>
      <c r="I167" s="195"/>
      <c r="J167" s="143"/>
      <c r="K167" s="195"/>
      <c r="L167" s="143"/>
      <c r="M167" s="143">
        <f t="shared" si="11"/>
        <v>0</v>
      </c>
      <c r="N167" s="387"/>
    </row>
    <row r="168" spans="1:14" s="372" customFormat="1" ht="51" customHeight="1">
      <c r="A168" s="3">
        <f>A161+1</f>
        <v>29</v>
      </c>
      <c r="B168" s="33" t="s">
        <v>388</v>
      </c>
      <c r="C168" s="34" t="s">
        <v>520</v>
      </c>
      <c r="D168" s="34" t="s">
        <v>463</v>
      </c>
      <c r="E168" s="34"/>
      <c r="F168" s="8">
        <f>(2.2+2.2+1.8)*0.5*2</f>
        <v>6.2</v>
      </c>
      <c r="G168" s="2"/>
      <c r="H168" s="1"/>
      <c r="I168" s="2"/>
      <c r="J168" s="1"/>
      <c r="K168" s="1"/>
      <c r="L168" s="2"/>
      <c r="M168" s="2"/>
      <c r="N168" s="734"/>
    </row>
    <row r="169" spans="1:14" s="27" customFormat="1" ht="18" customHeight="1">
      <c r="A169" s="108"/>
      <c r="B169" s="35"/>
      <c r="C169" s="23" t="s">
        <v>13</v>
      </c>
      <c r="D169" s="3" t="s">
        <v>464</v>
      </c>
      <c r="E169" s="2">
        <f>880/100</f>
        <v>8.8</v>
      </c>
      <c r="F169" s="1">
        <f>E169*F168</f>
        <v>54.56000000000001</v>
      </c>
      <c r="G169" s="2"/>
      <c r="H169" s="1"/>
      <c r="I169" s="2"/>
      <c r="J169" s="1">
        <f>I169*F169</f>
        <v>0</v>
      </c>
      <c r="K169" s="1"/>
      <c r="L169" s="2"/>
      <c r="M169" s="2">
        <f>L169+J169+H169</f>
        <v>0</v>
      </c>
      <c r="N169" s="738"/>
    </row>
    <row r="170" spans="1:14" s="27" customFormat="1" ht="18" customHeight="1">
      <c r="A170" s="108"/>
      <c r="B170" s="35"/>
      <c r="C170" s="3" t="s">
        <v>70</v>
      </c>
      <c r="D170" s="3" t="s">
        <v>6</v>
      </c>
      <c r="E170" s="2">
        <f>5/100</f>
        <v>0.05</v>
      </c>
      <c r="F170" s="2">
        <f>F168*E170</f>
        <v>0.31000000000000005</v>
      </c>
      <c r="G170" s="195"/>
      <c r="H170" s="143"/>
      <c r="I170" s="195"/>
      <c r="J170" s="143"/>
      <c r="K170" s="195"/>
      <c r="L170" s="143">
        <f>K170*F170</f>
        <v>0</v>
      </c>
      <c r="M170" s="143">
        <f>L170+J170+H170</f>
        <v>0</v>
      </c>
      <c r="N170" s="738"/>
    </row>
    <row r="171" spans="1:14" s="27" customFormat="1" ht="18" customHeight="1">
      <c r="A171" s="108"/>
      <c r="B171" s="32"/>
      <c r="C171" s="23" t="s">
        <v>110</v>
      </c>
      <c r="D171" s="23" t="s">
        <v>504</v>
      </c>
      <c r="E171" s="438">
        <f>(2.5)/100</f>
        <v>0.025</v>
      </c>
      <c r="F171" s="2">
        <f>F168*E171</f>
        <v>0.15500000000000003</v>
      </c>
      <c r="G171" s="2"/>
      <c r="H171" s="1"/>
      <c r="I171" s="2"/>
      <c r="J171" s="1"/>
      <c r="K171" s="1"/>
      <c r="L171" s="2"/>
      <c r="M171" s="2"/>
      <c r="N171" s="738"/>
    </row>
    <row r="172" spans="1:14" s="77" customFormat="1" ht="18" customHeight="1">
      <c r="A172" s="3"/>
      <c r="B172" s="32"/>
      <c r="C172" s="23" t="s">
        <v>43</v>
      </c>
      <c r="D172" s="23" t="s">
        <v>504</v>
      </c>
      <c r="E172" s="2">
        <v>1.16</v>
      </c>
      <c r="F172" s="2">
        <f>F171*E172</f>
        <v>0.17980000000000002</v>
      </c>
      <c r="G172" s="195"/>
      <c r="H172" s="143">
        <f>G172*F172</f>
        <v>0</v>
      </c>
      <c r="I172" s="195"/>
      <c r="J172" s="143"/>
      <c r="K172" s="195"/>
      <c r="L172" s="143"/>
      <c r="M172" s="143">
        <f>L172+J172+H172</f>
        <v>0</v>
      </c>
      <c r="N172" s="389"/>
    </row>
    <row r="173" spans="1:14" s="77" customFormat="1" ht="18" customHeight="1">
      <c r="A173" s="3"/>
      <c r="B173" s="32"/>
      <c r="C173" s="23" t="s">
        <v>44</v>
      </c>
      <c r="D173" s="23" t="s">
        <v>8</v>
      </c>
      <c r="E173" s="438">
        <v>0.416</v>
      </c>
      <c r="F173" s="2">
        <f>E173*F171</f>
        <v>0.06448000000000001</v>
      </c>
      <c r="G173" s="195"/>
      <c r="H173" s="143">
        <f>G173*F173</f>
        <v>0</v>
      </c>
      <c r="I173" s="195"/>
      <c r="J173" s="143"/>
      <c r="K173" s="195"/>
      <c r="L173" s="143"/>
      <c r="M173" s="143">
        <f>L173+J173+H173</f>
        <v>0</v>
      </c>
      <c r="N173" s="389"/>
    </row>
    <row r="174" spans="1:14" s="27" customFormat="1" ht="18" customHeight="1">
      <c r="A174" s="108"/>
      <c r="B174" s="32"/>
      <c r="C174" s="23" t="s">
        <v>387</v>
      </c>
      <c r="D174" s="3" t="s">
        <v>464</v>
      </c>
      <c r="E174" s="2">
        <v>1</v>
      </c>
      <c r="F174" s="1">
        <f>E174*F168</f>
        <v>6.2</v>
      </c>
      <c r="G174" s="2"/>
      <c r="H174" s="1">
        <f>G174*F174</f>
        <v>0</v>
      </c>
      <c r="I174" s="2"/>
      <c r="J174" s="1"/>
      <c r="K174" s="1"/>
      <c r="L174" s="2"/>
      <c r="M174" s="2">
        <f>L174+J174+H174</f>
        <v>0</v>
      </c>
      <c r="N174" s="738"/>
    </row>
    <row r="175" spans="1:15" s="313" customFormat="1" ht="18" customHeight="1">
      <c r="A175" s="441"/>
      <c r="B175" s="35"/>
      <c r="C175" s="23" t="s">
        <v>69</v>
      </c>
      <c r="D175" s="3" t="s">
        <v>6</v>
      </c>
      <c r="E175" s="2">
        <f>11/100</f>
        <v>0.11</v>
      </c>
      <c r="F175" s="1">
        <f>E175*F168</f>
        <v>0.682</v>
      </c>
      <c r="G175" s="2"/>
      <c r="H175" s="1">
        <f>G175*F175</f>
        <v>0</v>
      </c>
      <c r="I175" s="2"/>
      <c r="J175" s="1"/>
      <c r="K175" s="1"/>
      <c r="L175" s="2"/>
      <c r="M175" s="2">
        <f>L175+J175+H175</f>
        <v>0</v>
      </c>
      <c r="N175" s="514"/>
      <c r="O175" s="7"/>
    </row>
    <row r="176" spans="1:16" s="510" customFormat="1" ht="18" customHeight="1">
      <c r="A176" s="659"/>
      <c r="B176" s="498"/>
      <c r="C176" s="509" t="s">
        <v>278</v>
      </c>
      <c r="D176" s="509"/>
      <c r="E176" s="227"/>
      <c r="F176" s="227"/>
      <c r="G176" s="673"/>
      <c r="H176" s="1"/>
      <c r="I176" s="143"/>
      <c r="J176" s="195"/>
      <c r="K176" s="143"/>
      <c r="L176" s="195"/>
      <c r="M176" s="143"/>
      <c r="N176" s="143"/>
      <c r="P176" s="511"/>
    </row>
    <row r="177" spans="1:16" s="490" customFormat="1" ht="45.75" customHeight="1">
      <c r="A177" s="3">
        <f>A168+1</f>
        <v>30</v>
      </c>
      <c r="B177" s="33" t="s">
        <v>521</v>
      </c>
      <c r="C177" s="130" t="s">
        <v>248</v>
      </c>
      <c r="D177" s="130" t="s">
        <v>463</v>
      </c>
      <c r="E177" s="130"/>
      <c r="F177" s="393">
        <f>F102</f>
        <v>45.8</v>
      </c>
      <c r="G177" s="195"/>
      <c r="H177" s="1"/>
      <c r="I177" s="195"/>
      <c r="J177" s="143"/>
      <c r="K177" s="195"/>
      <c r="L177" s="143"/>
      <c r="M177" s="143"/>
      <c r="N177" s="507"/>
      <c r="O177" s="113"/>
      <c r="P177" s="113"/>
    </row>
    <row r="178" spans="1:16" s="490" customFormat="1" ht="17.25" customHeight="1">
      <c r="A178" s="672"/>
      <c r="B178" s="38"/>
      <c r="C178" s="131" t="s">
        <v>13</v>
      </c>
      <c r="D178" s="660" t="s">
        <v>464</v>
      </c>
      <c r="E178" s="749">
        <f>71.4/100</f>
        <v>0.7140000000000001</v>
      </c>
      <c r="F178" s="283">
        <f>E178*F177</f>
        <v>32.7012</v>
      </c>
      <c r="G178" s="195"/>
      <c r="H178" s="1"/>
      <c r="I178" s="195"/>
      <c r="J178" s="143">
        <f>I178*F178</f>
        <v>0</v>
      </c>
      <c r="K178" s="195"/>
      <c r="L178" s="143"/>
      <c r="M178" s="143">
        <f aca="true" t="shared" si="12" ref="M178:M187">L178+J178+H178</f>
        <v>0</v>
      </c>
      <c r="N178" s="508"/>
      <c r="O178" s="113"/>
      <c r="P178" s="113"/>
    </row>
    <row r="179" spans="1:14" s="27" customFormat="1" ht="17.25" customHeight="1">
      <c r="A179" s="23"/>
      <c r="B179" s="32"/>
      <c r="C179" s="3" t="s">
        <v>70</v>
      </c>
      <c r="D179" s="3" t="s">
        <v>6</v>
      </c>
      <c r="E179" s="671">
        <f>1.83/100</f>
        <v>0.0183</v>
      </c>
      <c r="F179" s="2">
        <f>E179*F177</f>
        <v>0.83814</v>
      </c>
      <c r="G179" s="195"/>
      <c r="H179" s="1"/>
      <c r="I179" s="195"/>
      <c r="J179" s="143"/>
      <c r="K179" s="195"/>
      <c r="L179" s="143">
        <f>K179*F179</f>
        <v>0</v>
      </c>
      <c r="M179" s="143">
        <f t="shared" si="12"/>
        <v>0</v>
      </c>
      <c r="N179" s="387"/>
    </row>
    <row r="180" spans="1:14" s="27" customFormat="1" ht="30.75" customHeight="1">
      <c r="A180" s="23"/>
      <c r="B180" s="32"/>
      <c r="C180" s="3" t="s">
        <v>522</v>
      </c>
      <c r="D180" s="131" t="s">
        <v>464</v>
      </c>
      <c r="E180" s="2">
        <f>105/100</f>
        <v>1.05</v>
      </c>
      <c r="F180" s="2">
        <f>E180*F177</f>
        <v>48.089999999999996</v>
      </c>
      <c r="G180" s="195"/>
      <c r="H180" s="1">
        <f aca="true" t="shared" si="13" ref="H180:H187">G180*F180</f>
        <v>0</v>
      </c>
      <c r="I180" s="674"/>
      <c r="J180" s="143"/>
      <c r="K180" s="195"/>
      <c r="L180" s="143"/>
      <c r="M180" s="143">
        <f t="shared" si="12"/>
        <v>0</v>
      </c>
      <c r="N180" s="387"/>
    </row>
    <row r="181" spans="1:14" s="27" customFormat="1" ht="17.25" customHeight="1">
      <c r="A181" s="23"/>
      <c r="B181" s="32"/>
      <c r="C181" s="748" t="s">
        <v>523</v>
      </c>
      <c r="D181" s="131" t="s">
        <v>7</v>
      </c>
      <c r="E181" s="2">
        <v>2.9</v>
      </c>
      <c r="F181" s="2">
        <f>E181*F177</f>
        <v>132.82</v>
      </c>
      <c r="G181" s="195"/>
      <c r="H181" s="1">
        <f t="shared" si="13"/>
        <v>0</v>
      </c>
      <c r="I181" s="750"/>
      <c r="J181" s="143"/>
      <c r="K181" s="195"/>
      <c r="L181" s="143"/>
      <c r="M181" s="143">
        <f t="shared" si="12"/>
        <v>0</v>
      </c>
      <c r="N181" s="387"/>
    </row>
    <row r="182" spans="1:14" s="27" customFormat="1" ht="17.25" customHeight="1">
      <c r="A182" s="23"/>
      <c r="B182" s="32"/>
      <c r="C182" s="748" t="s">
        <v>524</v>
      </c>
      <c r="D182" s="3" t="s">
        <v>12</v>
      </c>
      <c r="E182" s="2">
        <v>6</v>
      </c>
      <c r="F182" s="2">
        <f>E182*F177</f>
        <v>274.79999999999995</v>
      </c>
      <c r="G182" s="195"/>
      <c r="H182" s="1">
        <f t="shared" si="13"/>
        <v>0</v>
      </c>
      <c r="I182" s="750"/>
      <c r="J182" s="143"/>
      <c r="K182" s="195"/>
      <c r="L182" s="143"/>
      <c r="M182" s="143">
        <f t="shared" si="12"/>
        <v>0</v>
      </c>
      <c r="N182" s="387"/>
    </row>
    <row r="183" spans="1:14" s="27" customFormat="1" ht="17.25" customHeight="1">
      <c r="A183" s="23"/>
      <c r="B183" s="32"/>
      <c r="C183" s="751" t="s">
        <v>525</v>
      </c>
      <c r="D183" s="3" t="s">
        <v>12</v>
      </c>
      <c r="E183" s="2">
        <v>1.9</v>
      </c>
      <c r="F183" s="2">
        <f>E183*F177</f>
        <v>87.02</v>
      </c>
      <c r="G183" s="195"/>
      <c r="H183" s="1">
        <f t="shared" si="13"/>
        <v>0</v>
      </c>
      <c r="I183" s="750"/>
      <c r="J183" s="143"/>
      <c r="K183" s="195"/>
      <c r="L183" s="143"/>
      <c r="M183" s="143">
        <f t="shared" si="12"/>
        <v>0</v>
      </c>
      <c r="N183" s="387"/>
    </row>
    <row r="184" spans="1:14" s="27" customFormat="1" ht="17.25" customHeight="1">
      <c r="A184" s="23"/>
      <c r="B184" s="32"/>
      <c r="C184" s="3" t="s">
        <v>526</v>
      </c>
      <c r="D184" s="3" t="s">
        <v>12</v>
      </c>
      <c r="E184" s="2">
        <v>0.7</v>
      </c>
      <c r="F184" s="2">
        <f>E184*F177</f>
        <v>32.059999999999995</v>
      </c>
      <c r="G184" s="195"/>
      <c r="H184" s="1">
        <f t="shared" si="13"/>
        <v>0</v>
      </c>
      <c r="I184" s="750"/>
      <c r="J184" s="143"/>
      <c r="K184" s="195"/>
      <c r="L184" s="143"/>
      <c r="M184" s="143">
        <f t="shared" si="12"/>
        <v>0</v>
      </c>
      <c r="N184" s="387"/>
    </row>
    <row r="185" spans="1:14" s="27" customFormat="1" ht="17.25" customHeight="1">
      <c r="A185" s="23"/>
      <c r="B185" s="32"/>
      <c r="C185" s="3" t="s">
        <v>527</v>
      </c>
      <c r="D185" s="3" t="s">
        <v>12</v>
      </c>
      <c r="E185" s="2">
        <v>24.4</v>
      </c>
      <c r="F185" s="2">
        <f>E185*F177</f>
        <v>1117.5199999999998</v>
      </c>
      <c r="G185" s="195"/>
      <c r="H185" s="1">
        <f t="shared" si="13"/>
        <v>0</v>
      </c>
      <c r="I185" s="750"/>
      <c r="J185" s="143"/>
      <c r="K185" s="195"/>
      <c r="L185" s="143"/>
      <c r="M185" s="143">
        <f t="shared" si="12"/>
        <v>0</v>
      </c>
      <c r="N185" s="387"/>
    </row>
    <row r="186" spans="1:14" s="27" customFormat="1" ht="17.25" customHeight="1">
      <c r="A186" s="23"/>
      <c r="B186" s="32"/>
      <c r="C186" s="3" t="s">
        <v>528</v>
      </c>
      <c r="D186" s="131" t="s">
        <v>7</v>
      </c>
      <c r="E186" s="2">
        <v>1.2</v>
      </c>
      <c r="F186" s="2">
        <f>E186*F177</f>
        <v>54.959999999999994</v>
      </c>
      <c r="G186" s="195"/>
      <c r="H186" s="1">
        <f t="shared" si="13"/>
        <v>0</v>
      </c>
      <c r="I186" s="750"/>
      <c r="J186" s="143"/>
      <c r="K186" s="195"/>
      <c r="L186" s="143"/>
      <c r="M186" s="143">
        <f t="shared" si="12"/>
        <v>0</v>
      </c>
      <c r="N186" s="387"/>
    </row>
    <row r="187" spans="1:14" s="27" customFormat="1" ht="17.25" customHeight="1">
      <c r="A187" s="23"/>
      <c r="B187" s="32"/>
      <c r="C187" s="3" t="s">
        <v>511</v>
      </c>
      <c r="D187" s="3" t="s">
        <v>12</v>
      </c>
      <c r="E187" s="2">
        <v>6</v>
      </c>
      <c r="F187" s="2">
        <f>E187*F177</f>
        <v>274.79999999999995</v>
      </c>
      <c r="G187" s="195"/>
      <c r="H187" s="1">
        <f t="shared" si="13"/>
        <v>0</v>
      </c>
      <c r="I187" s="750"/>
      <c r="J187" s="143"/>
      <c r="K187" s="195"/>
      <c r="L187" s="143"/>
      <c r="M187" s="143">
        <f t="shared" si="12"/>
        <v>0</v>
      </c>
      <c r="N187" s="387"/>
    </row>
    <row r="188" spans="1:16" s="490" customFormat="1" ht="17.25" customHeight="1">
      <c r="A188" s="672"/>
      <c r="B188" s="35"/>
      <c r="C188" s="23" t="s">
        <v>69</v>
      </c>
      <c r="D188" s="3" t="s">
        <v>6</v>
      </c>
      <c r="E188" s="671">
        <f>2.69/100</f>
        <v>0.0269</v>
      </c>
      <c r="F188" s="1">
        <f>E188*F177</f>
        <v>1.23202</v>
      </c>
      <c r="G188" s="2"/>
      <c r="H188" s="1">
        <f>G188*F188</f>
        <v>0</v>
      </c>
      <c r="I188" s="2"/>
      <c r="J188" s="1"/>
      <c r="K188" s="1"/>
      <c r="L188" s="2"/>
      <c r="M188" s="2">
        <f>L188+J188+H188</f>
        <v>0</v>
      </c>
      <c r="N188" s="515"/>
      <c r="O188" s="113"/>
      <c r="P188" s="113"/>
    </row>
    <row r="189" spans="1:15" s="490" customFormat="1" ht="51" customHeight="1">
      <c r="A189" s="3">
        <f>A177+1</f>
        <v>31</v>
      </c>
      <c r="B189" s="33" t="s">
        <v>529</v>
      </c>
      <c r="C189" s="130" t="s">
        <v>454</v>
      </c>
      <c r="D189" s="130" t="s">
        <v>463</v>
      </c>
      <c r="E189" s="130"/>
      <c r="F189" s="393">
        <f>F95+F115+F92</f>
        <v>771.3500000000001</v>
      </c>
      <c r="G189" s="2"/>
      <c r="H189" s="1"/>
      <c r="I189" s="2"/>
      <c r="J189" s="1"/>
      <c r="K189" s="1"/>
      <c r="L189" s="2"/>
      <c r="M189" s="2"/>
      <c r="N189" s="489"/>
      <c r="O189" s="113"/>
    </row>
    <row r="190" spans="1:15" s="490" customFormat="1" ht="17.25" customHeight="1">
      <c r="A190" s="672"/>
      <c r="B190" s="38"/>
      <c r="C190" s="131" t="s">
        <v>13</v>
      </c>
      <c r="D190" s="660" t="s">
        <v>464</v>
      </c>
      <c r="E190" s="21">
        <f>153/100</f>
        <v>1.53</v>
      </c>
      <c r="F190" s="132">
        <f>F189*E190</f>
        <v>1180.1655000000003</v>
      </c>
      <c r="G190" s="2"/>
      <c r="H190" s="1"/>
      <c r="I190" s="2"/>
      <c r="J190" s="1">
        <f>I190*F190</f>
        <v>0</v>
      </c>
      <c r="K190" s="1"/>
      <c r="L190" s="2"/>
      <c r="M190" s="2">
        <f>L190+J190+H190</f>
        <v>0</v>
      </c>
      <c r="N190" s="515"/>
      <c r="O190" s="113"/>
    </row>
    <row r="191" spans="1:15" s="490" customFormat="1" ht="17.25" customHeight="1">
      <c r="A191" s="672"/>
      <c r="B191" s="752"/>
      <c r="C191" s="3" t="s">
        <v>530</v>
      </c>
      <c r="D191" s="3" t="s">
        <v>6</v>
      </c>
      <c r="E191" s="3">
        <f>4.3/100</f>
        <v>0.043</v>
      </c>
      <c r="F191" s="1">
        <f>F190*E191</f>
        <v>50.74711650000001</v>
      </c>
      <c r="G191" s="753"/>
      <c r="H191" s="753"/>
      <c r="I191" s="753"/>
      <c r="J191" s="753"/>
      <c r="K191" s="753"/>
      <c r="L191" s="753">
        <f>F191*K191</f>
        <v>0</v>
      </c>
      <c r="M191" s="753">
        <f>H191+J191+L191</f>
        <v>0</v>
      </c>
      <c r="N191" s="489"/>
      <c r="O191" s="113"/>
    </row>
    <row r="192" spans="1:15" s="490" customFormat="1" ht="36" customHeight="1">
      <c r="A192" s="672"/>
      <c r="B192" s="754"/>
      <c r="C192" s="3" t="s">
        <v>648</v>
      </c>
      <c r="D192" s="3" t="s">
        <v>531</v>
      </c>
      <c r="E192" s="3">
        <v>1.03</v>
      </c>
      <c r="F192" s="1">
        <f>F190*E192</f>
        <v>1215.5704650000002</v>
      </c>
      <c r="G192" s="753"/>
      <c r="H192" s="753">
        <f>F192*G192</f>
        <v>0</v>
      </c>
      <c r="I192" s="753"/>
      <c r="J192" s="753"/>
      <c r="K192" s="753"/>
      <c r="L192" s="753"/>
      <c r="M192" s="753">
        <f>H192+J192+L192</f>
        <v>0</v>
      </c>
      <c r="N192" s="489"/>
      <c r="O192" s="113"/>
    </row>
    <row r="193" spans="1:15" s="490" customFormat="1" ht="17.25" customHeight="1">
      <c r="A193" s="672"/>
      <c r="B193" s="752"/>
      <c r="C193" s="3" t="s">
        <v>87</v>
      </c>
      <c r="D193" s="3" t="s">
        <v>6</v>
      </c>
      <c r="E193" s="3">
        <f>6.4/100</f>
        <v>0.064</v>
      </c>
      <c r="F193" s="1">
        <f>E193*F190</f>
        <v>75.53059200000003</v>
      </c>
      <c r="G193" s="753"/>
      <c r="H193" s="753">
        <f>F193*G193</f>
        <v>0</v>
      </c>
      <c r="I193" s="753"/>
      <c r="J193" s="753"/>
      <c r="K193" s="753"/>
      <c r="L193" s="753"/>
      <c r="M193" s="753">
        <f>H193+J193+L193</f>
        <v>0</v>
      </c>
      <c r="N193" s="489"/>
      <c r="O193" s="113"/>
    </row>
    <row r="194" spans="1:14" s="372" customFormat="1" ht="36" customHeight="1">
      <c r="A194" s="3">
        <f>A189+1</f>
        <v>32</v>
      </c>
      <c r="B194" s="33" t="s">
        <v>532</v>
      </c>
      <c r="C194" s="34" t="s">
        <v>18</v>
      </c>
      <c r="D194" s="34" t="s">
        <v>463</v>
      </c>
      <c r="E194" s="1"/>
      <c r="F194" s="8">
        <f>F177</f>
        <v>45.8</v>
      </c>
      <c r="G194" s="195"/>
      <c r="H194" s="143"/>
      <c r="I194" s="195"/>
      <c r="J194" s="143"/>
      <c r="K194" s="195"/>
      <c r="L194" s="143"/>
      <c r="M194" s="143"/>
      <c r="N194" s="387"/>
    </row>
    <row r="195" spans="1:15" s="37" customFormat="1" ht="17.25" customHeight="1">
      <c r="A195" s="23"/>
      <c r="B195" s="35"/>
      <c r="C195" s="3" t="s">
        <v>13</v>
      </c>
      <c r="D195" s="131" t="s">
        <v>139</v>
      </c>
      <c r="E195" s="662">
        <f>53.5/100</f>
        <v>0.535</v>
      </c>
      <c r="F195" s="662">
        <f>F194*E195</f>
        <v>24.503</v>
      </c>
      <c r="G195" s="195"/>
      <c r="H195" s="143"/>
      <c r="I195" s="195"/>
      <c r="J195" s="143">
        <f>I195*F195</f>
        <v>0</v>
      </c>
      <c r="K195" s="195"/>
      <c r="L195" s="143"/>
      <c r="M195" s="143">
        <f>L195+J195+H195</f>
        <v>0</v>
      </c>
      <c r="N195" s="387"/>
      <c r="O195" s="27"/>
    </row>
    <row r="196" spans="1:14" s="27" customFormat="1" ht="17.25" customHeight="1">
      <c r="A196" s="23"/>
      <c r="B196" s="32"/>
      <c r="C196" s="3" t="s">
        <v>70</v>
      </c>
      <c r="D196" s="3" t="s">
        <v>6</v>
      </c>
      <c r="E196" s="438">
        <f>1.2/100</f>
        <v>0.012</v>
      </c>
      <c r="F196" s="438">
        <f>F194*E196</f>
        <v>0.5496</v>
      </c>
      <c r="G196" s="195"/>
      <c r="H196" s="143"/>
      <c r="I196" s="195"/>
      <c r="J196" s="143"/>
      <c r="K196" s="195"/>
      <c r="L196" s="143">
        <f>K196*F196</f>
        <v>0</v>
      </c>
      <c r="M196" s="143">
        <f>L196+J196+H196</f>
        <v>0</v>
      </c>
      <c r="N196" s="387"/>
    </row>
    <row r="197" spans="1:14" s="27" customFormat="1" ht="17.25" customHeight="1">
      <c r="A197" s="23"/>
      <c r="B197" s="35"/>
      <c r="C197" s="23" t="s">
        <v>19</v>
      </c>
      <c r="D197" s="23" t="s">
        <v>42</v>
      </c>
      <c r="E197" s="2">
        <f>63/100</f>
        <v>0.63</v>
      </c>
      <c r="F197" s="662">
        <f>F194*E197</f>
        <v>28.854</v>
      </c>
      <c r="G197" s="195"/>
      <c r="H197" s="143">
        <f>G197*F197</f>
        <v>0</v>
      </c>
      <c r="I197" s="195"/>
      <c r="J197" s="143"/>
      <c r="K197" s="195"/>
      <c r="L197" s="143"/>
      <c r="M197" s="143">
        <f>L197+J197+H197</f>
        <v>0</v>
      </c>
      <c r="N197" s="387"/>
    </row>
    <row r="198" spans="1:14" s="27" customFormat="1" ht="17.25" customHeight="1">
      <c r="A198" s="23"/>
      <c r="B198" s="35"/>
      <c r="C198" s="23" t="s">
        <v>20</v>
      </c>
      <c r="D198" s="23" t="s">
        <v>42</v>
      </c>
      <c r="E198" s="2">
        <f>37/100</f>
        <v>0.37</v>
      </c>
      <c r="F198" s="662">
        <f>F194*E198</f>
        <v>16.945999999999998</v>
      </c>
      <c r="G198" s="195"/>
      <c r="H198" s="143">
        <f>G198*F198</f>
        <v>0</v>
      </c>
      <c r="I198" s="195"/>
      <c r="J198" s="143"/>
      <c r="K198" s="195"/>
      <c r="L198" s="143"/>
      <c r="M198" s="143">
        <f>L198+J198+H198</f>
        <v>0</v>
      </c>
      <c r="N198" s="387"/>
    </row>
    <row r="199" spans="1:14" s="27" customFormat="1" ht="17.25" customHeight="1">
      <c r="A199" s="23"/>
      <c r="B199" s="32"/>
      <c r="C199" s="3" t="s">
        <v>69</v>
      </c>
      <c r="D199" s="3" t="s">
        <v>6</v>
      </c>
      <c r="E199" s="438">
        <f>1.6/100</f>
        <v>0.016</v>
      </c>
      <c r="F199" s="438">
        <f>F194*E199</f>
        <v>0.7328</v>
      </c>
      <c r="G199" s="195"/>
      <c r="H199" s="143">
        <f>G199*F199</f>
        <v>0</v>
      </c>
      <c r="I199" s="195"/>
      <c r="J199" s="143"/>
      <c r="K199" s="195"/>
      <c r="L199" s="143"/>
      <c r="M199" s="143">
        <f>L199+J199+H199</f>
        <v>0</v>
      </c>
      <c r="N199" s="387"/>
    </row>
    <row r="200" spans="1:15" s="510" customFormat="1" ht="18" customHeight="1">
      <c r="A200" s="431"/>
      <c r="B200" s="498"/>
      <c r="C200" s="509" t="s">
        <v>60</v>
      </c>
      <c r="D200" s="227"/>
      <c r="E200" s="659"/>
      <c r="F200" s="227"/>
      <c r="G200" s="195"/>
      <c r="H200" s="143"/>
      <c r="I200" s="195"/>
      <c r="J200" s="143"/>
      <c r="K200" s="195"/>
      <c r="L200" s="143"/>
      <c r="M200" s="143"/>
      <c r="N200" s="500"/>
      <c r="O200" s="511"/>
    </row>
    <row r="201" spans="1:13" s="372" customFormat="1" ht="36" customHeight="1">
      <c r="A201" s="3">
        <f>A194+1</f>
        <v>33</v>
      </c>
      <c r="B201" s="33" t="s">
        <v>533</v>
      </c>
      <c r="C201" s="34" t="s">
        <v>534</v>
      </c>
      <c r="D201" s="34" t="s">
        <v>463</v>
      </c>
      <c r="E201" s="1"/>
      <c r="F201" s="8">
        <f>3.15*33+1.49*2</f>
        <v>106.93</v>
      </c>
      <c r="G201" s="195"/>
      <c r="H201" s="143"/>
      <c r="I201" s="195"/>
      <c r="J201" s="143"/>
      <c r="K201" s="195"/>
      <c r="L201" s="143"/>
      <c r="M201" s="143"/>
    </row>
    <row r="202" spans="1:13" s="27" customFormat="1" ht="18" customHeight="1">
      <c r="A202" s="23"/>
      <c r="B202" s="35"/>
      <c r="C202" s="23" t="s">
        <v>13</v>
      </c>
      <c r="D202" s="131" t="s">
        <v>139</v>
      </c>
      <c r="E202" s="2">
        <f>272/100</f>
        <v>2.72</v>
      </c>
      <c r="F202" s="1">
        <f>F201*E202</f>
        <v>290.84960000000007</v>
      </c>
      <c r="G202" s="195"/>
      <c r="H202" s="143"/>
      <c r="I202" s="195"/>
      <c r="J202" s="143">
        <f>I202*F202</f>
        <v>0</v>
      </c>
      <c r="K202" s="195"/>
      <c r="L202" s="143"/>
      <c r="M202" s="143">
        <f>L202+J202+H202</f>
        <v>0</v>
      </c>
    </row>
    <row r="203" spans="1:13" s="27" customFormat="1" ht="18" customHeight="1">
      <c r="A203" s="23"/>
      <c r="B203" s="35" t="s">
        <v>535</v>
      </c>
      <c r="C203" s="23" t="s">
        <v>536</v>
      </c>
      <c r="D203" s="3" t="s">
        <v>141</v>
      </c>
      <c r="E203" s="438">
        <f>2.4/100</f>
        <v>0.024</v>
      </c>
      <c r="F203" s="1">
        <f>E203*F201</f>
        <v>2.56632</v>
      </c>
      <c r="G203" s="195"/>
      <c r="H203" s="143"/>
      <c r="I203" s="195"/>
      <c r="J203" s="143"/>
      <c r="K203" s="195"/>
      <c r="L203" s="143">
        <f>K203*F203</f>
        <v>0</v>
      </c>
      <c r="M203" s="143">
        <f>L203+J203+H203</f>
        <v>0</v>
      </c>
    </row>
    <row r="204" spans="1:13" s="27" customFormat="1" ht="18" customHeight="1">
      <c r="A204" s="23"/>
      <c r="B204" s="35" t="s">
        <v>537</v>
      </c>
      <c r="C204" s="3" t="s">
        <v>538</v>
      </c>
      <c r="D204" s="3" t="s">
        <v>141</v>
      </c>
      <c r="E204" s="438">
        <f>62.8/100</f>
        <v>0.628</v>
      </c>
      <c r="F204" s="5">
        <f>F201*E204</f>
        <v>67.15204</v>
      </c>
      <c r="G204" s="195"/>
      <c r="H204" s="143"/>
      <c r="I204" s="195"/>
      <c r="J204" s="143"/>
      <c r="K204" s="195"/>
      <c r="L204" s="143">
        <f>K204*F204</f>
        <v>0</v>
      </c>
      <c r="M204" s="143">
        <f>L204+J204+H204</f>
        <v>0</v>
      </c>
    </row>
    <row r="205" spans="1:13" s="27" customFormat="1" ht="36" customHeight="1">
      <c r="A205" s="23"/>
      <c r="B205" s="35" t="s">
        <v>539</v>
      </c>
      <c r="C205" s="23" t="s">
        <v>540</v>
      </c>
      <c r="D205" s="23" t="s">
        <v>464</v>
      </c>
      <c r="E205" s="2">
        <v>1</v>
      </c>
      <c r="F205" s="1">
        <f>F201*E205</f>
        <v>106.93</v>
      </c>
      <c r="G205" s="195"/>
      <c r="H205" s="143">
        <f>G205*F205</f>
        <v>0</v>
      </c>
      <c r="I205" s="195"/>
      <c r="J205" s="143"/>
      <c r="K205" s="195"/>
      <c r="L205" s="143"/>
      <c r="M205" s="143">
        <f>L205+J205+H205</f>
        <v>0</v>
      </c>
    </row>
    <row r="206" spans="1:20" s="372" customFormat="1" ht="50.25" customHeight="1">
      <c r="A206" s="3">
        <f>A201+1</f>
        <v>34</v>
      </c>
      <c r="B206" s="33" t="s">
        <v>249</v>
      </c>
      <c r="C206" s="34" t="s">
        <v>541</v>
      </c>
      <c r="D206" s="34" t="s">
        <v>463</v>
      </c>
      <c r="E206" s="2"/>
      <c r="F206" s="8">
        <f>19.8+3.96+3.61+5.85+3.85+5.85+2.9+3.1</f>
        <v>48.92</v>
      </c>
      <c r="G206" s="2"/>
      <c r="H206" s="1"/>
      <c r="I206" s="2"/>
      <c r="J206" s="1"/>
      <c r="K206" s="8"/>
      <c r="L206" s="8"/>
      <c r="M206" s="8"/>
      <c r="N206" s="319" t="e">
        <f>O206/2.65</f>
        <v>#REF!</v>
      </c>
      <c r="O206" s="319" t="e">
        <f>P206*1.18</f>
        <v>#REF!</v>
      </c>
      <c r="P206" s="319" t="e">
        <f>(M207+#REF!+M210+M211)/F206</f>
        <v>#REF!</v>
      </c>
      <c r="Q206" s="734"/>
      <c r="R206" s="734"/>
      <c r="S206" s="734"/>
      <c r="T206" s="734"/>
    </row>
    <row r="207" spans="1:14" s="27" customFormat="1" ht="15.75">
      <c r="A207" s="108"/>
      <c r="B207" s="35"/>
      <c r="C207" s="23" t="s">
        <v>13</v>
      </c>
      <c r="D207" s="660" t="s">
        <v>139</v>
      </c>
      <c r="E207" s="2">
        <v>7.65</v>
      </c>
      <c r="F207" s="283">
        <f>F206*E207</f>
        <v>374.23800000000006</v>
      </c>
      <c r="G207" s="2"/>
      <c r="H207" s="1"/>
      <c r="I207" s="195"/>
      <c r="J207" s="1">
        <f>I207*F207</f>
        <v>0</v>
      </c>
      <c r="K207" s="1"/>
      <c r="L207" s="1"/>
      <c r="M207" s="1">
        <f aca="true" t="shared" si="14" ref="M207:M214">L207+J207+H207</f>
        <v>0</v>
      </c>
      <c r="N207" s="387"/>
    </row>
    <row r="208" spans="1:14" s="27" customFormat="1" ht="47.25">
      <c r="A208" s="108"/>
      <c r="B208" s="35"/>
      <c r="C208" s="3" t="s">
        <v>542</v>
      </c>
      <c r="D208" s="23" t="s">
        <v>7</v>
      </c>
      <c r="E208" s="2">
        <v>1</v>
      </c>
      <c r="F208" s="1">
        <f>E208*F206</f>
        <v>48.92</v>
      </c>
      <c r="G208" s="195"/>
      <c r="H208" s="1">
        <f>G208*F208</f>
        <v>0</v>
      </c>
      <c r="I208" s="2"/>
      <c r="J208" s="1"/>
      <c r="K208" s="1"/>
      <c r="L208" s="2"/>
      <c r="M208" s="1">
        <f t="shared" si="14"/>
        <v>0</v>
      </c>
      <c r="N208" s="387"/>
    </row>
    <row r="209" spans="1:14" s="27" customFormat="1" ht="18" customHeight="1">
      <c r="A209" s="108"/>
      <c r="B209" s="35"/>
      <c r="C209" s="23" t="s">
        <v>543</v>
      </c>
      <c r="D209" s="23" t="s">
        <v>464</v>
      </c>
      <c r="E209" s="2">
        <v>1.05</v>
      </c>
      <c r="F209" s="662">
        <f>(F206*E209)/3*2</f>
        <v>34.24400000000001</v>
      </c>
      <c r="G209" s="2"/>
      <c r="H209" s="1">
        <f>G209*F209</f>
        <v>0</v>
      </c>
      <c r="I209" s="2"/>
      <c r="J209" s="1"/>
      <c r="K209" s="1"/>
      <c r="L209" s="2"/>
      <c r="M209" s="1">
        <f t="shared" si="14"/>
        <v>0</v>
      </c>
      <c r="N209" s="387"/>
    </row>
    <row r="210" spans="1:14" s="27" customFormat="1" ht="18" customHeight="1">
      <c r="A210" s="23"/>
      <c r="B210" s="35"/>
      <c r="C210" s="23" t="s">
        <v>544</v>
      </c>
      <c r="D210" s="3" t="s">
        <v>141</v>
      </c>
      <c r="E210" s="671">
        <f>(3.64+15.6)/100</f>
        <v>0.1924</v>
      </c>
      <c r="F210" s="662">
        <f>E210*F206</f>
        <v>9.412208</v>
      </c>
      <c r="G210" s="195"/>
      <c r="H210" s="143"/>
      <c r="I210" s="195"/>
      <c r="J210" s="143"/>
      <c r="K210" s="195"/>
      <c r="L210" s="143">
        <f>K210*F210</f>
        <v>0</v>
      </c>
      <c r="M210" s="143">
        <f t="shared" si="14"/>
        <v>0</v>
      </c>
      <c r="N210" s="387"/>
    </row>
    <row r="211" spans="1:14" s="27" customFormat="1" ht="18" customHeight="1">
      <c r="A211" s="23"/>
      <c r="B211" s="32"/>
      <c r="C211" s="3" t="s">
        <v>70</v>
      </c>
      <c r="D211" s="3" t="s">
        <v>6</v>
      </c>
      <c r="E211" s="438">
        <f>34.8*0.01</f>
        <v>0.348</v>
      </c>
      <c r="F211" s="438">
        <f>F206*E211</f>
        <v>17.02416</v>
      </c>
      <c r="G211" s="195"/>
      <c r="H211" s="143"/>
      <c r="I211" s="195"/>
      <c r="J211" s="143"/>
      <c r="K211" s="195"/>
      <c r="L211" s="143">
        <f>K211*F211</f>
        <v>0</v>
      </c>
      <c r="M211" s="143">
        <f t="shared" si="14"/>
        <v>0</v>
      </c>
      <c r="N211" s="387"/>
    </row>
    <row r="212" spans="1:14" s="27" customFormat="1" ht="18" customHeight="1">
      <c r="A212" s="23"/>
      <c r="B212" s="32"/>
      <c r="C212" s="3" t="s">
        <v>545</v>
      </c>
      <c r="D212" s="3" t="s">
        <v>42</v>
      </c>
      <c r="E212" s="2">
        <f>55/100</f>
        <v>0.55</v>
      </c>
      <c r="F212" s="438">
        <f>E212*F206</f>
        <v>26.906000000000002</v>
      </c>
      <c r="G212" s="195"/>
      <c r="H212" s="143">
        <f>G212*F212</f>
        <v>0</v>
      </c>
      <c r="I212" s="195"/>
      <c r="J212" s="143"/>
      <c r="K212" s="195"/>
      <c r="L212" s="143"/>
      <c r="M212" s="143">
        <f t="shared" si="14"/>
        <v>0</v>
      </c>
      <c r="N212" s="387"/>
    </row>
    <row r="213" spans="1:14" s="27" customFormat="1" ht="18" customHeight="1">
      <c r="A213" s="23"/>
      <c r="B213" s="32"/>
      <c r="C213" s="3" t="s">
        <v>477</v>
      </c>
      <c r="D213" s="3" t="s">
        <v>42</v>
      </c>
      <c r="E213" s="2">
        <f>4/100</f>
        <v>0.04</v>
      </c>
      <c r="F213" s="438">
        <f>E213*F206</f>
        <v>1.9568</v>
      </c>
      <c r="G213" s="195"/>
      <c r="H213" s="143">
        <f>G213*F213</f>
        <v>0</v>
      </c>
      <c r="I213" s="195"/>
      <c r="J213" s="143"/>
      <c r="K213" s="195"/>
      <c r="L213" s="143"/>
      <c r="M213" s="143">
        <f t="shared" si="14"/>
        <v>0</v>
      </c>
      <c r="N213" s="387"/>
    </row>
    <row r="214" spans="1:14" s="27" customFormat="1" ht="18" customHeight="1">
      <c r="A214" s="23"/>
      <c r="B214" s="32"/>
      <c r="C214" s="3" t="s">
        <v>69</v>
      </c>
      <c r="D214" s="3" t="s">
        <v>6</v>
      </c>
      <c r="E214" s="438">
        <f>65.6/100</f>
        <v>0.6559999999999999</v>
      </c>
      <c r="F214" s="438">
        <f>E214*F206</f>
        <v>32.091519999999996</v>
      </c>
      <c r="G214" s="195"/>
      <c r="H214" s="143">
        <f>G214*F214</f>
        <v>0</v>
      </c>
      <c r="I214" s="195"/>
      <c r="J214" s="143"/>
      <c r="K214" s="195"/>
      <c r="L214" s="143"/>
      <c r="M214" s="143">
        <f t="shared" si="14"/>
        <v>0</v>
      </c>
      <c r="N214" s="387"/>
    </row>
    <row r="215" spans="1:14" s="372" customFormat="1" ht="36" customHeight="1">
      <c r="A215" s="3">
        <f>A206+1</f>
        <v>35</v>
      </c>
      <c r="B215" s="33" t="s">
        <v>22</v>
      </c>
      <c r="C215" s="34" t="s">
        <v>546</v>
      </c>
      <c r="D215" s="34" t="s">
        <v>463</v>
      </c>
      <c r="E215" s="1"/>
      <c r="F215" s="8">
        <f>19.4+36.86+6.9+10.32</f>
        <v>73.47999999999999</v>
      </c>
      <c r="G215" s="195"/>
      <c r="H215" s="143"/>
      <c r="I215" s="195"/>
      <c r="J215" s="143"/>
      <c r="K215" s="195"/>
      <c r="L215" s="143"/>
      <c r="M215" s="143"/>
      <c r="N215" s="390"/>
    </row>
    <row r="216" spans="1:14" s="27" customFormat="1" ht="18" customHeight="1">
      <c r="A216" s="23"/>
      <c r="B216" s="35"/>
      <c r="C216" s="23" t="s">
        <v>13</v>
      </c>
      <c r="D216" s="131" t="s">
        <v>139</v>
      </c>
      <c r="E216" s="438">
        <f>91.4*0.01</f>
        <v>0.914</v>
      </c>
      <c r="F216" s="1">
        <f>F215*E216</f>
        <v>67.16072</v>
      </c>
      <c r="G216" s="195"/>
      <c r="H216" s="143"/>
      <c r="I216" s="195"/>
      <c r="J216" s="143">
        <f>I216*F216</f>
        <v>0</v>
      </c>
      <c r="K216" s="195"/>
      <c r="L216" s="143"/>
      <c r="M216" s="143">
        <f aca="true" t="shared" si="15" ref="M216:M221">L216+J216+H216</f>
        <v>0</v>
      </c>
      <c r="N216" s="387"/>
    </row>
    <row r="217" spans="1:14" s="27" customFormat="1" ht="18" customHeight="1">
      <c r="A217" s="23"/>
      <c r="B217" s="32"/>
      <c r="C217" s="3" t="s">
        <v>70</v>
      </c>
      <c r="D217" s="3" t="s">
        <v>6</v>
      </c>
      <c r="E217" s="438">
        <v>0.353</v>
      </c>
      <c r="F217" s="2">
        <f>F215*E217</f>
        <v>25.938439999999996</v>
      </c>
      <c r="G217" s="195"/>
      <c r="H217" s="143"/>
      <c r="I217" s="195"/>
      <c r="J217" s="143"/>
      <c r="K217" s="195"/>
      <c r="L217" s="143">
        <f>K217*F217</f>
        <v>0</v>
      </c>
      <c r="M217" s="143">
        <f t="shared" si="15"/>
        <v>0</v>
      </c>
      <c r="N217" s="387"/>
    </row>
    <row r="218" spans="1:14" s="27" customFormat="1" ht="36" customHeight="1">
      <c r="A218" s="23"/>
      <c r="B218" s="35"/>
      <c r="C218" s="23" t="s">
        <v>547</v>
      </c>
      <c r="D218" s="23" t="s">
        <v>464</v>
      </c>
      <c r="E218" s="2">
        <v>1</v>
      </c>
      <c r="F218" s="1">
        <f>F215*E218</f>
        <v>73.47999999999999</v>
      </c>
      <c r="G218" s="195"/>
      <c r="H218" s="143">
        <f>G218*F218</f>
        <v>0</v>
      </c>
      <c r="I218" s="195"/>
      <c r="J218" s="143"/>
      <c r="K218" s="195"/>
      <c r="L218" s="143"/>
      <c r="M218" s="143">
        <f t="shared" si="15"/>
        <v>0</v>
      </c>
      <c r="N218" s="387"/>
    </row>
    <row r="219" spans="1:14" s="27" customFormat="1" ht="18" customHeight="1">
      <c r="A219" s="23"/>
      <c r="B219" s="35"/>
      <c r="C219" s="23" t="s">
        <v>68</v>
      </c>
      <c r="D219" s="23" t="s">
        <v>12</v>
      </c>
      <c r="E219" s="2" t="s">
        <v>41</v>
      </c>
      <c r="F219" s="1">
        <f>10+19+4+6</f>
        <v>39</v>
      </c>
      <c r="G219" s="195"/>
      <c r="H219" s="143">
        <f>G219*F219</f>
        <v>0</v>
      </c>
      <c r="I219" s="195"/>
      <c r="J219" s="143"/>
      <c r="K219" s="195"/>
      <c r="L219" s="143"/>
      <c r="M219" s="143">
        <f t="shared" si="15"/>
        <v>0</v>
      </c>
      <c r="N219" s="387"/>
    </row>
    <row r="220" spans="1:14" s="27" customFormat="1" ht="18" customHeight="1">
      <c r="A220" s="23"/>
      <c r="B220" s="35"/>
      <c r="C220" s="3" t="s">
        <v>548</v>
      </c>
      <c r="D220" s="23" t="s">
        <v>12</v>
      </c>
      <c r="E220" s="2" t="s">
        <v>41</v>
      </c>
      <c r="F220" s="1">
        <v>3</v>
      </c>
      <c r="G220" s="195"/>
      <c r="H220" s="143">
        <f>G220*F220</f>
        <v>0</v>
      </c>
      <c r="I220" s="195"/>
      <c r="J220" s="143"/>
      <c r="K220" s="195"/>
      <c r="L220" s="143"/>
      <c r="M220" s="143">
        <f t="shared" si="15"/>
        <v>0</v>
      </c>
      <c r="N220" s="387"/>
    </row>
    <row r="221" spans="1:14" s="27" customFormat="1" ht="18" customHeight="1">
      <c r="A221" s="23"/>
      <c r="B221" s="32"/>
      <c r="C221" s="3" t="s">
        <v>69</v>
      </c>
      <c r="D221" s="3" t="s">
        <v>6</v>
      </c>
      <c r="E221" s="438">
        <v>0.276</v>
      </c>
      <c r="F221" s="2">
        <f>F215*E221</f>
        <v>20.280479999999997</v>
      </c>
      <c r="G221" s="195"/>
      <c r="H221" s="143">
        <f>G221*F221</f>
        <v>0</v>
      </c>
      <c r="I221" s="195"/>
      <c r="J221" s="143"/>
      <c r="K221" s="195"/>
      <c r="L221" s="143"/>
      <c r="M221" s="143">
        <f t="shared" si="15"/>
        <v>0</v>
      </c>
      <c r="N221" s="387"/>
    </row>
    <row r="222" spans="1:13" s="372" customFormat="1" ht="36" customHeight="1">
      <c r="A222" s="3">
        <f>A215+1</f>
        <v>36</v>
      </c>
      <c r="B222" s="33" t="s">
        <v>328</v>
      </c>
      <c r="C222" s="34" t="s">
        <v>455</v>
      </c>
      <c r="D222" s="108" t="s">
        <v>7</v>
      </c>
      <c r="E222" s="1"/>
      <c r="F222" s="8">
        <f>1.9*34</f>
        <v>64.6</v>
      </c>
      <c r="G222" s="195"/>
      <c r="H222" s="143"/>
      <c r="I222" s="195"/>
      <c r="J222" s="143"/>
      <c r="K222" s="195"/>
      <c r="L222" s="143"/>
      <c r="M222" s="143"/>
    </row>
    <row r="223" spans="1:13" s="27" customFormat="1" ht="18" customHeight="1">
      <c r="A223" s="23"/>
      <c r="B223" s="35"/>
      <c r="C223" s="23" t="s">
        <v>13</v>
      </c>
      <c r="D223" s="131" t="s">
        <v>139</v>
      </c>
      <c r="E223" s="438">
        <f>59.4*0.01</f>
        <v>0.594</v>
      </c>
      <c r="F223" s="1">
        <f>F222*E223</f>
        <v>38.37239999999999</v>
      </c>
      <c r="G223" s="195"/>
      <c r="H223" s="143"/>
      <c r="I223" s="195"/>
      <c r="J223" s="143">
        <f>I223*F223</f>
        <v>0</v>
      </c>
      <c r="K223" s="195"/>
      <c r="L223" s="143"/>
      <c r="M223" s="143">
        <f>L223+J223+H223</f>
        <v>0</v>
      </c>
    </row>
    <row r="224" spans="1:13" s="27" customFormat="1" ht="18" customHeight="1">
      <c r="A224" s="23"/>
      <c r="B224" s="32"/>
      <c r="C224" s="3" t="s">
        <v>70</v>
      </c>
      <c r="D224" s="3" t="s">
        <v>6</v>
      </c>
      <c r="E224" s="671">
        <f>2.66*0.01</f>
        <v>0.026600000000000002</v>
      </c>
      <c r="F224" s="2">
        <f>F222*E224</f>
        <v>1.7183599999999999</v>
      </c>
      <c r="G224" s="195"/>
      <c r="H224" s="143"/>
      <c r="I224" s="195"/>
      <c r="J224" s="143"/>
      <c r="K224" s="195"/>
      <c r="L224" s="143">
        <f>K224*F224</f>
        <v>0</v>
      </c>
      <c r="M224" s="143">
        <f>L224+J224+H224</f>
        <v>0</v>
      </c>
    </row>
    <row r="225" spans="1:14" s="27" customFormat="1" ht="18" customHeight="1">
      <c r="A225" s="23"/>
      <c r="B225" s="35"/>
      <c r="C225" s="23" t="s">
        <v>456</v>
      </c>
      <c r="D225" s="23" t="s">
        <v>7</v>
      </c>
      <c r="E225" s="2">
        <f>74*0.01</f>
        <v>0.74</v>
      </c>
      <c r="F225" s="1">
        <f>F222*E225</f>
        <v>47.803999999999995</v>
      </c>
      <c r="G225" s="195"/>
      <c r="H225" s="143">
        <f>G225*F225</f>
        <v>0</v>
      </c>
      <c r="I225" s="195"/>
      <c r="J225" s="143"/>
      <c r="K225" s="195"/>
      <c r="L225" s="143"/>
      <c r="M225" s="143">
        <f>L225+J225+H225</f>
        <v>0</v>
      </c>
      <c r="N225" s="231"/>
    </row>
    <row r="226" spans="1:14" s="27" customFormat="1" ht="18" customHeight="1">
      <c r="A226" s="23"/>
      <c r="B226" s="35"/>
      <c r="C226" s="3" t="s">
        <v>69</v>
      </c>
      <c r="D226" s="3" t="s">
        <v>6</v>
      </c>
      <c r="E226" s="438">
        <f>4.8*0.01</f>
        <v>0.048</v>
      </c>
      <c r="F226" s="2">
        <f>E226*F222</f>
        <v>3.1008</v>
      </c>
      <c r="G226" s="195"/>
      <c r="H226" s="143">
        <f>G226*F226</f>
        <v>0</v>
      </c>
      <c r="I226" s="195"/>
      <c r="J226" s="143"/>
      <c r="K226" s="195"/>
      <c r="L226" s="143"/>
      <c r="M226" s="143">
        <f>L226+J226+H226</f>
        <v>0</v>
      </c>
      <c r="N226" s="231"/>
    </row>
    <row r="227" spans="1:15" s="37" customFormat="1" ht="48" customHeight="1">
      <c r="A227" s="3">
        <f>A222+1</f>
        <v>37</v>
      </c>
      <c r="B227" s="33" t="s">
        <v>329</v>
      </c>
      <c r="C227" s="34" t="s">
        <v>549</v>
      </c>
      <c r="D227" s="108" t="s">
        <v>463</v>
      </c>
      <c r="E227" s="8"/>
      <c r="F227" s="8">
        <f>2*34*0.25</f>
        <v>17</v>
      </c>
      <c r="G227" s="143"/>
      <c r="H227" s="195"/>
      <c r="I227" s="143"/>
      <c r="J227" s="195"/>
      <c r="K227" s="143"/>
      <c r="L227" s="143"/>
      <c r="M227" s="143"/>
      <c r="N227" s="27"/>
      <c r="O227" s="27"/>
    </row>
    <row r="228" spans="1:13" s="27" customFormat="1" ht="18" customHeight="1">
      <c r="A228" s="23"/>
      <c r="B228" s="32"/>
      <c r="C228" s="3" t="s">
        <v>13</v>
      </c>
      <c r="D228" s="131" t="s">
        <v>139</v>
      </c>
      <c r="E228" s="671">
        <f>4.14*0.01</f>
        <v>0.0414</v>
      </c>
      <c r="F228" s="21">
        <f>F227*E228</f>
        <v>0.7038</v>
      </c>
      <c r="G228" s="143"/>
      <c r="H228" s="195"/>
      <c r="I228" s="143"/>
      <c r="J228" s="195">
        <f>I228*F228</f>
        <v>0</v>
      </c>
      <c r="K228" s="143"/>
      <c r="L228" s="143"/>
      <c r="M228" s="143">
        <f>L228+J228+H228</f>
        <v>0</v>
      </c>
    </row>
    <row r="229" spans="1:15" s="37" customFormat="1" ht="18" customHeight="1">
      <c r="A229" s="23"/>
      <c r="B229" s="35"/>
      <c r="C229" s="3" t="s">
        <v>70</v>
      </c>
      <c r="D229" s="23" t="s">
        <v>6</v>
      </c>
      <c r="E229" s="671">
        <f>0.01/100</f>
        <v>0.0001</v>
      </c>
      <c r="F229" s="1">
        <f>F227*E229</f>
        <v>0.0017000000000000001</v>
      </c>
      <c r="G229" s="143"/>
      <c r="H229" s="195"/>
      <c r="I229" s="143"/>
      <c r="J229" s="195"/>
      <c r="K229" s="143"/>
      <c r="L229" s="143">
        <f>K229*F229</f>
        <v>0</v>
      </c>
      <c r="M229" s="143">
        <f>L229+J229+H229</f>
        <v>0</v>
      </c>
      <c r="N229" s="27"/>
      <c r="O229" s="27"/>
    </row>
    <row r="230" spans="1:15" s="37" customFormat="1" ht="18" customHeight="1">
      <c r="A230" s="23"/>
      <c r="B230" s="35"/>
      <c r="C230" s="23" t="s">
        <v>384</v>
      </c>
      <c r="D230" s="3" t="s">
        <v>464</v>
      </c>
      <c r="E230" s="2">
        <v>1.1</v>
      </c>
      <c r="F230" s="2">
        <f>E230*F227</f>
        <v>18.700000000000003</v>
      </c>
      <c r="G230" s="143"/>
      <c r="H230" s="195">
        <f>G230*F230</f>
        <v>0</v>
      </c>
      <c r="I230" s="143"/>
      <c r="J230" s="195"/>
      <c r="K230" s="143"/>
      <c r="L230" s="143"/>
      <c r="M230" s="143">
        <f>L230+J230+H230</f>
        <v>0</v>
      </c>
      <c r="N230" s="27"/>
      <c r="O230" s="27"/>
    </row>
    <row r="231" spans="1:15" s="37" customFormat="1" ht="18" customHeight="1">
      <c r="A231" s="23"/>
      <c r="B231" s="35"/>
      <c r="C231" s="3" t="s">
        <v>69</v>
      </c>
      <c r="D231" s="23" t="s">
        <v>6</v>
      </c>
      <c r="E231" s="671">
        <v>0.0036</v>
      </c>
      <c r="F231" s="2">
        <f>F227*E231</f>
        <v>0.0612</v>
      </c>
      <c r="G231" s="143"/>
      <c r="H231" s="195">
        <f>G231*F231</f>
        <v>0</v>
      </c>
      <c r="I231" s="143"/>
      <c r="J231" s="195"/>
      <c r="K231" s="143"/>
      <c r="L231" s="143"/>
      <c r="M231" s="143">
        <f>L231+J231+H231</f>
        <v>0</v>
      </c>
      <c r="N231" s="27"/>
      <c r="O231" s="27"/>
    </row>
    <row r="232" spans="1:15" s="37" customFormat="1" ht="9" customHeight="1">
      <c r="A232" s="23"/>
      <c r="B232" s="35"/>
      <c r="C232" s="43"/>
      <c r="D232" s="23"/>
      <c r="E232" s="23"/>
      <c r="F232" s="23"/>
      <c r="G232" s="2"/>
      <c r="H232" s="2"/>
      <c r="I232" s="2"/>
      <c r="J232" s="2"/>
      <c r="K232" s="2"/>
      <c r="L232" s="2"/>
      <c r="M232" s="1"/>
      <c r="N232" s="387"/>
      <c r="O232" s="27"/>
    </row>
    <row r="233" spans="1:16" s="77" customFormat="1" ht="18" customHeight="1" thickBot="1">
      <c r="A233" s="23"/>
      <c r="B233" s="35"/>
      <c r="C233" s="181" t="s">
        <v>91</v>
      </c>
      <c r="D233" s="108"/>
      <c r="E233" s="23"/>
      <c r="F233" s="108"/>
      <c r="G233" s="8"/>
      <c r="H233" s="8">
        <f>SUM(H75:H232)</f>
        <v>0</v>
      </c>
      <c r="I233" s="24"/>
      <c r="J233" s="8">
        <f>SUM(J75:J232)</f>
        <v>0</v>
      </c>
      <c r="K233" s="24"/>
      <c r="L233" s="8">
        <f>SUM(L75:L232)</f>
        <v>0</v>
      </c>
      <c r="M233" s="8">
        <f>SUM(M75:M232)</f>
        <v>0</v>
      </c>
      <c r="N233" s="388"/>
      <c r="O233" s="303"/>
      <c r="P233" s="112"/>
    </row>
    <row r="234" spans="1:16" s="62" customFormat="1" ht="18" customHeight="1">
      <c r="A234" s="678"/>
      <c r="B234" s="699"/>
      <c r="C234" s="157" t="s">
        <v>285</v>
      </c>
      <c r="D234" s="157"/>
      <c r="E234" s="157"/>
      <c r="F234" s="157"/>
      <c r="G234" s="675"/>
      <c r="H234" s="675">
        <f>H37+H233+H73</f>
        <v>0</v>
      </c>
      <c r="I234" s="675"/>
      <c r="J234" s="675">
        <f>J37+J233+J73</f>
        <v>0</v>
      </c>
      <c r="K234" s="675"/>
      <c r="L234" s="675">
        <f>L37+L233+L73</f>
        <v>0</v>
      </c>
      <c r="M234" s="675">
        <f>M37+M233+M73</f>
        <v>0</v>
      </c>
      <c r="N234" s="390"/>
      <c r="O234" s="518"/>
      <c r="P234" s="519"/>
    </row>
    <row r="235" spans="1:16" s="372" customFormat="1" ht="18" customHeight="1">
      <c r="A235" s="679"/>
      <c r="B235" s="16"/>
      <c r="C235" s="34" t="s">
        <v>14</v>
      </c>
      <c r="D235" s="680"/>
      <c r="E235" s="34"/>
      <c r="F235" s="680"/>
      <c r="G235" s="8"/>
      <c r="H235" s="8"/>
      <c r="I235" s="8"/>
      <c r="J235" s="8"/>
      <c r="K235" s="8"/>
      <c r="L235" s="8"/>
      <c r="M235" s="681">
        <f>M234*D235</f>
        <v>0</v>
      </c>
      <c r="N235" s="391"/>
      <c r="O235" s="734"/>
      <c r="P235" s="734"/>
    </row>
    <row r="236" spans="1:16" s="372" customFormat="1" ht="18" customHeight="1">
      <c r="A236" s="679"/>
      <c r="B236" s="16"/>
      <c r="C236" s="34" t="s">
        <v>9</v>
      </c>
      <c r="D236" s="34"/>
      <c r="E236" s="34"/>
      <c r="F236" s="34"/>
      <c r="G236" s="8"/>
      <c r="H236" s="8"/>
      <c r="I236" s="8"/>
      <c r="J236" s="8"/>
      <c r="K236" s="8"/>
      <c r="L236" s="8"/>
      <c r="M236" s="681">
        <f>SUM(M234:M235)</f>
        <v>0</v>
      </c>
      <c r="N236" s="387"/>
      <c r="O236" s="734"/>
      <c r="P236" s="734"/>
    </row>
    <row r="237" spans="1:14" s="372" customFormat="1" ht="18" customHeight="1">
      <c r="A237" s="679"/>
      <c r="B237" s="16"/>
      <c r="C237" s="34" t="s">
        <v>11</v>
      </c>
      <c r="D237" s="680"/>
      <c r="E237" s="34"/>
      <c r="F237" s="680"/>
      <c r="G237" s="8"/>
      <c r="H237" s="8"/>
      <c r="I237" s="8"/>
      <c r="J237" s="8"/>
      <c r="K237" s="8"/>
      <c r="L237" s="8"/>
      <c r="M237" s="681">
        <f>M236*D237</f>
        <v>0</v>
      </c>
      <c r="N237" s="387"/>
    </row>
    <row r="238" spans="1:14" s="218" customFormat="1" ht="21" customHeight="1" thickBot="1">
      <c r="A238" s="682"/>
      <c r="B238" s="685"/>
      <c r="C238" s="521" t="s">
        <v>10</v>
      </c>
      <c r="D238" s="521"/>
      <c r="E238" s="521"/>
      <c r="F238" s="521"/>
      <c r="G238" s="676"/>
      <c r="H238" s="676"/>
      <c r="I238" s="676"/>
      <c r="J238" s="676"/>
      <c r="K238" s="676"/>
      <c r="L238" s="676"/>
      <c r="M238" s="677">
        <f>SUM(M236:M237)</f>
        <v>0</v>
      </c>
      <c r="N238" s="525"/>
    </row>
    <row r="239" spans="1:14" ht="14.25">
      <c r="A239" s="258"/>
      <c r="B239" s="232"/>
      <c r="C239" s="233"/>
      <c r="D239" s="233"/>
      <c r="E239" s="258"/>
      <c r="F239" s="233"/>
      <c r="G239" s="233"/>
      <c r="H239" s="233"/>
      <c r="I239" s="235"/>
      <c r="J239" s="233"/>
      <c r="K239" s="235"/>
      <c r="L239" s="233"/>
      <c r="N239" s="392"/>
    </row>
    <row r="240" spans="1:12" ht="14.25">
      <c r="A240" s="258"/>
      <c r="B240" s="232"/>
      <c r="C240" s="233"/>
      <c r="D240" s="233"/>
      <c r="E240" s="258"/>
      <c r="F240" s="233"/>
      <c r="G240" s="233"/>
      <c r="H240" s="233"/>
      <c r="I240" s="235"/>
      <c r="J240" s="233"/>
      <c r="K240" s="235"/>
      <c r="L240" s="233"/>
    </row>
    <row r="241" spans="1:12" ht="14.25">
      <c r="A241" s="258"/>
      <c r="B241" s="232"/>
      <c r="C241" s="233"/>
      <c r="D241" s="233"/>
      <c r="E241" s="258"/>
      <c r="F241" s="233"/>
      <c r="G241" s="233"/>
      <c r="H241" s="233"/>
      <c r="I241" s="235"/>
      <c r="J241" s="280"/>
      <c r="K241" s="235"/>
      <c r="L241" s="233"/>
    </row>
    <row r="242" spans="2:14" s="114" customFormat="1" ht="18" customHeight="1">
      <c r="B242" s="117"/>
      <c r="C242" s="114" t="s">
        <v>160</v>
      </c>
      <c r="E242" s="305"/>
      <c r="G242" s="787"/>
      <c r="H242" s="787"/>
      <c r="I242" s="787"/>
      <c r="M242" s="305"/>
      <c r="N242" s="382"/>
    </row>
    <row r="243" spans="1:12" ht="14.25">
      <c r="A243" s="232"/>
      <c r="B243" s="232"/>
      <c r="C243" s="233"/>
      <c r="D243" s="234"/>
      <c r="E243" s="232"/>
      <c r="F243" s="233"/>
      <c r="G243" s="233"/>
      <c r="H243" s="233"/>
      <c r="I243" s="235"/>
      <c r="J243" s="233"/>
      <c r="K243" s="235"/>
      <c r="L243" s="233"/>
    </row>
    <row r="244" spans="1:12" ht="14.25">
      <c r="A244" s="232"/>
      <c r="B244" s="232"/>
      <c r="C244" s="233"/>
      <c r="D244" s="234"/>
      <c r="E244" s="232"/>
      <c r="F244" s="233"/>
      <c r="G244" s="233"/>
      <c r="H244" s="233"/>
      <c r="I244" s="235"/>
      <c r="J244" s="233"/>
      <c r="K244" s="235"/>
      <c r="L244" s="233"/>
    </row>
    <row r="245" spans="1:13" ht="14.25">
      <c r="A245" s="232"/>
      <c r="B245" s="232"/>
      <c r="C245" s="233"/>
      <c r="D245" s="234"/>
      <c r="E245" s="232"/>
      <c r="F245" s="233"/>
      <c r="G245" s="233"/>
      <c r="H245" s="233"/>
      <c r="I245" s="235"/>
      <c r="J245" s="306"/>
      <c r="K245" s="235"/>
      <c r="L245" s="233"/>
      <c r="M245" s="307"/>
    </row>
    <row r="246" spans="1:12" ht="14.25">
      <c r="A246" s="232"/>
      <c r="B246" s="232"/>
      <c r="C246" s="233"/>
      <c r="D246" s="234"/>
      <c r="E246" s="232"/>
      <c r="F246" s="233"/>
      <c r="G246" s="233"/>
      <c r="H246" s="233"/>
      <c r="I246" s="235"/>
      <c r="J246" s="233"/>
      <c r="K246" s="235"/>
      <c r="L246" s="233"/>
    </row>
    <row r="247" spans="1:13" ht="14.25">
      <c r="A247" s="232"/>
      <c r="B247" s="232"/>
      <c r="C247" s="233"/>
      <c r="D247" s="234"/>
      <c r="E247" s="232"/>
      <c r="F247" s="233"/>
      <c r="G247" s="233"/>
      <c r="H247" s="233"/>
      <c r="I247" s="235"/>
      <c r="J247" s="233"/>
      <c r="K247" s="235"/>
      <c r="L247" s="233"/>
      <c r="M247" s="307"/>
    </row>
    <row r="248" spans="1:12" ht="14.25">
      <c r="A248" s="232"/>
      <c r="B248" s="232"/>
      <c r="C248" s="233"/>
      <c r="D248" s="234"/>
      <c r="E248" s="232"/>
      <c r="F248" s="233"/>
      <c r="G248" s="233"/>
      <c r="H248" s="233"/>
      <c r="I248" s="235"/>
      <c r="J248" s="233"/>
      <c r="K248" s="235"/>
      <c r="L248" s="233"/>
    </row>
    <row r="249" spans="1:13" ht="15">
      <c r="A249" s="232"/>
      <c r="B249" s="232"/>
      <c r="C249" s="233"/>
      <c r="D249" s="234"/>
      <c r="E249" s="232"/>
      <c r="F249" s="233"/>
      <c r="G249" s="233"/>
      <c r="H249" s="233"/>
      <c r="I249" s="235"/>
      <c r="J249" s="233"/>
      <c r="K249" s="235"/>
      <c r="L249" s="233"/>
      <c r="M249" s="308"/>
    </row>
    <row r="250" spans="1:12" ht="14.25">
      <c r="A250" s="232"/>
      <c r="B250" s="232"/>
      <c r="C250" s="233"/>
      <c r="D250" s="234"/>
      <c r="E250" s="232"/>
      <c r="F250" s="233"/>
      <c r="G250" s="233"/>
      <c r="H250" s="233"/>
      <c r="I250" s="235"/>
      <c r="J250" s="233"/>
      <c r="K250" s="235"/>
      <c r="L250" s="233"/>
    </row>
    <row r="251" spans="1:12" ht="14.25">
      <c r="A251" s="232"/>
      <c r="B251" s="232"/>
      <c r="C251" s="233"/>
      <c r="D251" s="234"/>
      <c r="E251" s="232"/>
      <c r="F251" s="233"/>
      <c r="G251" s="233"/>
      <c r="H251" s="233"/>
      <c r="I251" s="235"/>
      <c r="J251" s="233"/>
      <c r="K251" s="235"/>
      <c r="L251" s="233"/>
    </row>
    <row r="252" spans="1:12" ht="14.25">
      <c r="A252" s="232"/>
      <c r="B252" s="232"/>
      <c r="C252" s="233"/>
      <c r="D252" s="234"/>
      <c r="E252" s="232"/>
      <c r="F252" s="233"/>
      <c r="G252" s="233"/>
      <c r="H252" s="233"/>
      <c r="I252" s="235"/>
      <c r="J252" s="233"/>
      <c r="K252" s="235"/>
      <c r="L252" s="233"/>
    </row>
    <row r="253" spans="1:12" ht="14.25">
      <c r="A253" s="232"/>
      <c r="B253" s="232"/>
      <c r="C253" s="233"/>
      <c r="D253" s="234"/>
      <c r="E253" s="232"/>
      <c r="F253" s="233"/>
      <c r="G253" s="233"/>
      <c r="H253" s="233"/>
      <c r="I253" s="235"/>
      <c r="J253" s="233"/>
      <c r="K253" s="235"/>
      <c r="L253" s="233"/>
    </row>
    <row r="254" spans="1:12" ht="14.25">
      <c r="A254" s="232"/>
      <c r="B254" s="232"/>
      <c r="C254" s="233"/>
      <c r="D254" s="234"/>
      <c r="E254" s="232"/>
      <c r="F254" s="233"/>
      <c r="G254" s="233"/>
      <c r="H254" s="233"/>
      <c r="I254" s="235"/>
      <c r="J254" s="233"/>
      <c r="K254" s="235"/>
      <c r="L254" s="233"/>
    </row>
    <row r="255" spans="1:16" s="385" customFormat="1" ht="14.25">
      <c r="A255" s="232"/>
      <c r="B255" s="232"/>
      <c r="C255" s="233"/>
      <c r="D255" s="234"/>
      <c r="E255" s="232"/>
      <c r="F255" s="233"/>
      <c r="G255" s="233"/>
      <c r="H255" s="233"/>
      <c r="I255" s="235"/>
      <c r="J255" s="233"/>
      <c r="K255" s="235"/>
      <c r="L255" s="233"/>
      <c r="M255" s="231"/>
      <c r="O255" s="230"/>
      <c r="P255" s="230"/>
    </row>
    <row r="256" spans="1:16" s="385" customFormat="1" ht="14.25">
      <c r="A256" s="232"/>
      <c r="B256" s="232"/>
      <c r="C256" s="233"/>
      <c r="D256" s="234"/>
      <c r="E256" s="232"/>
      <c r="F256" s="233"/>
      <c r="G256" s="233"/>
      <c r="H256" s="233"/>
      <c r="I256" s="235"/>
      <c r="J256" s="233"/>
      <c r="K256" s="235"/>
      <c r="L256" s="233"/>
      <c r="M256" s="231"/>
      <c r="O256" s="230"/>
      <c r="P256" s="230"/>
    </row>
    <row r="257" spans="1:16" s="385" customFormat="1" ht="14.25">
      <c r="A257" s="232"/>
      <c r="B257" s="232"/>
      <c r="C257" s="233"/>
      <c r="D257" s="234"/>
      <c r="E257" s="232"/>
      <c r="F257" s="233"/>
      <c r="G257" s="233"/>
      <c r="H257" s="233"/>
      <c r="I257" s="235"/>
      <c r="J257" s="233"/>
      <c r="K257" s="235"/>
      <c r="L257" s="233"/>
      <c r="M257" s="231"/>
      <c r="O257" s="230"/>
      <c r="P257" s="230"/>
    </row>
    <row r="258" spans="1:16" s="385" customFormat="1" ht="14.25">
      <c r="A258" s="232"/>
      <c r="B258" s="232"/>
      <c r="C258" s="233"/>
      <c r="D258" s="234"/>
      <c r="E258" s="232"/>
      <c r="F258" s="233"/>
      <c r="G258" s="233"/>
      <c r="H258" s="233"/>
      <c r="I258" s="235"/>
      <c r="J258" s="233"/>
      <c r="K258" s="235"/>
      <c r="L258" s="233"/>
      <c r="M258" s="231"/>
      <c r="O258" s="230"/>
      <c r="P258" s="230"/>
    </row>
    <row r="259" spans="1:16" s="385" customFormat="1" ht="14.25">
      <c r="A259" s="232"/>
      <c r="B259" s="232"/>
      <c r="C259" s="233"/>
      <c r="D259" s="234"/>
      <c r="E259" s="232"/>
      <c r="F259" s="233"/>
      <c r="G259" s="233"/>
      <c r="H259" s="233"/>
      <c r="I259" s="235"/>
      <c r="J259" s="233"/>
      <c r="K259" s="235"/>
      <c r="L259" s="233"/>
      <c r="M259" s="231"/>
      <c r="O259" s="230"/>
      <c r="P259" s="230"/>
    </row>
    <row r="260" spans="1:16" s="385" customFormat="1" ht="14.25">
      <c r="A260" s="232"/>
      <c r="B260" s="232"/>
      <c r="C260" s="233"/>
      <c r="D260" s="234"/>
      <c r="E260" s="232"/>
      <c r="F260" s="233"/>
      <c r="G260" s="233"/>
      <c r="H260" s="233"/>
      <c r="I260" s="235"/>
      <c r="J260" s="233"/>
      <c r="K260" s="235"/>
      <c r="L260" s="233"/>
      <c r="M260" s="231"/>
      <c r="O260" s="230"/>
      <c r="P260" s="230"/>
    </row>
    <row r="261" spans="1:16" s="385" customFormat="1" ht="14.25">
      <c r="A261" s="232"/>
      <c r="B261" s="232"/>
      <c r="C261" s="233"/>
      <c r="D261" s="234"/>
      <c r="E261" s="232"/>
      <c r="F261" s="233"/>
      <c r="G261" s="233"/>
      <c r="H261" s="233"/>
      <c r="I261" s="235"/>
      <c r="J261" s="233"/>
      <c r="K261" s="235"/>
      <c r="L261" s="233"/>
      <c r="M261" s="231"/>
      <c r="O261" s="230"/>
      <c r="P261" s="230"/>
    </row>
    <row r="262" spans="1:16" s="385" customFormat="1" ht="14.25">
      <c r="A262" s="232"/>
      <c r="B262" s="232"/>
      <c r="C262" s="233"/>
      <c r="D262" s="234"/>
      <c r="E262" s="232"/>
      <c r="F262" s="233"/>
      <c r="G262" s="233"/>
      <c r="H262" s="233"/>
      <c r="I262" s="235"/>
      <c r="J262" s="233"/>
      <c r="K262" s="235"/>
      <c r="L262" s="233"/>
      <c r="M262" s="230"/>
      <c r="O262" s="230"/>
      <c r="P262" s="230"/>
    </row>
    <row r="263" spans="1:16" s="385" customFormat="1" ht="14.25">
      <c r="A263" s="232"/>
      <c r="B263" s="232"/>
      <c r="C263" s="233"/>
      <c r="D263" s="234"/>
      <c r="E263" s="232"/>
      <c r="F263" s="233"/>
      <c r="G263" s="233"/>
      <c r="H263" s="233"/>
      <c r="I263" s="235"/>
      <c r="J263" s="233"/>
      <c r="K263" s="235"/>
      <c r="L263" s="233"/>
      <c r="M263" s="230"/>
      <c r="O263" s="230"/>
      <c r="P263" s="230"/>
    </row>
    <row r="264" spans="1:16" s="385" customFormat="1" ht="14.25">
      <c r="A264" s="232"/>
      <c r="B264" s="232"/>
      <c r="C264" s="233"/>
      <c r="D264" s="234"/>
      <c r="E264" s="232"/>
      <c r="F264" s="233"/>
      <c r="G264" s="233"/>
      <c r="H264" s="233"/>
      <c r="I264" s="235"/>
      <c r="J264" s="233"/>
      <c r="K264" s="235"/>
      <c r="L264" s="233"/>
      <c r="M264" s="230"/>
      <c r="O264" s="230"/>
      <c r="P264" s="230"/>
    </row>
    <row r="265" spans="1:16" s="385" customFormat="1" ht="14.25">
      <c r="A265" s="232"/>
      <c r="B265" s="232"/>
      <c r="C265" s="233"/>
      <c r="D265" s="234"/>
      <c r="E265" s="232"/>
      <c r="F265" s="233"/>
      <c r="G265" s="233"/>
      <c r="H265" s="233"/>
      <c r="I265" s="235"/>
      <c r="J265" s="233"/>
      <c r="K265" s="235"/>
      <c r="L265" s="233"/>
      <c r="M265" s="230"/>
      <c r="O265" s="230"/>
      <c r="P265" s="230"/>
    </row>
    <row r="266" spans="1:16" s="385" customFormat="1" ht="14.25">
      <c r="A266" s="232"/>
      <c r="B266" s="232"/>
      <c r="C266" s="233"/>
      <c r="D266" s="234"/>
      <c r="E266" s="232"/>
      <c r="F266" s="233"/>
      <c r="G266" s="233"/>
      <c r="H266" s="233"/>
      <c r="I266" s="235"/>
      <c r="J266" s="233"/>
      <c r="K266" s="235"/>
      <c r="L266" s="233"/>
      <c r="M266" s="230"/>
      <c r="O266" s="230"/>
      <c r="P266" s="230"/>
    </row>
    <row r="267" spans="1:16" s="385" customFormat="1" ht="14.25">
      <c r="A267" s="232"/>
      <c r="B267" s="232"/>
      <c r="C267" s="233"/>
      <c r="D267" s="234"/>
      <c r="E267" s="232"/>
      <c r="F267" s="233"/>
      <c r="G267" s="233"/>
      <c r="H267" s="233"/>
      <c r="I267" s="235"/>
      <c r="J267" s="233"/>
      <c r="K267" s="235"/>
      <c r="L267" s="233"/>
      <c r="M267" s="230"/>
      <c r="O267" s="230"/>
      <c r="P267" s="230"/>
    </row>
    <row r="268" spans="1:16" s="385" customFormat="1" ht="14.25">
      <c r="A268" s="232"/>
      <c r="B268" s="232"/>
      <c r="C268" s="233"/>
      <c r="D268" s="234"/>
      <c r="E268" s="232"/>
      <c r="F268" s="233"/>
      <c r="G268" s="233"/>
      <c r="H268" s="233"/>
      <c r="I268" s="235"/>
      <c r="J268" s="233"/>
      <c r="K268" s="235"/>
      <c r="L268" s="233"/>
      <c r="M268" s="230"/>
      <c r="O268" s="230"/>
      <c r="P268" s="230"/>
    </row>
    <row r="269" spans="1:16" s="385" customFormat="1" ht="14.25">
      <c r="A269" s="232"/>
      <c r="B269" s="232"/>
      <c r="C269" s="233"/>
      <c r="D269" s="234"/>
      <c r="E269" s="232"/>
      <c r="F269" s="233"/>
      <c r="G269" s="233"/>
      <c r="H269" s="233"/>
      <c r="I269" s="235"/>
      <c r="J269" s="233"/>
      <c r="K269" s="235"/>
      <c r="L269" s="233"/>
      <c r="M269" s="230"/>
      <c r="O269" s="230"/>
      <c r="P269" s="230"/>
    </row>
    <row r="270" spans="1:16" s="385" customFormat="1" ht="14.25">
      <c r="A270" s="232"/>
      <c r="B270" s="232"/>
      <c r="C270" s="233"/>
      <c r="D270" s="234"/>
      <c r="E270" s="232"/>
      <c r="F270" s="233"/>
      <c r="G270" s="233"/>
      <c r="H270" s="233"/>
      <c r="I270" s="235"/>
      <c r="J270" s="233"/>
      <c r="K270" s="235"/>
      <c r="L270" s="233"/>
      <c r="M270" s="230"/>
      <c r="O270" s="230"/>
      <c r="P270" s="230"/>
    </row>
    <row r="271" spans="1:16" s="385" customFormat="1" ht="14.25">
      <c r="A271" s="232"/>
      <c r="B271" s="232"/>
      <c r="C271" s="233"/>
      <c r="D271" s="234"/>
      <c r="E271" s="232"/>
      <c r="F271" s="233"/>
      <c r="G271" s="233"/>
      <c r="H271" s="233"/>
      <c r="I271" s="235"/>
      <c r="J271" s="233"/>
      <c r="K271" s="235"/>
      <c r="L271" s="233"/>
      <c r="M271" s="230"/>
      <c r="O271" s="230"/>
      <c r="P271" s="230"/>
    </row>
    <row r="272" spans="1:16" s="385" customFormat="1" ht="14.25">
      <c r="A272" s="232"/>
      <c r="B272" s="232"/>
      <c r="C272" s="233"/>
      <c r="D272" s="234"/>
      <c r="E272" s="232"/>
      <c r="F272" s="233"/>
      <c r="G272" s="233"/>
      <c r="H272" s="233"/>
      <c r="I272" s="235"/>
      <c r="J272" s="233"/>
      <c r="K272" s="235"/>
      <c r="L272" s="233"/>
      <c r="M272" s="230"/>
      <c r="O272" s="230"/>
      <c r="P272" s="230"/>
    </row>
    <row r="273" spans="1:16" s="385" customFormat="1" ht="14.25">
      <c r="A273" s="232"/>
      <c r="B273" s="232"/>
      <c r="C273" s="233"/>
      <c r="D273" s="234"/>
      <c r="E273" s="232"/>
      <c r="F273" s="233"/>
      <c r="G273" s="233"/>
      <c r="H273" s="233"/>
      <c r="I273" s="235"/>
      <c r="J273" s="233"/>
      <c r="K273" s="235"/>
      <c r="L273" s="233"/>
      <c r="M273" s="230"/>
      <c r="O273" s="230"/>
      <c r="P273" s="230"/>
    </row>
    <row r="274" spans="1:16" s="385" customFormat="1" ht="14.25">
      <c r="A274" s="232"/>
      <c r="B274" s="232"/>
      <c r="C274" s="233"/>
      <c r="D274" s="234"/>
      <c r="E274" s="232"/>
      <c r="F274" s="233"/>
      <c r="G274" s="233"/>
      <c r="H274" s="233"/>
      <c r="I274" s="235"/>
      <c r="J274" s="233"/>
      <c r="K274" s="235"/>
      <c r="L274" s="233"/>
      <c r="M274" s="230"/>
      <c r="O274" s="230"/>
      <c r="P274" s="230"/>
    </row>
    <row r="275" spans="1:16" s="385" customFormat="1" ht="14.25">
      <c r="A275" s="232"/>
      <c r="B275" s="232"/>
      <c r="C275" s="233"/>
      <c r="D275" s="234"/>
      <c r="E275" s="232"/>
      <c r="F275" s="233"/>
      <c r="G275" s="233"/>
      <c r="H275" s="233"/>
      <c r="I275" s="235"/>
      <c r="J275" s="233"/>
      <c r="K275" s="235"/>
      <c r="L275" s="233"/>
      <c r="M275" s="230"/>
      <c r="O275" s="230"/>
      <c r="P275" s="230"/>
    </row>
    <row r="276" spans="1:16" s="385" customFormat="1" ht="14.25">
      <c r="A276" s="232"/>
      <c r="B276" s="232"/>
      <c r="C276" s="233"/>
      <c r="D276" s="234"/>
      <c r="E276" s="232"/>
      <c r="F276" s="233"/>
      <c r="G276" s="233"/>
      <c r="H276" s="233"/>
      <c r="I276" s="235"/>
      <c r="J276" s="233"/>
      <c r="K276" s="235"/>
      <c r="L276" s="233"/>
      <c r="M276" s="230"/>
      <c r="O276" s="230"/>
      <c r="P276" s="230"/>
    </row>
    <row r="277" spans="1:16" s="385" customFormat="1" ht="14.25">
      <c r="A277" s="232"/>
      <c r="B277" s="232"/>
      <c r="C277" s="233"/>
      <c r="D277" s="234"/>
      <c r="E277" s="232"/>
      <c r="F277" s="233"/>
      <c r="G277" s="233"/>
      <c r="H277" s="233"/>
      <c r="I277" s="235"/>
      <c r="J277" s="233"/>
      <c r="K277" s="235"/>
      <c r="L277" s="233"/>
      <c r="M277" s="230"/>
      <c r="O277" s="230"/>
      <c r="P277" s="230"/>
    </row>
    <row r="278" spans="1:16" s="385" customFormat="1" ht="14.25">
      <c r="A278" s="232"/>
      <c r="B278" s="232"/>
      <c r="C278" s="233"/>
      <c r="D278" s="234"/>
      <c r="E278" s="232"/>
      <c r="F278" s="233"/>
      <c r="G278" s="233"/>
      <c r="H278" s="233"/>
      <c r="I278" s="235"/>
      <c r="J278" s="233"/>
      <c r="K278" s="235"/>
      <c r="L278" s="233"/>
      <c r="M278" s="230"/>
      <c r="O278" s="230"/>
      <c r="P278" s="230"/>
    </row>
    <row r="279" spans="1:16" s="385" customFormat="1" ht="14.25">
      <c r="A279" s="232"/>
      <c r="B279" s="232"/>
      <c r="C279" s="233"/>
      <c r="D279" s="234"/>
      <c r="E279" s="232"/>
      <c r="F279" s="233"/>
      <c r="G279" s="233"/>
      <c r="H279" s="233"/>
      <c r="I279" s="235"/>
      <c r="J279" s="233"/>
      <c r="K279" s="235"/>
      <c r="L279" s="233"/>
      <c r="M279" s="230"/>
      <c r="O279" s="230"/>
      <c r="P279" s="230"/>
    </row>
    <row r="280" spans="1:16" s="385" customFormat="1" ht="14.25">
      <c r="A280" s="232"/>
      <c r="B280" s="232"/>
      <c r="C280" s="233"/>
      <c r="D280" s="234"/>
      <c r="E280" s="232"/>
      <c r="F280" s="233"/>
      <c r="G280" s="233"/>
      <c r="H280" s="233"/>
      <c r="I280" s="235"/>
      <c r="J280" s="233"/>
      <c r="K280" s="235"/>
      <c r="L280" s="233"/>
      <c r="M280" s="230"/>
      <c r="O280" s="230"/>
      <c r="P280" s="230"/>
    </row>
    <row r="281" spans="1:16" s="385" customFormat="1" ht="14.25">
      <c r="A281" s="232"/>
      <c r="B281" s="232"/>
      <c r="C281" s="233"/>
      <c r="D281" s="234"/>
      <c r="E281" s="232"/>
      <c r="F281" s="233"/>
      <c r="G281" s="233"/>
      <c r="H281" s="233"/>
      <c r="I281" s="235"/>
      <c r="J281" s="233"/>
      <c r="K281" s="235"/>
      <c r="L281" s="233"/>
      <c r="M281" s="230"/>
      <c r="O281" s="230"/>
      <c r="P281" s="230"/>
    </row>
    <row r="282" spans="1:16" s="385" customFormat="1" ht="14.25">
      <c r="A282" s="232"/>
      <c r="B282" s="232"/>
      <c r="C282" s="233"/>
      <c r="D282" s="234"/>
      <c r="E282" s="232"/>
      <c r="F282" s="233"/>
      <c r="G282" s="233"/>
      <c r="H282" s="233"/>
      <c r="I282" s="235"/>
      <c r="J282" s="233"/>
      <c r="K282" s="235"/>
      <c r="L282" s="233"/>
      <c r="M282" s="230"/>
      <c r="O282" s="230"/>
      <c r="P282" s="230"/>
    </row>
    <row r="283" spans="1:16" s="385" customFormat="1" ht="14.25">
      <c r="A283" s="232"/>
      <c r="B283" s="232"/>
      <c r="C283" s="233"/>
      <c r="D283" s="234"/>
      <c r="E283" s="232"/>
      <c r="F283" s="233"/>
      <c r="G283" s="233"/>
      <c r="H283" s="233"/>
      <c r="I283" s="235"/>
      <c r="J283" s="233"/>
      <c r="K283" s="235"/>
      <c r="L283" s="233"/>
      <c r="M283" s="230"/>
      <c r="O283" s="230"/>
      <c r="P283" s="230"/>
    </row>
    <row r="284" spans="1:16" s="385" customFormat="1" ht="14.25">
      <c r="A284" s="232"/>
      <c r="B284" s="232"/>
      <c r="C284" s="233"/>
      <c r="D284" s="234"/>
      <c r="E284" s="232"/>
      <c r="F284" s="233"/>
      <c r="G284" s="233"/>
      <c r="H284" s="233"/>
      <c r="I284" s="235"/>
      <c r="J284" s="233"/>
      <c r="K284" s="235"/>
      <c r="L284" s="233"/>
      <c r="M284" s="230"/>
      <c r="O284" s="230"/>
      <c r="P284" s="230"/>
    </row>
    <row r="285" spans="1:16" s="385" customFormat="1" ht="14.25">
      <c r="A285" s="232"/>
      <c r="B285" s="232"/>
      <c r="C285" s="233"/>
      <c r="D285" s="234"/>
      <c r="E285" s="232"/>
      <c r="F285" s="233"/>
      <c r="G285" s="233"/>
      <c r="H285" s="233"/>
      <c r="I285" s="235"/>
      <c r="J285" s="233"/>
      <c r="K285" s="235"/>
      <c r="L285" s="233"/>
      <c r="M285" s="230"/>
      <c r="O285" s="230"/>
      <c r="P285" s="230"/>
    </row>
    <row r="286" spans="1:16" s="385" customFormat="1" ht="14.25">
      <c r="A286" s="232"/>
      <c r="B286" s="232"/>
      <c r="C286" s="233"/>
      <c r="D286" s="234"/>
      <c r="E286" s="232"/>
      <c r="F286" s="233"/>
      <c r="G286" s="233"/>
      <c r="H286" s="233"/>
      <c r="I286" s="235"/>
      <c r="J286" s="233"/>
      <c r="K286" s="235"/>
      <c r="L286" s="233"/>
      <c r="M286" s="230"/>
      <c r="O286" s="230"/>
      <c r="P286" s="230"/>
    </row>
    <row r="287" spans="1:16" s="385" customFormat="1" ht="14.25">
      <c r="A287" s="232"/>
      <c r="B287" s="232"/>
      <c r="C287" s="233"/>
      <c r="D287" s="234"/>
      <c r="E287" s="232"/>
      <c r="F287" s="233"/>
      <c r="G287" s="233"/>
      <c r="H287" s="233"/>
      <c r="I287" s="235"/>
      <c r="J287" s="233"/>
      <c r="K287" s="235"/>
      <c r="L287" s="233"/>
      <c r="M287" s="230"/>
      <c r="O287" s="230"/>
      <c r="P287" s="230"/>
    </row>
    <row r="288" spans="1:16" s="385" customFormat="1" ht="14.25">
      <c r="A288" s="232"/>
      <c r="B288" s="232"/>
      <c r="C288" s="233"/>
      <c r="D288" s="234"/>
      <c r="E288" s="232"/>
      <c r="F288" s="233"/>
      <c r="G288" s="233"/>
      <c r="H288" s="233"/>
      <c r="I288" s="235"/>
      <c r="J288" s="233"/>
      <c r="K288" s="235"/>
      <c r="L288" s="233"/>
      <c r="M288" s="230"/>
      <c r="O288" s="230"/>
      <c r="P288" s="230"/>
    </row>
    <row r="289" spans="1:16" s="385" customFormat="1" ht="14.25">
      <c r="A289" s="232"/>
      <c r="B289" s="232"/>
      <c r="C289" s="233"/>
      <c r="D289" s="234"/>
      <c r="E289" s="232"/>
      <c r="F289" s="233"/>
      <c r="G289" s="233"/>
      <c r="H289" s="233"/>
      <c r="I289" s="235"/>
      <c r="J289" s="233"/>
      <c r="K289" s="235"/>
      <c r="L289" s="233"/>
      <c r="M289" s="230"/>
      <c r="O289" s="230"/>
      <c r="P289" s="230"/>
    </row>
    <row r="290" spans="1:16" s="385" customFormat="1" ht="14.25">
      <c r="A290" s="232"/>
      <c r="B290" s="232"/>
      <c r="C290" s="233"/>
      <c r="D290" s="234"/>
      <c r="E290" s="232"/>
      <c r="F290" s="233"/>
      <c r="G290" s="233"/>
      <c r="H290" s="233"/>
      <c r="I290" s="235"/>
      <c r="J290" s="233"/>
      <c r="K290" s="235"/>
      <c r="L290" s="233"/>
      <c r="M290" s="230"/>
      <c r="O290" s="230"/>
      <c r="P290" s="230"/>
    </row>
    <row r="291" spans="1:16" s="385" customFormat="1" ht="14.25">
      <c r="A291" s="232"/>
      <c r="B291" s="232"/>
      <c r="C291" s="233"/>
      <c r="D291" s="234"/>
      <c r="E291" s="232"/>
      <c r="F291" s="233"/>
      <c r="G291" s="233"/>
      <c r="H291" s="233"/>
      <c r="I291" s="235"/>
      <c r="J291" s="233"/>
      <c r="K291" s="235"/>
      <c r="L291" s="233"/>
      <c r="M291" s="230"/>
      <c r="O291" s="230"/>
      <c r="P291" s="230"/>
    </row>
    <row r="292" spans="1:16" s="385" customFormat="1" ht="14.25">
      <c r="A292" s="232"/>
      <c r="B292" s="232"/>
      <c r="C292" s="233"/>
      <c r="D292" s="234"/>
      <c r="E292" s="232"/>
      <c r="F292" s="233"/>
      <c r="G292" s="233"/>
      <c r="H292" s="233"/>
      <c r="I292" s="235"/>
      <c r="J292" s="233"/>
      <c r="K292" s="235"/>
      <c r="L292" s="233"/>
      <c r="M292" s="230"/>
      <c r="O292" s="230"/>
      <c r="P292" s="230"/>
    </row>
    <row r="293" spans="1:16" s="385" customFormat="1" ht="14.25">
      <c r="A293" s="232"/>
      <c r="B293" s="232"/>
      <c r="C293" s="233"/>
      <c r="D293" s="234"/>
      <c r="E293" s="232"/>
      <c r="F293" s="233"/>
      <c r="G293" s="233"/>
      <c r="H293" s="233"/>
      <c r="I293" s="235"/>
      <c r="J293" s="233"/>
      <c r="K293" s="235"/>
      <c r="L293" s="233"/>
      <c r="M293" s="230"/>
      <c r="O293" s="230"/>
      <c r="P293" s="230"/>
    </row>
    <row r="294" spans="1:16" s="385" customFormat="1" ht="14.25">
      <c r="A294" s="232"/>
      <c r="B294" s="232"/>
      <c r="C294" s="233"/>
      <c r="D294" s="234"/>
      <c r="E294" s="232"/>
      <c r="F294" s="233"/>
      <c r="G294" s="233"/>
      <c r="H294" s="233"/>
      <c r="I294" s="235"/>
      <c r="J294" s="233"/>
      <c r="K294" s="235"/>
      <c r="L294" s="233"/>
      <c r="M294" s="230"/>
      <c r="O294" s="230"/>
      <c r="P294" s="230"/>
    </row>
    <row r="295" spans="1:16" s="385" customFormat="1" ht="14.25">
      <c r="A295" s="232"/>
      <c r="B295" s="232"/>
      <c r="C295" s="233"/>
      <c r="D295" s="234"/>
      <c r="E295" s="232"/>
      <c r="F295" s="233"/>
      <c r="G295" s="233"/>
      <c r="H295" s="233"/>
      <c r="I295" s="235"/>
      <c r="J295" s="233"/>
      <c r="K295" s="235"/>
      <c r="L295" s="233"/>
      <c r="M295" s="230"/>
      <c r="O295" s="230"/>
      <c r="P295" s="230"/>
    </row>
    <row r="296" spans="1:16" s="385" customFormat="1" ht="14.25">
      <c r="A296" s="232"/>
      <c r="B296" s="232"/>
      <c r="C296" s="233"/>
      <c r="D296" s="234"/>
      <c r="E296" s="232"/>
      <c r="F296" s="233"/>
      <c r="G296" s="233"/>
      <c r="H296" s="233"/>
      <c r="I296" s="235"/>
      <c r="J296" s="233"/>
      <c r="K296" s="235"/>
      <c r="L296" s="233"/>
      <c r="M296" s="230"/>
      <c r="O296" s="230"/>
      <c r="P296" s="230"/>
    </row>
    <row r="297" spans="1:16" s="385" customFormat="1" ht="14.25">
      <c r="A297" s="232"/>
      <c r="B297" s="232"/>
      <c r="C297" s="233"/>
      <c r="D297" s="234"/>
      <c r="E297" s="232"/>
      <c r="F297" s="233"/>
      <c r="G297" s="233"/>
      <c r="H297" s="233"/>
      <c r="I297" s="235"/>
      <c r="J297" s="233"/>
      <c r="K297" s="235"/>
      <c r="L297" s="233"/>
      <c r="M297" s="230"/>
      <c r="O297" s="230"/>
      <c r="P297" s="230"/>
    </row>
    <row r="298" spans="1:16" s="385" customFormat="1" ht="14.25">
      <c r="A298" s="232"/>
      <c r="B298" s="232"/>
      <c r="C298" s="233"/>
      <c r="D298" s="234"/>
      <c r="E298" s="232"/>
      <c r="F298" s="233"/>
      <c r="G298" s="233"/>
      <c r="H298" s="233"/>
      <c r="I298" s="235"/>
      <c r="J298" s="233"/>
      <c r="K298" s="235"/>
      <c r="L298" s="233"/>
      <c r="M298" s="230"/>
      <c r="O298" s="230"/>
      <c r="P298" s="230"/>
    </row>
    <row r="299" spans="1:16" s="385" customFormat="1" ht="14.25">
      <c r="A299" s="232"/>
      <c r="B299" s="232"/>
      <c r="C299" s="233"/>
      <c r="D299" s="234"/>
      <c r="E299" s="232"/>
      <c r="F299" s="233"/>
      <c r="G299" s="233"/>
      <c r="H299" s="233"/>
      <c r="I299" s="235"/>
      <c r="J299" s="233"/>
      <c r="K299" s="235"/>
      <c r="L299" s="233"/>
      <c r="M299" s="230"/>
      <c r="O299" s="230"/>
      <c r="P299" s="230"/>
    </row>
    <row r="300" spans="1:16" s="385" customFormat="1" ht="14.25">
      <c r="A300" s="232"/>
      <c r="B300" s="232"/>
      <c r="C300" s="233"/>
      <c r="D300" s="234"/>
      <c r="E300" s="232"/>
      <c r="F300" s="233"/>
      <c r="G300" s="233"/>
      <c r="H300" s="233"/>
      <c r="I300" s="235"/>
      <c r="J300" s="233"/>
      <c r="K300" s="235"/>
      <c r="L300" s="233"/>
      <c r="M300" s="230"/>
      <c r="O300" s="230"/>
      <c r="P300" s="230"/>
    </row>
    <row r="301" spans="1:16" s="385" customFormat="1" ht="14.25">
      <c r="A301" s="232"/>
      <c r="B301" s="232"/>
      <c r="C301" s="233"/>
      <c r="D301" s="234"/>
      <c r="E301" s="232"/>
      <c r="F301" s="233"/>
      <c r="G301" s="233"/>
      <c r="H301" s="233"/>
      <c r="I301" s="235"/>
      <c r="J301" s="233"/>
      <c r="K301" s="235"/>
      <c r="L301" s="233"/>
      <c r="M301" s="230"/>
      <c r="O301" s="230"/>
      <c r="P301" s="230"/>
    </row>
    <row r="302" spans="1:16" s="385" customFormat="1" ht="14.25">
      <c r="A302" s="232"/>
      <c r="B302" s="232"/>
      <c r="C302" s="233"/>
      <c r="D302" s="234"/>
      <c r="E302" s="232"/>
      <c r="F302" s="233"/>
      <c r="G302" s="233"/>
      <c r="H302" s="233"/>
      <c r="I302" s="235"/>
      <c r="J302" s="233"/>
      <c r="K302" s="235"/>
      <c r="L302" s="233"/>
      <c r="M302" s="230"/>
      <c r="O302" s="230"/>
      <c r="P302" s="230"/>
    </row>
    <row r="303" spans="1:16" s="385" customFormat="1" ht="14.25">
      <c r="A303" s="232"/>
      <c r="B303" s="232"/>
      <c r="C303" s="233"/>
      <c r="D303" s="234"/>
      <c r="E303" s="232"/>
      <c r="F303" s="233"/>
      <c r="G303" s="233"/>
      <c r="H303" s="233"/>
      <c r="I303" s="235"/>
      <c r="J303" s="233"/>
      <c r="K303" s="235"/>
      <c r="L303" s="233"/>
      <c r="M303" s="230"/>
      <c r="O303" s="230"/>
      <c r="P303" s="230"/>
    </row>
    <row r="304" spans="1:16" s="385" customFormat="1" ht="14.25">
      <c r="A304" s="232"/>
      <c r="B304" s="232"/>
      <c r="C304" s="233"/>
      <c r="D304" s="234"/>
      <c r="E304" s="232"/>
      <c r="F304" s="233"/>
      <c r="G304" s="233"/>
      <c r="H304" s="233"/>
      <c r="I304" s="235"/>
      <c r="J304" s="233"/>
      <c r="K304" s="235"/>
      <c r="L304" s="233"/>
      <c r="M304" s="230"/>
      <c r="O304" s="230"/>
      <c r="P304" s="230"/>
    </row>
    <row r="305" spans="1:16" s="385" customFormat="1" ht="14.25">
      <c r="A305" s="232"/>
      <c r="B305" s="232"/>
      <c r="C305" s="233"/>
      <c r="D305" s="234"/>
      <c r="E305" s="232"/>
      <c r="F305" s="233"/>
      <c r="G305" s="233"/>
      <c r="H305" s="233"/>
      <c r="I305" s="235"/>
      <c r="J305" s="233"/>
      <c r="K305" s="235"/>
      <c r="L305" s="233"/>
      <c r="M305" s="230"/>
      <c r="O305" s="230"/>
      <c r="P305" s="230"/>
    </row>
    <row r="306" spans="1:16" s="385" customFormat="1" ht="14.25">
      <c r="A306" s="232"/>
      <c r="B306" s="232"/>
      <c r="C306" s="233"/>
      <c r="D306" s="234"/>
      <c r="E306" s="232"/>
      <c r="F306" s="233"/>
      <c r="G306" s="233"/>
      <c r="H306" s="233"/>
      <c r="I306" s="235"/>
      <c r="J306" s="233"/>
      <c r="K306" s="235"/>
      <c r="L306" s="233"/>
      <c r="M306" s="230"/>
      <c r="O306" s="230"/>
      <c r="P306" s="230"/>
    </row>
    <row r="307" spans="1:16" s="385" customFormat="1" ht="14.25">
      <c r="A307" s="232"/>
      <c r="B307" s="232"/>
      <c r="C307" s="233"/>
      <c r="D307" s="234"/>
      <c r="E307" s="232"/>
      <c r="F307" s="233"/>
      <c r="G307" s="233"/>
      <c r="H307" s="233"/>
      <c r="I307" s="235"/>
      <c r="J307" s="233"/>
      <c r="K307" s="235"/>
      <c r="L307" s="233"/>
      <c r="M307" s="230"/>
      <c r="O307" s="230"/>
      <c r="P307" s="230"/>
    </row>
    <row r="308" spans="1:16" s="385" customFormat="1" ht="14.25">
      <c r="A308" s="232"/>
      <c r="B308" s="232"/>
      <c r="C308" s="233"/>
      <c r="D308" s="234"/>
      <c r="E308" s="232"/>
      <c r="F308" s="233"/>
      <c r="G308" s="233"/>
      <c r="H308" s="233"/>
      <c r="I308" s="235"/>
      <c r="J308" s="233"/>
      <c r="K308" s="235"/>
      <c r="L308" s="233"/>
      <c r="M308" s="230"/>
      <c r="O308" s="230"/>
      <c r="P308" s="230"/>
    </row>
    <row r="309" spans="1:16" s="385" customFormat="1" ht="14.25">
      <c r="A309" s="232"/>
      <c r="B309" s="232"/>
      <c r="C309" s="233"/>
      <c r="D309" s="234"/>
      <c r="E309" s="232"/>
      <c r="F309" s="233"/>
      <c r="G309" s="233"/>
      <c r="H309" s="233"/>
      <c r="I309" s="235"/>
      <c r="J309" s="233"/>
      <c r="K309" s="235"/>
      <c r="L309" s="233"/>
      <c r="M309" s="230"/>
      <c r="O309" s="230"/>
      <c r="P309" s="230"/>
    </row>
    <row r="310" spans="1:16" s="385" customFormat="1" ht="14.25">
      <c r="A310" s="232"/>
      <c r="B310" s="232"/>
      <c r="C310" s="233"/>
      <c r="D310" s="234"/>
      <c r="E310" s="232"/>
      <c r="F310" s="233"/>
      <c r="G310" s="233"/>
      <c r="H310" s="233"/>
      <c r="I310" s="235"/>
      <c r="J310" s="233"/>
      <c r="K310" s="235"/>
      <c r="L310" s="233"/>
      <c r="M310" s="230"/>
      <c r="O310" s="230"/>
      <c r="P310" s="230"/>
    </row>
    <row r="311" spans="1:16" s="385" customFormat="1" ht="14.25">
      <c r="A311" s="232"/>
      <c r="B311" s="232"/>
      <c r="C311" s="233"/>
      <c r="D311" s="234"/>
      <c r="E311" s="232"/>
      <c r="F311" s="233"/>
      <c r="G311" s="233"/>
      <c r="H311" s="233"/>
      <c r="I311" s="235"/>
      <c r="J311" s="233"/>
      <c r="K311" s="235"/>
      <c r="L311" s="233"/>
      <c r="M311" s="230"/>
      <c r="O311" s="230"/>
      <c r="P311" s="230"/>
    </row>
    <row r="312" spans="1:16" s="385" customFormat="1" ht="14.25">
      <c r="A312" s="232"/>
      <c r="B312" s="232"/>
      <c r="C312" s="233"/>
      <c r="D312" s="234"/>
      <c r="E312" s="232"/>
      <c r="F312" s="233"/>
      <c r="G312" s="233"/>
      <c r="H312" s="233"/>
      <c r="I312" s="235"/>
      <c r="J312" s="233"/>
      <c r="K312" s="235"/>
      <c r="L312" s="233"/>
      <c r="M312" s="230"/>
      <c r="O312" s="230"/>
      <c r="P312" s="230"/>
    </row>
    <row r="313" spans="1:16" s="385" customFormat="1" ht="14.25">
      <c r="A313" s="232"/>
      <c r="B313" s="232"/>
      <c r="C313" s="233"/>
      <c r="D313" s="234"/>
      <c r="E313" s="232"/>
      <c r="F313" s="233"/>
      <c r="G313" s="233"/>
      <c r="H313" s="233"/>
      <c r="I313" s="235"/>
      <c r="J313" s="233"/>
      <c r="K313" s="235"/>
      <c r="L313" s="233"/>
      <c r="M313" s="230"/>
      <c r="O313" s="230"/>
      <c r="P313" s="230"/>
    </row>
    <row r="314" spans="1:16" s="385" customFormat="1" ht="14.25">
      <c r="A314" s="232"/>
      <c r="B314" s="232"/>
      <c r="C314" s="233"/>
      <c r="D314" s="234"/>
      <c r="E314" s="232"/>
      <c r="F314" s="233"/>
      <c r="G314" s="233"/>
      <c r="H314" s="233"/>
      <c r="I314" s="235"/>
      <c r="J314" s="233"/>
      <c r="K314" s="235"/>
      <c r="L314" s="233"/>
      <c r="M314" s="230"/>
      <c r="O314" s="230"/>
      <c r="P314" s="230"/>
    </row>
    <row r="315" spans="1:16" s="385" customFormat="1" ht="14.25">
      <c r="A315" s="232"/>
      <c r="B315" s="232"/>
      <c r="C315" s="233"/>
      <c r="D315" s="234"/>
      <c r="E315" s="232"/>
      <c r="F315" s="233"/>
      <c r="G315" s="233"/>
      <c r="H315" s="233"/>
      <c r="I315" s="235"/>
      <c r="J315" s="233"/>
      <c r="K315" s="235"/>
      <c r="L315" s="233"/>
      <c r="M315" s="230"/>
      <c r="O315" s="230"/>
      <c r="P315" s="230"/>
    </row>
    <row r="316" spans="1:16" s="385" customFormat="1" ht="14.25">
      <c r="A316" s="232"/>
      <c r="B316" s="232"/>
      <c r="C316" s="233"/>
      <c r="D316" s="234"/>
      <c r="E316" s="232"/>
      <c r="F316" s="233"/>
      <c r="G316" s="233"/>
      <c r="H316" s="233"/>
      <c r="I316" s="235"/>
      <c r="J316" s="233"/>
      <c r="K316" s="235"/>
      <c r="L316" s="233"/>
      <c r="M316" s="230"/>
      <c r="O316" s="230"/>
      <c r="P316" s="230"/>
    </row>
    <row r="317" spans="1:16" s="385" customFormat="1" ht="14.25">
      <c r="A317" s="232"/>
      <c r="B317" s="232"/>
      <c r="C317" s="233"/>
      <c r="D317" s="234"/>
      <c r="E317" s="232"/>
      <c r="F317" s="233"/>
      <c r="G317" s="233"/>
      <c r="H317" s="233"/>
      <c r="I317" s="235"/>
      <c r="J317" s="233"/>
      <c r="K317" s="235"/>
      <c r="L317" s="233"/>
      <c r="M317" s="230"/>
      <c r="O317" s="230"/>
      <c r="P317" s="230"/>
    </row>
    <row r="318" spans="1:16" s="385" customFormat="1" ht="14.25">
      <c r="A318" s="232"/>
      <c r="B318" s="232"/>
      <c r="C318" s="233"/>
      <c r="D318" s="234"/>
      <c r="E318" s="232"/>
      <c r="F318" s="233"/>
      <c r="G318" s="233"/>
      <c r="H318" s="233"/>
      <c r="I318" s="235"/>
      <c r="J318" s="233"/>
      <c r="K318" s="235"/>
      <c r="L318" s="233"/>
      <c r="M318" s="230"/>
      <c r="O318" s="230"/>
      <c r="P318" s="230"/>
    </row>
    <row r="319" spans="1:16" s="385" customFormat="1" ht="14.25">
      <c r="A319" s="232"/>
      <c r="B319" s="232"/>
      <c r="C319" s="233"/>
      <c r="D319" s="234"/>
      <c r="E319" s="232"/>
      <c r="F319" s="233"/>
      <c r="G319" s="233"/>
      <c r="H319" s="233"/>
      <c r="I319" s="235"/>
      <c r="J319" s="233"/>
      <c r="K319" s="235"/>
      <c r="L319" s="233"/>
      <c r="M319" s="230"/>
      <c r="O319" s="230"/>
      <c r="P319" s="230"/>
    </row>
    <row r="320" spans="1:16" s="385" customFormat="1" ht="14.25">
      <c r="A320" s="232"/>
      <c r="B320" s="232"/>
      <c r="C320" s="233"/>
      <c r="D320" s="234"/>
      <c r="E320" s="232"/>
      <c r="F320" s="233"/>
      <c r="G320" s="233"/>
      <c r="H320" s="233"/>
      <c r="I320" s="235"/>
      <c r="J320" s="233"/>
      <c r="K320" s="235"/>
      <c r="L320" s="233"/>
      <c r="M320" s="230"/>
      <c r="O320" s="230"/>
      <c r="P320" s="230"/>
    </row>
    <row r="321" spans="1:16" s="385" customFormat="1" ht="14.25">
      <c r="A321" s="232"/>
      <c r="B321" s="232"/>
      <c r="C321" s="233"/>
      <c r="D321" s="234"/>
      <c r="E321" s="232"/>
      <c r="F321" s="233"/>
      <c r="G321" s="233"/>
      <c r="H321" s="233"/>
      <c r="I321" s="235"/>
      <c r="J321" s="233"/>
      <c r="K321" s="235"/>
      <c r="L321" s="233"/>
      <c r="M321" s="230"/>
      <c r="O321" s="230"/>
      <c r="P321" s="230"/>
    </row>
    <row r="322" spans="1:16" s="385" customFormat="1" ht="14.25">
      <c r="A322" s="232"/>
      <c r="B322" s="232"/>
      <c r="C322" s="233"/>
      <c r="D322" s="234"/>
      <c r="E322" s="232"/>
      <c r="F322" s="233"/>
      <c r="G322" s="233"/>
      <c r="H322" s="233"/>
      <c r="I322" s="235"/>
      <c r="J322" s="233"/>
      <c r="K322" s="235"/>
      <c r="L322" s="233"/>
      <c r="M322" s="230"/>
      <c r="O322" s="230"/>
      <c r="P322" s="230"/>
    </row>
    <row r="323" spans="1:16" s="385" customFormat="1" ht="14.25">
      <c r="A323" s="232"/>
      <c r="B323" s="232"/>
      <c r="C323" s="233"/>
      <c r="D323" s="234"/>
      <c r="E323" s="232"/>
      <c r="F323" s="233"/>
      <c r="G323" s="233"/>
      <c r="H323" s="233"/>
      <c r="I323" s="235"/>
      <c r="J323" s="233"/>
      <c r="K323" s="235"/>
      <c r="L323" s="233"/>
      <c r="M323" s="230"/>
      <c r="O323" s="230"/>
      <c r="P323" s="230"/>
    </row>
    <row r="324" spans="1:16" s="385" customFormat="1" ht="14.25">
      <c r="A324" s="232"/>
      <c r="B324" s="232"/>
      <c r="C324" s="233"/>
      <c r="D324" s="234"/>
      <c r="E324" s="232"/>
      <c r="F324" s="233"/>
      <c r="G324" s="233"/>
      <c r="H324" s="233"/>
      <c r="I324" s="235"/>
      <c r="J324" s="233"/>
      <c r="K324" s="235"/>
      <c r="L324" s="233"/>
      <c r="M324" s="230"/>
      <c r="O324" s="230"/>
      <c r="P324" s="230"/>
    </row>
    <row r="325" spans="1:16" s="385" customFormat="1" ht="14.25">
      <c r="A325" s="232"/>
      <c r="B325" s="232"/>
      <c r="C325" s="233"/>
      <c r="D325" s="234"/>
      <c r="E325" s="232"/>
      <c r="F325" s="233"/>
      <c r="G325" s="233"/>
      <c r="H325" s="233"/>
      <c r="I325" s="235"/>
      <c r="J325" s="233"/>
      <c r="K325" s="235"/>
      <c r="L325" s="233"/>
      <c r="M325" s="230"/>
      <c r="O325" s="230"/>
      <c r="P325" s="230"/>
    </row>
    <row r="326" spans="1:16" s="385" customFormat="1" ht="14.25">
      <c r="A326" s="232"/>
      <c r="B326" s="232"/>
      <c r="C326" s="233"/>
      <c r="D326" s="234"/>
      <c r="E326" s="232"/>
      <c r="F326" s="233"/>
      <c r="G326" s="233"/>
      <c r="H326" s="233"/>
      <c r="I326" s="235"/>
      <c r="J326" s="233"/>
      <c r="K326" s="235"/>
      <c r="L326" s="233"/>
      <c r="M326" s="230"/>
      <c r="O326" s="230"/>
      <c r="P326" s="230"/>
    </row>
    <row r="327" spans="1:16" s="385" customFormat="1" ht="14.25">
      <c r="A327" s="232"/>
      <c r="B327" s="232"/>
      <c r="C327" s="233"/>
      <c r="D327" s="234"/>
      <c r="E327" s="232"/>
      <c r="F327" s="233"/>
      <c r="G327" s="233"/>
      <c r="H327" s="233"/>
      <c r="I327" s="235"/>
      <c r="J327" s="233"/>
      <c r="K327" s="235"/>
      <c r="L327" s="233"/>
      <c r="M327" s="230"/>
      <c r="O327" s="230"/>
      <c r="P327" s="230"/>
    </row>
    <row r="328" spans="1:16" s="385" customFormat="1" ht="14.25">
      <c r="A328" s="232"/>
      <c r="B328" s="232"/>
      <c r="C328" s="233"/>
      <c r="D328" s="234"/>
      <c r="E328" s="232"/>
      <c r="F328" s="233"/>
      <c r="G328" s="233"/>
      <c r="H328" s="233"/>
      <c r="I328" s="235"/>
      <c r="J328" s="233"/>
      <c r="K328" s="235"/>
      <c r="L328" s="233"/>
      <c r="M328" s="230"/>
      <c r="O328" s="230"/>
      <c r="P328" s="230"/>
    </row>
    <row r="329" spans="1:16" s="385" customFormat="1" ht="14.25">
      <c r="A329" s="232"/>
      <c r="B329" s="232"/>
      <c r="C329" s="233"/>
      <c r="D329" s="234"/>
      <c r="E329" s="232"/>
      <c r="F329" s="233"/>
      <c r="G329" s="233"/>
      <c r="H329" s="233"/>
      <c r="I329" s="235"/>
      <c r="J329" s="233"/>
      <c r="K329" s="235"/>
      <c r="L329" s="233"/>
      <c r="M329" s="230"/>
      <c r="O329" s="230"/>
      <c r="P329" s="230"/>
    </row>
    <row r="330" spans="1:16" s="385" customFormat="1" ht="14.25">
      <c r="A330" s="232"/>
      <c r="B330" s="232"/>
      <c r="C330" s="233"/>
      <c r="D330" s="234"/>
      <c r="E330" s="232"/>
      <c r="F330" s="233"/>
      <c r="G330" s="233"/>
      <c r="H330" s="233"/>
      <c r="I330" s="235"/>
      <c r="J330" s="233"/>
      <c r="K330" s="235"/>
      <c r="L330" s="233"/>
      <c r="M330" s="230"/>
      <c r="O330" s="230"/>
      <c r="P330" s="230"/>
    </row>
    <row r="331" spans="1:16" s="385" customFormat="1" ht="14.25">
      <c r="A331" s="232"/>
      <c r="B331" s="232"/>
      <c r="C331" s="233"/>
      <c r="D331" s="234"/>
      <c r="E331" s="232"/>
      <c r="F331" s="233"/>
      <c r="G331" s="233"/>
      <c r="H331" s="233"/>
      <c r="I331" s="235"/>
      <c r="J331" s="233"/>
      <c r="K331" s="235"/>
      <c r="L331" s="233"/>
      <c r="M331" s="230"/>
      <c r="O331" s="230"/>
      <c r="P331" s="230"/>
    </row>
    <row r="332" spans="1:16" s="385" customFormat="1" ht="14.25">
      <c r="A332" s="232"/>
      <c r="B332" s="232"/>
      <c r="C332" s="233"/>
      <c r="D332" s="234"/>
      <c r="E332" s="232"/>
      <c r="F332" s="233"/>
      <c r="G332" s="233"/>
      <c r="H332" s="233"/>
      <c r="I332" s="235"/>
      <c r="J332" s="233"/>
      <c r="K332" s="235"/>
      <c r="L332" s="233"/>
      <c r="M332" s="230"/>
      <c r="O332" s="230"/>
      <c r="P332" s="230"/>
    </row>
    <row r="333" spans="1:16" s="385" customFormat="1" ht="14.25">
      <c r="A333" s="232"/>
      <c r="B333" s="232"/>
      <c r="C333" s="233"/>
      <c r="D333" s="234"/>
      <c r="E333" s="232"/>
      <c r="F333" s="233"/>
      <c r="G333" s="233"/>
      <c r="H333" s="233"/>
      <c r="I333" s="235"/>
      <c r="J333" s="233"/>
      <c r="K333" s="235"/>
      <c r="L333" s="233"/>
      <c r="M333" s="230"/>
      <c r="O333" s="230"/>
      <c r="P333" s="230"/>
    </row>
    <row r="334" spans="1:16" s="385" customFormat="1" ht="14.25">
      <c r="A334" s="232"/>
      <c r="B334" s="232"/>
      <c r="C334" s="233"/>
      <c r="D334" s="234"/>
      <c r="E334" s="232"/>
      <c r="F334" s="233"/>
      <c r="G334" s="233"/>
      <c r="H334" s="233"/>
      <c r="I334" s="235"/>
      <c r="J334" s="233"/>
      <c r="K334" s="235"/>
      <c r="L334" s="233"/>
      <c r="M334" s="230"/>
      <c r="O334" s="230"/>
      <c r="P334" s="230"/>
    </row>
    <row r="335" spans="1:16" s="385" customFormat="1" ht="14.25">
      <c r="A335" s="232"/>
      <c r="B335" s="232"/>
      <c r="C335" s="233"/>
      <c r="D335" s="234"/>
      <c r="E335" s="232"/>
      <c r="F335" s="233"/>
      <c r="G335" s="233"/>
      <c r="H335" s="233"/>
      <c r="I335" s="235"/>
      <c r="J335" s="233"/>
      <c r="K335" s="235"/>
      <c r="L335" s="233"/>
      <c r="M335" s="230"/>
      <c r="O335" s="230"/>
      <c r="P335" s="230"/>
    </row>
    <row r="336" spans="1:16" s="385" customFormat="1" ht="14.25">
      <c r="A336" s="232"/>
      <c r="B336" s="232"/>
      <c r="C336" s="233"/>
      <c r="D336" s="234"/>
      <c r="E336" s="232"/>
      <c r="F336" s="233"/>
      <c r="G336" s="233"/>
      <c r="H336" s="233"/>
      <c r="I336" s="235"/>
      <c r="J336" s="233"/>
      <c r="K336" s="235"/>
      <c r="L336" s="233"/>
      <c r="M336" s="230"/>
      <c r="O336" s="230"/>
      <c r="P336" s="230"/>
    </row>
    <row r="337" spans="1:16" s="385" customFormat="1" ht="14.25">
      <c r="A337" s="232"/>
      <c r="B337" s="232"/>
      <c r="C337" s="233"/>
      <c r="D337" s="234"/>
      <c r="E337" s="232"/>
      <c r="F337" s="233"/>
      <c r="G337" s="233"/>
      <c r="H337" s="233"/>
      <c r="I337" s="235"/>
      <c r="J337" s="233"/>
      <c r="K337" s="235"/>
      <c r="L337" s="233"/>
      <c r="M337" s="230"/>
      <c r="O337" s="230"/>
      <c r="P337" s="230"/>
    </row>
    <row r="338" spans="1:16" s="385" customFormat="1" ht="14.25">
      <c r="A338" s="232"/>
      <c r="B338" s="232"/>
      <c r="C338" s="233"/>
      <c r="D338" s="234"/>
      <c r="E338" s="232"/>
      <c r="F338" s="233"/>
      <c r="G338" s="233"/>
      <c r="H338" s="233"/>
      <c r="I338" s="235"/>
      <c r="J338" s="233"/>
      <c r="K338" s="235"/>
      <c r="L338" s="233"/>
      <c r="M338" s="230"/>
      <c r="O338" s="230"/>
      <c r="P338" s="230"/>
    </row>
    <row r="339" spans="1:16" s="385" customFormat="1" ht="14.25">
      <c r="A339" s="232"/>
      <c r="B339" s="232"/>
      <c r="C339" s="233"/>
      <c r="D339" s="234"/>
      <c r="E339" s="232"/>
      <c r="F339" s="233"/>
      <c r="G339" s="233"/>
      <c r="H339" s="233"/>
      <c r="I339" s="235"/>
      <c r="J339" s="233"/>
      <c r="K339" s="235"/>
      <c r="L339" s="233"/>
      <c r="M339" s="230"/>
      <c r="O339" s="230"/>
      <c r="P339" s="230"/>
    </row>
    <row r="340" spans="1:16" s="385" customFormat="1" ht="14.25">
      <c r="A340" s="232"/>
      <c r="B340" s="232"/>
      <c r="C340" s="233"/>
      <c r="D340" s="234"/>
      <c r="E340" s="232"/>
      <c r="F340" s="233"/>
      <c r="G340" s="233"/>
      <c r="H340" s="233"/>
      <c r="I340" s="235"/>
      <c r="J340" s="233"/>
      <c r="K340" s="235"/>
      <c r="L340" s="233"/>
      <c r="M340" s="230"/>
      <c r="O340" s="230"/>
      <c r="P340" s="230"/>
    </row>
    <row r="341" spans="1:16" s="385" customFormat="1" ht="14.25">
      <c r="A341" s="232"/>
      <c r="B341" s="232"/>
      <c r="C341" s="233"/>
      <c r="D341" s="234"/>
      <c r="E341" s="232"/>
      <c r="F341" s="233"/>
      <c r="G341" s="233"/>
      <c r="H341" s="233"/>
      <c r="I341" s="235"/>
      <c r="J341" s="233"/>
      <c r="K341" s="235"/>
      <c r="L341" s="233"/>
      <c r="M341" s="230"/>
      <c r="O341" s="230"/>
      <c r="P341" s="230"/>
    </row>
    <row r="342" spans="1:16" s="385" customFormat="1" ht="14.25">
      <c r="A342" s="232"/>
      <c r="B342" s="232"/>
      <c r="C342" s="233"/>
      <c r="D342" s="234"/>
      <c r="E342" s="232"/>
      <c r="F342" s="233"/>
      <c r="G342" s="233"/>
      <c r="H342" s="233"/>
      <c r="I342" s="235"/>
      <c r="J342" s="233"/>
      <c r="K342" s="235"/>
      <c r="L342" s="233"/>
      <c r="M342" s="230"/>
      <c r="O342" s="230"/>
      <c r="P342" s="230"/>
    </row>
    <row r="343" spans="1:16" s="385" customFormat="1" ht="14.25">
      <c r="A343" s="232"/>
      <c r="B343" s="232"/>
      <c r="C343" s="233"/>
      <c r="D343" s="234"/>
      <c r="E343" s="232"/>
      <c r="F343" s="233"/>
      <c r="G343" s="233"/>
      <c r="H343" s="233"/>
      <c r="I343" s="235"/>
      <c r="J343" s="233"/>
      <c r="K343" s="235"/>
      <c r="L343" s="233"/>
      <c r="M343" s="230"/>
      <c r="O343" s="230"/>
      <c r="P343" s="230"/>
    </row>
    <row r="344" spans="1:16" s="385" customFormat="1" ht="14.25">
      <c r="A344" s="232"/>
      <c r="B344" s="232"/>
      <c r="C344" s="233"/>
      <c r="D344" s="234"/>
      <c r="E344" s="232"/>
      <c r="F344" s="233"/>
      <c r="G344" s="233"/>
      <c r="H344" s="233"/>
      <c r="I344" s="235"/>
      <c r="J344" s="233"/>
      <c r="K344" s="235"/>
      <c r="L344" s="233"/>
      <c r="M344" s="230"/>
      <c r="O344" s="230"/>
      <c r="P344" s="230"/>
    </row>
    <row r="345" spans="1:16" s="385" customFormat="1" ht="14.25">
      <c r="A345" s="232"/>
      <c r="B345" s="232"/>
      <c r="C345" s="233"/>
      <c r="D345" s="234"/>
      <c r="E345" s="232"/>
      <c r="F345" s="233"/>
      <c r="G345" s="233"/>
      <c r="H345" s="233"/>
      <c r="I345" s="235"/>
      <c r="J345" s="233"/>
      <c r="K345" s="235"/>
      <c r="L345" s="233"/>
      <c r="M345" s="230"/>
      <c r="O345" s="230"/>
      <c r="P345" s="230"/>
    </row>
    <row r="346" spans="1:16" s="385" customFormat="1" ht="14.25">
      <c r="A346" s="232"/>
      <c r="B346" s="232"/>
      <c r="C346" s="233"/>
      <c r="D346" s="234"/>
      <c r="E346" s="232"/>
      <c r="F346" s="233"/>
      <c r="G346" s="233"/>
      <c r="H346" s="233"/>
      <c r="I346" s="235"/>
      <c r="J346" s="233"/>
      <c r="K346" s="235"/>
      <c r="L346" s="233"/>
      <c r="M346" s="230"/>
      <c r="O346" s="230"/>
      <c r="P346" s="230"/>
    </row>
    <row r="347" spans="1:16" s="385" customFormat="1" ht="14.25">
      <c r="A347" s="232"/>
      <c r="B347" s="232"/>
      <c r="C347" s="233"/>
      <c r="D347" s="234"/>
      <c r="E347" s="232"/>
      <c r="F347" s="233"/>
      <c r="G347" s="233"/>
      <c r="H347" s="233"/>
      <c r="I347" s="235"/>
      <c r="J347" s="233"/>
      <c r="K347" s="235"/>
      <c r="L347" s="233"/>
      <c r="M347" s="230"/>
      <c r="O347" s="230"/>
      <c r="P347" s="230"/>
    </row>
    <row r="348" spans="1:16" s="385" customFormat="1" ht="14.25">
      <c r="A348" s="232"/>
      <c r="B348" s="232"/>
      <c r="C348" s="233"/>
      <c r="D348" s="234"/>
      <c r="E348" s="232"/>
      <c r="F348" s="233"/>
      <c r="G348" s="233"/>
      <c r="H348" s="233"/>
      <c r="I348" s="235"/>
      <c r="J348" s="233"/>
      <c r="K348" s="235"/>
      <c r="L348" s="233"/>
      <c r="M348" s="230"/>
      <c r="O348" s="230"/>
      <c r="P348" s="230"/>
    </row>
    <row r="349" spans="1:16" s="385" customFormat="1" ht="14.25">
      <c r="A349" s="232"/>
      <c r="B349" s="232"/>
      <c r="C349" s="233"/>
      <c r="D349" s="234"/>
      <c r="E349" s="232"/>
      <c r="F349" s="233"/>
      <c r="G349" s="233"/>
      <c r="H349" s="233"/>
      <c r="I349" s="235"/>
      <c r="J349" s="233"/>
      <c r="K349" s="235"/>
      <c r="L349" s="233"/>
      <c r="M349" s="230"/>
      <c r="O349" s="230"/>
      <c r="P349" s="230"/>
    </row>
    <row r="350" spans="1:16" s="385" customFormat="1" ht="14.25">
      <c r="A350" s="232"/>
      <c r="B350" s="232"/>
      <c r="C350" s="233"/>
      <c r="D350" s="234"/>
      <c r="E350" s="232"/>
      <c r="F350" s="233"/>
      <c r="G350" s="233"/>
      <c r="H350" s="233"/>
      <c r="I350" s="235"/>
      <c r="J350" s="233"/>
      <c r="K350" s="235"/>
      <c r="L350" s="233"/>
      <c r="M350" s="230"/>
      <c r="O350" s="230"/>
      <c r="P350" s="230"/>
    </row>
    <row r="351" spans="1:16" s="385" customFormat="1" ht="14.25">
      <c r="A351" s="232"/>
      <c r="B351" s="232"/>
      <c r="C351" s="233"/>
      <c r="D351" s="234"/>
      <c r="E351" s="232"/>
      <c r="F351" s="233"/>
      <c r="G351" s="233"/>
      <c r="H351" s="233"/>
      <c r="I351" s="235"/>
      <c r="J351" s="233"/>
      <c r="K351" s="235"/>
      <c r="L351" s="233"/>
      <c r="M351" s="230"/>
      <c r="O351" s="230"/>
      <c r="P351" s="230"/>
    </row>
    <row r="352" spans="1:16" s="385" customFormat="1" ht="14.25">
      <c r="A352" s="232"/>
      <c r="B352" s="232"/>
      <c r="C352" s="233"/>
      <c r="D352" s="234"/>
      <c r="E352" s="232"/>
      <c r="F352" s="233"/>
      <c r="G352" s="233"/>
      <c r="H352" s="233"/>
      <c r="I352" s="235"/>
      <c r="J352" s="233"/>
      <c r="K352" s="235"/>
      <c r="L352" s="233"/>
      <c r="M352" s="230"/>
      <c r="O352" s="230"/>
      <c r="P352" s="230"/>
    </row>
    <row r="353" spans="1:16" s="385" customFormat="1" ht="14.25">
      <c r="A353" s="232"/>
      <c r="B353" s="232"/>
      <c r="C353" s="233"/>
      <c r="D353" s="234"/>
      <c r="E353" s="232"/>
      <c r="F353" s="233"/>
      <c r="G353" s="233"/>
      <c r="H353" s="233"/>
      <c r="I353" s="235"/>
      <c r="J353" s="233"/>
      <c r="K353" s="235"/>
      <c r="L353" s="233"/>
      <c r="M353" s="230"/>
      <c r="O353" s="230"/>
      <c r="P353" s="230"/>
    </row>
    <row r="354" spans="1:16" s="385" customFormat="1" ht="14.25">
      <c r="A354" s="232"/>
      <c r="B354" s="232"/>
      <c r="C354" s="233"/>
      <c r="D354" s="234"/>
      <c r="E354" s="232"/>
      <c r="F354" s="233"/>
      <c r="G354" s="233"/>
      <c r="H354" s="233"/>
      <c r="I354" s="235"/>
      <c r="J354" s="233"/>
      <c r="K354" s="235"/>
      <c r="L354" s="233"/>
      <c r="M354" s="230"/>
      <c r="O354" s="230"/>
      <c r="P354" s="230"/>
    </row>
    <row r="355" spans="1:16" s="385" customFormat="1" ht="14.25">
      <c r="A355" s="232"/>
      <c r="B355" s="232"/>
      <c r="C355" s="233"/>
      <c r="D355" s="234"/>
      <c r="E355" s="232"/>
      <c r="F355" s="233"/>
      <c r="G355" s="233"/>
      <c r="H355" s="233"/>
      <c r="I355" s="235"/>
      <c r="J355" s="233"/>
      <c r="K355" s="235"/>
      <c r="L355" s="233"/>
      <c r="M355" s="230"/>
      <c r="O355" s="230"/>
      <c r="P355" s="230"/>
    </row>
    <row r="356" spans="1:16" s="385" customFormat="1" ht="14.25">
      <c r="A356" s="271"/>
      <c r="B356" s="271"/>
      <c r="C356" s="230"/>
      <c r="D356" s="272"/>
      <c r="E356" s="271"/>
      <c r="F356" s="230"/>
      <c r="G356" s="230"/>
      <c r="H356" s="230"/>
      <c r="I356" s="309"/>
      <c r="J356" s="230"/>
      <c r="K356" s="309"/>
      <c r="L356" s="230"/>
      <c r="M356" s="230"/>
      <c r="O356" s="230"/>
      <c r="P356" s="230"/>
    </row>
    <row r="357" spans="1:16" s="385" customFormat="1" ht="14.25">
      <c r="A357" s="271"/>
      <c r="B357" s="271"/>
      <c r="C357" s="230"/>
      <c r="D357" s="272"/>
      <c r="E357" s="271"/>
      <c r="F357" s="230"/>
      <c r="G357" s="230"/>
      <c r="H357" s="230"/>
      <c r="I357" s="309"/>
      <c r="J357" s="230"/>
      <c r="K357" s="309"/>
      <c r="L357" s="230"/>
      <c r="M357" s="230"/>
      <c r="O357" s="230"/>
      <c r="P357" s="230"/>
    </row>
    <row r="358" spans="1:16" s="385" customFormat="1" ht="14.25">
      <c r="A358" s="272"/>
      <c r="B358" s="271"/>
      <c r="C358" s="230"/>
      <c r="D358" s="272"/>
      <c r="E358" s="272"/>
      <c r="F358" s="230"/>
      <c r="G358" s="230"/>
      <c r="H358" s="230"/>
      <c r="I358" s="230"/>
      <c r="J358" s="230"/>
      <c r="K358" s="230"/>
      <c r="L358" s="230"/>
      <c r="M358" s="230"/>
      <c r="O358" s="230"/>
      <c r="P358" s="230"/>
    </row>
    <row r="359" spans="1:16" s="385" customFormat="1" ht="14.25">
      <c r="A359" s="272"/>
      <c r="B359" s="271"/>
      <c r="C359" s="230"/>
      <c r="D359" s="272"/>
      <c r="E359" s="272"/>
      <c r="F359" s="230"/>
      <c r="G359" s="230"/>
      <c r="H359" s="230"/>
      <c r="I359" s="230"/>
      <c r="J359" s="230"/>
      <c r="K359" s="230"/>
      <c r="L359" s="230"/>
      <c r="M359" s="230"/>
      <c r="O359" s="230"/>
      <c r="P359" s="230"/>
    </row>
    <row r="360" spans="1:16" s="385" customFormat="1" ht="14.25">
      <c r="A360" s="272"/>
      <c r="B360" s="271"/>
      <c r="C360" s="230"/>
      <c r="D360" s="272"/>
      <c r="E360" s="272"/>
      <c r="F360" s="230"/>
      <c r="G360" s="230"/>
      <c r="H360" s="230"/>
      <c r="I360" s="230"/>
      <c r="J360" s="230"/>
      <c r="K360" s="230"/>
      <c r="L360" s="230"/>
      <c r="M360" s="230"/>
      <c r="O360" s="230"/>
      <c r="P360" s="230"/>
    </row>
    <row r="361" spans="1:16" s="385" customFormat="1" ht="14.25">
      <c r="A361" s="272"/>
      <c r="B361" s="271"/>
      <c r="C361" s="230"/>
      <c r="D361" s="272"/>
      <c r="E361" s="272"/>
      <c r="F361" s="230"/>
      <c r="G361" s="230"/>
      <c r="H361" s="230"/>
      <c r="I361" s="230"/>
      <c r="J361" s="230"/>
      <c r="K361" s="230"/>
      <c r="L361" s="230"/>
      <c r="M361" s="230"/>
      <c r="O361" s="230"/>
      <c r="P361" s="230"/>
    </row>
    <row r="362" spans="1:16" s="385" customFormat="1" ht="14.25">
      <c r="A362" s="272"/>
      <c r="B362" s="271"/>
      <c r="C362" s="230"/>
      <c r="D362" s="272"/>
      <c r="E362" s="272"/>
      <c r="F362" s="230"/>
      <c r="G362" s="230"/>
      <c r="H362" s="230"/>
      <c r="I362" s="230"/>
      <c r="J362" s="230"/>
      <c r="K362" s="230"/>
      <c r="L362" s="230"/>
      <c r="M362" s="230"/>
      <c r="O362" s="230"/>
      <c r="P362" s="230"/>
    </row>
    <row r="363" spans="1:16" s="385" customFormat="1" ht="14.25">
      <c r="A363" s="272"/>
      <c r="B363" s="271"/>
      <c r="C363" s="230"/>
      <c r="D363" s="272"/>
      <c r="E363" s="272"/>
      <c r="F363" s="230"/>
      <c r="G363" s="230"/>
      <c r="H363" s="230"/>
      <c r="I363" s="230"/>
      <c r="J363" s="230"/>
      <c r="K363" s="230"/>
      <c r="L363" s="230"/>
      <c r="M363" s="230"/>
      <c r="O363" s="230"/>
      <c r="P363" s="230"/>
    </row>
    <row r="364" spans="1:16" s="385" customFormat="1" ht="14.25">
      <c r="A364" s="272"/>
      <c r="B364" s="271"/>
      <c r="C364" s="230"/>
      <c r="D364" s="272"/>
      <c r="E364" s="272"/>
      <c r="F364" s="230"/>
      <c r="G364" s="230"/>
      <c r="H364" s="230"/>
      <c r="I364" s="230"/>
      <c r="J364" s="230"/>
      <c r="K364" s="230"/>
      <c r="L364" s="230"/>
      <c r="M364" s="230"/>
      <c r="O364" s="230"/>
      <c r="P364" s="230"/>
    </row>
    <row r="365" spans="1:16" s="385" customFormat="1" ht="14.25">
      <c r="A365" s="272"/>
      <c r="B365" s="271"/>
      <c r="C365" s="230"/>
      <c r="D365" s="272"/>
      <c r="E365" s="272"/>
      <c r="F365" s="230"/>
      <c r="G365" s="230"/>
      <c r="H365" s="230"/>
      <c r="I365" s="230"/>
      <c r="J365" s="230"/>
      <c r="K365" s="230"/>
      <c r="L365" s="230"/>
      <c r="M365" s="230"/>
      <c r="O365" s="230"/>
      <c r="P365" s="230"/>
    </row>
    <row r="366" spans="1:16" s="385" customFormat="1" ht="14.25">
      <c r="A366" s="272"/>
      <c r="B366" s="271"/>
      <c r="C366" s="230"/>
      <c r="D366" s="272"/>
      <c r="E366" s="272"/>
      <c r="F366" s="230"/>
      <c r="G366" s="230"/>
      <c r="H366" s="230"/>
      <c r="I366" s="230"/>
      <c r="J366" s="230"/>
      <c r="K366" s="230"/>
      <c r="L366" s="230"/>
      <c r="M366" s="230"/>
      <c r="O366" s="230"/>
      <c r="P366" s="230"/>
    </row>
    <row r="367" spans="1:16" s="385" customFormat="1" ht="14.25">
      <c r="A367" s="272"/>
      <c r="B367" s="271"/>
      <c r="C367" s="230"/>
      <c r="D367" s="272"/>
      <c r="E367" s="272"/>
      <c r="F367" s="230"/>
      <c r="G367" s="230"/>
      <c r="H367" s="230"/>
      <c r="I367" s="230"/>
      <c r="J367" s="230"/>
      <c r="K367" s="230"/>
      <c r="L367" s="230"/>
      <c r="M367" s="230"/>
      <c r="O367" s="230"/>
      <c r="P367" s="230"/>
    </row>
    <row r="368" spans="1:16" s="385" customFormat="1" ht="14.25">
      <c r="A368" s="272"/>
      <c r="B368" s="271"/>
      <c r="C368" s="230"/>
      <c r="D368" s="272"/>
      <c r="E368" s="272"/>
      <c r="F368" s="230"/>
      <c r="G368" s="230"/>
      <c r="H368" s="230"/>
      <c r="I368" s="230"/>
      <c r="J368" s="230"/>
      <c r="K368" s="230"/>
      <c r="L368" s="230"/>
      <c r="M368" s="230"/>
      <c r="O368" s="230"/>
      <c r="P368" s="230"/>
    </row>
    <row r="369" spans="1:16" s="385" customFormat="1" ht="14.25">
      <c r="A369" s="272"/>
      <c r="B369" s="271"/>
      <c r="C369" s="230"/>
      <c r="D369" s="272"/>
      <c r="E369" s="272"/>
      <c r="F369" s="230"/>
      <c r="G369" s="230"/>
      <c r="H369" s="230"/>
      <c r="I369" s="230"/>
      <c r="J369" s="230"/>
      <c r="K369" s="230"/>
      <c r="L369" s="230"/>
      <c r="M369" s="230"/>
      <c r="O369" s="230"/>
      <c r="P369" s="230"/>
    </row>
    <row r="370" spans="1:16" s="385" customFormat="1" ht="14.25">
      <c r="A370" s="272"/>
      <c r="B370" s="271"/>
      <c r="C370" s="230"/>
      <c r="D370" s="272"/>
      <c r="E370" s="272"/>
      <c r="F370" s="230"/>
      <c r="G370" s="230"/>
      <c r="H370" s="230"/>
      <c r="I370" s="230"/>
      <c r="J370" s="230"/>
      <c r="K370" s="230"/>
      <c r="L370" s="230"/>
      <c r="M370" s="230"/>
      <c r="O370" s="230"/>
      <c r="P370" s="230"/>
    </row>
    <row r="371" spans="1:16" s="385" customFormat="1" ht="14.25">
      <c r="A371" s="272"/>
      <c r="B371" s="271"/>
      <c r="C371" s="230"/>
      <c r="D371" s="272"/>
      <c r="E371" s="272"/>
      <c r="F371" s="230"/>
      <c r="G371" s="230"/>
      <c r="H371" s="230"/>
      <c r="I371" s="230"/>
      <c r="J371" s="230"/>
      <c r="K371" s="230"/>
      <c r="L371" s="230"/>
      <c r="M371" s="230"/>
      <c r="O371" s="230"/>
      <c r="P371" s="230"/>
    </row>
    <row r="372" spans="1:16" s="385" customFormat="1" ht="14.25">
      <c r="A372" s="272"/>
      <c r="B372" s="271"/>
      <c r="C372" s="230"/>
      <c r="D372" s="272"/>
      <c r="E372" s="272"/>
      <c r="F372" s="230"/>
      <c r="G372" s="230"/>
      <c r="H372" s="230"/>
      <c r="I372" s="230"/>
      <c r="J372" s="230"/>
      <c r="K372" s="230"/>
      <c r="L372" s="230"/>
      <c r="M372" s="230"/>
      <c r="O372" s="230"/>
      <c r="P372" s="230"/>
    </row>
    <row r="373" spans="1:16" s="385" customFormat="1" ht="14.25">
      <c r="A373" s="272"/>
      <c r="B373" s="271"/>
      <c r="C373" s="230"/>
      <c r="D373" s="272"/>
      <c r="E373" s="272"/>
      <c r="F373" s="230"/>
      <c r="G373" s="230"/>
      <c r="H373" s="230"/>
      <c r="I373" s="230"/>
      <c r="J373" s="230"/>
      <c r="K373" s="230"/>
      <c r="L373" s="230"/>
      <c r="M373" s="230"/>
      <c r="O373" s="230"/>
      <c r="P373" s="230"/>
    </row>
    <row r="374" spans="1:16" s="385" customFormat="1" ht="14.25">
      <c r="A374" s="272"/>
      <c r="B374" s="271"/>
      <c r="C374" s="230"/>
      <c r="D374" s="272"/>
      <c r="E374" s="272"/>
      <c r="F374" s="230"/>
      <c r="G374" s="230"/>
      <c r="H374" s="230"/>
      <c r="I374" s="230"/>
      <c r="J374" s="230"/>
      <c r="K374" s="230"/>
      <c r="L374" s="230"/>
      <c r="M374" s="230"/>
      <c r="O374" s="230"/>
      <c r="P374" s="230"/>
    </row>
    <row r="375" spans="1:16" s="385" customFormat="1" ht="14.25">
      <c r="A375" s="272"/>
      <c r="B375" s="271"/>
      <c r="C375" s="230"/>
      <c r="D375" s="272"/>
      <c r="E375" s="272"/>
      <c r="F375" s="230"/>
      <c r="G375" s="230"/>
      <c r="H375" s="230"/>
      <c r="I375" s="230"/>
      <c r="J375" s="230"/>
      <c r="K375" s="230"/>
      <c r="L375" s="230"/>
      <c r="M375" s="230"/>
      <c r="O375" s="230"/>
      <c r="P375" s="230"/>
    </row>
    <row r="376" spans="1:16" s="385" customFormat="1" ht="14.25">
      <c r="A376" s="272"/>
      <c r="B376" s="271"/>
      <c r="C376" s="230"/>
      <c r="D376" s="272"/>
      <c r="E376" s="272"/>
      <c r="F376" s="230"/>
      <c r="G376" s="230"/>
      <c r="H376" s="230"/>
      <c r="I376" s="230"/>
      <c r="J376" s="230"/>
      <c r="K376" s="230"/>
      <c r="L376" s="230"/>
      <c r="M376" s="230"/>
      <c r="O376" s="230"/>
      <c r="P376" s="230"/>
    </row>
    <row r="377" spans="1:16" s="385" customFormat="1" ht="14.25">
      <c r="A377" s="272"/>
      <c r="B377" s="271"/>
      <c r="C377" s="230"/>
      <c r="D377" s="272"/>
      <c r="E377" s="272"/>
      <c r="F377" s="230"/>
      <c r="G377" s="230"/>
      <c r="H377" s="230"/>
      <c r="I377" s="230"/>
      <c r="J377" s="230"/>
      <c r="K377" s="230"/>
      <c r="L377" s="230"/>
      <c r="M377" s="230"/>
      <c r="O377" s="230"/>
      <c r="P377" s="230"/>
    </row>
    <row r="378" spans="1:16" s="385" customFormat="1" ht="14.25">
      <c r="A378" s="272"/>
      <c r="B378" s="271"/>
      <c r="C378" s="230"/>
      <c r="D378" s="272"/>
      <c r="E378" s="272"/>
      <c r="F378" s="230"/>
      <c r="G378" s="230"/>
      <c r="H378" s="230"/>
      <c r="I378" s="230"/>
      <c r="J378" s="230"/>
      <c r="K378" s="230"/>
      <c r="L378" s="230"/>
      <c r="M378" s="230"/>
      <c r="O378" s="230"/>
      <c r="P378" s="230"/>
    </row>
    <row r="379" spans="1:16" s="385" customFormat="1" ht="14.25">
      <c r="A379" s="272"/>
      <c r="B379" s="271"/>
      <c r="C379" s="230"/>
      <c r="D379" s="272"/>
      <c r="E379" s="272"/>
      <c r="F379" s="230"/>
      <c r="G379" s="230"/>
      <c r="H379" s="230"/>
      <c r="I379" s="230"/>
      <c r="J379" s="230"/>
      <c r="K379" s="230"/>
      <c r="L379" s="230"/>
      <c r="M379" s="230"/>
      <c r="O379" s="230"/>
      <c r="P379" s="230"/>
    </row>
    <row r="380" spans="1:16" s="385" customFormat="1" ht="14.25">
      <c r="A380" s="272"/>
      <c r="B380" s="271"/>
      <c r="C380" s="230"/>
      <c r="D380" s="272"/>
      <c r="E380" s="272"/>
      <c r="F380" s="230"/>
      <c r="G380" s="230"/>
      <c r="H380" s="230"/>
      <c r="I380" s="230"/>
      <c r="J380" s="230"/>
      <c r="K380" s="230"/>
      <c r="L380" s="230"/>
      <c r="M380" s="230"/>
      <c r="O380" s="230"/>
      <c r="P380" s="230"/>
    </row>
    <row r="381" spans="1:16" s="385" customFormat="1" ht="14.25">
      <c r="A381" s="272"/>
      <c r="B381" s="271"/>
      <c r="C381" s="230"/>
      <c r="D381" s="272"/>
      <c r="E381" s="272"/>
      <c r="F381" s="230"/>
      <c r="G381" s="230"/>
      <c r="H381" s="230"/>
      <c r="I381" s="230"/>
      <c r="J381" s="230"/>
      <c r="K381" s="230"/>
      <c r="L381" s="230"/>
      <c r="M381" s="230"/>
      <c r="O381" s="230"/>
      <c r="P381" s="230"/>
    </row>
    <row r="382" spans="1:16" s="385" customFormat="1" ht="14.25">
      <c r="A382" s="272"/>
      <c r="B382" s="271"/>
      <c r="C382" s="230"/>
      <c r="D382" s="272"/>
      <c r="E382" s="272"/>
      <c r="F382" s="230"/>
      <c r="G382" s="230"/>
      <c r="H382" s="230"/>
      <c r="I382" s="230"/>
      <c r="J382" s="230"/>
      <c r="K382" s="230"/>
      <c r="L382" s="230"/>
      <c r="M382" s="230"/>
      <c r="O382" s="230"/>
      <c r="P382" s="230"/>
    </row>
    <row r="383" spans="1:16" s="385" customFormat="1" ht="14.25">
      <c r="A383" s="272"/>
      <c r="B383" s="271"/>
      <c r="C383" s="230"/>
      <c r="D383" s="272"/>
      <c r="E383" s="272"/>
      <c r="F383" s="230"/>
      <c r="G383" s="230"/>
      <c r="H383" s="230"/>
      <c r="I383" s="230"/>
      <c r="J383" s="230"/>
      <c r="K383" s="230"/>
      <c r="L383" s="230"/>
      <c r="M383" s="230"/>
      <c r="O383" s="230"/>
      <c r="P383" s="230"/>
    </row>
    <row r="384" spans="1:16" s="385" customFormat="1" ht="14.25">
      <c r="A384" s="272"/>
      <c r="B384" s="271"/>
      <c r="C384" s="230"/>
      <c r="D384" s="272"/>
      <c r="E384" s="272"/>
      <c r="F384" s="230"/>
      <c r="G384" s="230"/>
      <c r="H384" s="230"/>
      <c r="I384" s="230"/>
      <c r="J384" s="230"/>
      <c r="K384" s="230"/>
      <c r="L384" s="230"/>
      <c r="M384" s="230"/>
      <c r="O384" s="230"/>
      <c r="P384" s="230"/>
    </row>
    <row r="385" spans="1:16" s="385" customFormat="1" ht="14.25">
      <c r="A385" s="272"/>
      <c r="B385" s="271"/>
      <c r="C385" s="230"/>
      <c r="D385" s="272"/>
      <c r="E385" s="272"/>
      <c r="F385" s="230"/>
      <c r="G385" s="230"/>
      <c r="H385" s="230"/>
      <c r="I385" s="230"/>
      <c r="J385" s="230"/>
      <c r="K385" s="230"/>
      <c r="L385" s="230"/>
      <c r="M385" s="230"/>
      <c r="O385" s="230"/>
      <c r="P385" s="230"/>
    </row>
    <row r="386" spans="1:16" s="385" customFormat="1" ht="14.25">
      <c r="A386" s="272"/>
      <c r="B386" s="271"/>
      <c r="C386" s="230"/>
      <c r="D386" s="272"/>
      <c r="E386" s="272"/>
      <c r="F386" s="230"/>
      <c r="G386" s="230"/>
      <c r="H386" s="230"/>
      <c r="I386" s="230"/>
      <c r="J386" s="230"/>
      <c r="K386" s="230"/>
      <c r="L386" s="230"/>
      <c r="M386" s="230"/>
      <c r="O386" s="230"/>
      <c r="P386" s="230"/>
    </row>
    <row r="387" spans="1:16" s="385" customFormat="1" ht="14.25">
      <c r="A387" s="272"/>
      <c r="B387" s="271"/>
      <c r="C387" s="230"/>
      <c r="D387" s="272"/>
      <c r="E387" s="272"/>
      <c r="F387" s="230"/>
      <c r="G387" s="230"/>
      <c r="H387" s="230"/>
      <c r="I387" s="230"/>
      <c r="J387" s="230"/>
      <c r="K387" s="230"/>
      <c r="L387" s="230"/>
      <c r="M387" s="230"/>
      <c r="O387" s="230"/>
      <c r="P387" s="230"/>
    </row>
    <row r="388" spans="1:16" s="385" customFormat="1" ht="14.25">
      <c r="A388" s="272"/>
      <c r="B388" s="271"/>
      <c r="C388" s="230"/>
      <c r="D388" s="272"/>
      <c r="E388" s="272"/>
      <c r="F388" s="230"/>
      <c r="G388" s="230"/>
      <c r="H388" s="230"/>
      <c r="I388" s="230"/>
      <c r="J388" s="230"/>
      <c r="K388" s="230"/>
      <c r="L388" s="230"/>
      <c r="M388" s="230"/>
      <c r="O388" s="230"/>
      <c r="P388" s="230"/>
    </row>
    <row r="389" spans="1:16" s="385" customFormat="1" ht="14.25">
      <c r="A389" s="272"/>
      <c r="B389" s="271"/>
      <c r="C389" s="230"/>
      <c r="D389" s="272"/>
      <c r="E389" s="272"/>
      <c r="F389" s="230"/>
      <c r="G389" s="230"/>
      <c r="H389" s="230"/>
      <c r="I389" s="230"/>
      <c r="J389" s="230"/>
      <c r="K389" s="230"/>
      <c r="L389" s="230"/>
      <c r="M389" s="230"/>
      <c r="O389" s="230"/>
      <c r="P389" s="230"/>
    </row>
    <row r="403" spans="1:16" s="385" customFormat="1" ht="15.75">
      <c r="A403" s="29"/>
      <c r="B403" s="29"/>
      <c r="C403" s="37"/>
      <c r="D403" s="183"/>
      <c r="E403" s="29"/>
      <c r="F403" s="37"/>
      <c r="G403" s="37"/>
      <c r="H403" s="37"/>
      <c r="I403" s="310"/>
      <c r="J403" s="37"/>
      <c r="K403" s="310"/>
      <c r="L403" s="37"/>
      <c r="M403" s="27"/>
      <c r="O403" s="230"/>
      <c r="P403" s="230"/>
    </row>
    <row r="404" spans="1:16" s="385" customFormat="1" ht="15.75">
      <c r="A404" s="29"/>
      <c r="B404" s="29"/>
      <c r="C404" s="37"/>
      <c r="D404" s="183"/>
      <c r="E404" s="29"/>
      <c r="F404" s="37"/>
      <c r="G404" s="37"/>
      <c r="H404" s="37"/>
      <c r="I404" s="310"/>
      <c r="J404" s="37"/>
      <c r="K404" s="310"/>
      <c r="L404" s="37"/>
      <c r="M404" s="27"/>
      <c r="O404" s="230"/>
      <c r="P404" s="230"/>
    </row>
    <row r="405" spans="1:16" s="385" customFormat="1" ht="15.75">
      <c r="A405" s="29"/>
      <c r="B405" s="29"/>
      <c r="C405" s="37"/>
      <c r="D405" s="183"/>
      <c r="E405" s="29"/>
      <c r="F405" s="37"/>
      <c r="G405" s="37"/>
      <c r="H405" s="37"/>
      <c r="I405" s="310"/>
      <c r="J405" s="37"/>
      <c r="K405" s="310"/>
      <c r="L405" s="37"/>
      <c r="M405" s="27"/>
      <c r="O405" s="230"/>
      <c r="P405" s="230"/>
    </row>
    <row r="406" spans="1:16" s="385" customFormat="1" ht="15.75">
      <c r="A406" s="29"/>
      <c r="B406" s="29"/>
      <c r="C406" s="37"/>
      <c r="D406" s="183"/>
      <c r="E406" s="29"/>
      <c r="F406" s="37"/>
      <c r="G406" s="37"/>
      <c r="H406" s="37"/>
      <c r="I406" s="310"/>
      <c r="J406" s="37"/>
      <c r="K406" s="310"/>
      <c r="L406" s="37"/>
      <c r="M406" s="27"/>
      <c r="O406" s="230"/>
      <c r="P406" s="230"/>
    </row>
    <row r="407" spans="1:16" s="385" customFormat="1" ht="15.75">
      <c r="A407" s="29"/>
      <c r="B407" s="29"/>
      <c r="C407" s="37"/>
      <c r="D407" s="183"/>
      <c r="E407" s="29"/>
      <c r="F407" s="37"/>
      <c r="G407" s="37"/>
      <c r="H407" s="37"/>
      <c r="I407" s="310"/>
      <c r="J407" s="37"/>
      <c r="K407" s="310"/>
      <c r="L407" s="37"/>
      <c r="M407" s="27"/>
      <c r="O407" s="230"/>
      <c r="P407" s="230"/>
    </row>
    <row r="408" spans="1:16" s="385" customFormat="1" ht="15.75">
      <c r="A408" s="29"/>
      <c r="B408" s="29"/>
      <c r="C408" s="37"/>
      <c r="D408" s="183"/>
      <c r="E408" s="29"/>
      <c r="F408" s="37"/>
      <c r="G408" s="37"/>
      <c r="H408" s="37"/>
      <c r="I408" s="310"/>
      <c r="J408" s="37"/>
      <c r="K408" s="310"/>
      <c r="L408" s="37"/>
      <c r="M408" s="27"/>
      <c r="O408" s="230"/>
      <c r="P408" s="230"/>
    </row>
    <row r="409" spans="1:16" s="385" customFormat="1" ht="15.75">
      <c r="A409" s="29"/>
      <c r="B409" s="29"/>
      <c r="C409" s="37"/>
      <c r="D409" s="183"/>
      <c r="E409" s="29"/>
      <c r="F409" s="37"/>
      <c r="G409" s="37"/>
      <c r="H409" s="37"/>
      <c r="I409" s="310"/>
      <c r="J409" s="37"/>
      <c r="K409" s="310"/>
      <c r="L409" s="37"/>
      <c r="M409" s="27"/>
      <c r="O409" s="230"/>
      <c r="P409" s="230"/>
    </row>
    <row r="410" spans="1:16" s="385" customFormat="1" ht="15.75">
      <c r="A410" s="29"/>
      <c r="B410" s="29"/>
      <c r="C410" s="37"/>
      <c r="D410" s="183"/>
      <c r="E410" s="29"/>
      <c r="F410" s="37"/>
      <c r="G410" s="37"/>
      <c r="H410" s="37"/>
      <c r="I410" s="310"/>
      <c r="J410" s="37"/>
      <c r="K410" s="310"/>
      <c r="L410" s="37"/>
      <c r="M410" s="27"/>
      <c r="O410" s="230"/>
      <c r="P410" s="230"/>
    </row>
    <row r="411" spans="1:16" s="385" customFormat="1" ht="15.75">
      <c r="A411" s="29"/>
      <c r="B411" s="29"/>
      <c r="C411" s="37"/>
      <c r="D411" s="183"/>
      <c r="E411" s="29"/>
      <c r="F411" s="37"/>
      <c r="G411" s="37"/>
      <c r="H411" s="37"/>
      <c r="I411" s="310"/>
      <c r="J411" s="37"/>
      <c r="K411" s="310"/>
      <c r="L411" s="37"/>
      <c r="M411" s="27"/>
      <c r="O411" s="230"/>
      <c r="P411" s="230"/>
    </row>
    <row r="412" spans="1:16" s="385" customFormat="1" ht="15.75">
      <c r="A412" s="29"/>
      <c r="B412" s="29"/>
      <c r="C412" s="37"/>
      <c r="D412" s="183"/>
      <c r="E412" s="29"/>
      <c r="F412" s="37"/>
      <c r="G412" s="37"/>
      <c r="H412" s="37"/>
      <c r="I412" s="310"/>
      <c r="J412" s="37"/>
      <c r="K412" s="310"/>
      <c r="L412" s="37"/>
      <c r="M412" s="27"/>
      <c r="O412" s="230"/>
      <c r="P412" s="230"/>
    </row>
    <row r="413" spans="1:16" s="385" customFormat="1" ht="15.75">
      <c r="A413" s="29"/>
      <c r="B413" s="29"/>
      <c r="C413" s="37"/>
      <c r="D413" s="183"/>
      <c r="E413" s="29"/>
      <c r="F413" s="37"/>
      <c r="G413" s="37"/>
      <c r="H413" s="37"/>
      <c r="I413" s="310"/>
      <c r="J413" s="37"/>
      <c r="K413" s="310"/>
      <c r="L413" s="37"/>
      <c r="M413" s="27"/>
      <c r="O413" s="230"/>
      <c r="P413" s="230"/>
    </row>
    <row r="414" spans="1:16" s="385" customFormat="1" ht="15.75">
      <c r="A414" s="29"/>
      <c r="B414" s="29"/>
      <c r="C414" s="37"/>
      <c r="D414" s="183"/>
      <c r="E414" s="29"/>
      <c r="F414" s="37"/>
      <c r="G414" s="37"/>
      <c r="H414" s="37"/>
      <c r="I414" s="310"/>
      <c r="J414" s="37"/>
      <c r="K414" s="310"/>
      <c r="L414" s="37"/>
      <c r="M414" s="27"/>
      <c r="O414" s="230"/>
      <c r="P414" s="230"/>
    </row>
    <row r="415" spans="1:16" s="385" customFormat="1" ht="15.75">
      <c r="A415" s="29"/>
      <c r="B415" s="29"/>
      <c r="C415" s="37"/>
      <c r="D415" s="183"/>
      <c r="E415" s="29"/>
      <c r="F415" s="37"/>
      <c r="G415" s="37"/>
      <c r="H415" s="37"/>
      <c r="I415" s="310"/>
      <c r="J415" s="37"/>
      <c r="K415" s="310"/>
      <c r="L415" s="37"/>
      <c r="M415" s="27"/>
      <c r="O415" s="230"/>
      <c r="P415" s="230"/>
    </row>
    <row r="416" spans="1:16" s="385" customFormat="1" ht="15.75">
      <c r="A416" s="29"/>
      <c r="B416" s="29"/>
      <c r="C416" s="37"/>
      <c r="D416" s="183"/>
      <c r="E416" s="29"/>
      <c r="F416" s="37"/>
      <c r="G416" s="37"/>
      <c r="H416" s="37"/>
      <c r="I416" s="310"/>
      <c r="J416" s="37"/>
      <c r="K416" s="310"/>
      <c r="L416" s="37"/>
      <c r="M416" s="27"/>
      <c r="O416" s="230"/>
      <c r="P416" s="230"/>
    </row>
    <row r="417" spans="1:16" s="385" customFormat="1" ht="15.75">
      <c r="A417" s="29"/>
      <c r="B417" s="29"/>
      <c r="C417" s="37"/>
      <c r="D417" s="183"/>
      <c r="E417" s="29"/>
      <c r="F417" s="37"/>
      <c r="G417" s="37"/>
      <c r="H417" s="37"/>
      <c r="I417" s="310"/>
      <c r="J417" s="37"/>
      <c r="K417" s="310"/>
      <c r="L417" s="37"/>
      <c r="M417" s="27"/>
      <c r="O417" s="230"/>
      <c r="P417" s="230"/>
    </row>
    <row r="418" spans="1:16" s="385" customFormat="1" ht="15.75">
      <c r="A418" s="29"/>
      <c r="B418" s="29"/>
      <c r="C418" s="37"/>
      <c r="D418" s="183"/>
      <c r="E418" s="29"/>
      <c r="F418" s="37"/>
      <c r="G418" s="37"/>
      <c r="H418" s="37"/>
      <c r="I418" s="310"/>
      <c r="J418" s="37"/>
      <c r="K418" s="310"/>
      <c r="L418" s="37"/>
      <c r="M418" s="27"/>
      <c r="O418" s="230"/>
      <c r="P418" s="230"/>
    </row>
    <row r="419" spans="1:16" s="385" customFormat="1" ht="15.75">
      <c r="A419" s="29"/>
      <c r="B419" s="29"/>
      <c r="C419" s="37"/>
      <c r="D419" s="183"/>
      <c r="E419" s="29"/>
      <c r="F419" s="37"/>
      <c r="G419" s="37"/>
      <c r="H419" s="37"/>
      <c r="I419" s="310"/>
      <c r="J419" s="37"/>
      <c r="K419" s="310"/>
      <c r="L419" s="37"/>
      <c r="M419" s="27"/>
      <c r="O419" s="230"/>
      <c r="P419" s="230"/>
    </row>
    <row r="420" spans="1:16" s="385" customFormat="1" ht="15.75">
      <c r="A420" s="29"/>
      <c r="B420" s="29"/>
      <c r="C420" s="37"/>
      <c r="D420" s="183"/>
      <c r="E420" s="29"/>
      <c r="F420" s="37"/>
      <c r="G420" s="37"/>
      <c r="H420" s="37"/>
      <c r="I420" s="310"/>
      <c r="J420" s="37"/>
      <c r="K420" s="310"/>
      <c r="L420" s="37"/>
      <c r="M420" s="27"/>
      <c r="O420" s="230"/>
      <c r="P420" s="230"/>
    </row>
    <row r="421" spans="1:16" s="385" customFormat="1" ht="15.75">
      <c r="A421" s="29"/>
      <c r="B421" s="29"/>
      <c r="C421" s="37"/>
      <c r="D421" s="183"/>
      <c r="E421" s="29"/>
      <c r="F421" s="37"/>
      <c r="G421" s="37"/>
      <c r="H421" s="37"/>
      <c r="I421" s="310"/>
      <c r="J421" s="37"/>
      <c r="K421" s="310"/>
      <c r="L421" s="37"/>
      <c r="M421" s="27"/>
      <c r="O421" s="230"/>
      <c r="P421" s="230"/>
    </row>
    <row r="422" spans="1:16" s="385" customFormat="1" ht="15.75">
      <c r="A422" s="29"/>
      <c r="B422" s="29"/>
      <c r="C422" s="37"/>
      <c r="D422" s="183"/>
      <c r="E422" s="29"/>
      <c r="F422" s="37"/>
      <c r="G422" s="37"/>
      <c r="H422" s="37"/>
      <c r="I422" s="310"/>
      <c r="J422" s="37"/>
      <c r="K422" s="310"/>
      <c r="L422" s="37"/>
      <c r="M422" s="27"/>
      <c r="O422" s="230"/>
      <c r="P422" s="230"/>
    </row>
    <row r="423" spans="1:16" s="385" customFormat="1" ht="15.75">
      <c r="A423" s="29"/>
      <c r="B423" s="29"/>
      <c r="C423" s="37"/>
      <c r="D423" s="183"/>
      <c r="E423" s="29"/>
      <c r="F423" s="37"/>
      <c r="G423" s="37"/>
      <c r="H423" s="37"/>
      <c r="I423" s="310"/>
      <c r="J423" s="37"/>
      <c r="K423" s="310"/>
      <c r="L423" s="37"/>
      <c r="M423" s="27"/>
      <c r="O423" s="230"/>
      <c r="P423" s="230"/>
    </row>
    <row r="424" spans="1:16" s="385" customFormat="1" ht="15.75">
      <c r="A424" s="29"/>
      <c r="B424" s="29"/>
      <c r="C424" s="37"/>
      <c r="D424" s="183"/>
      <c r="E424" s="29"/>
      <c r="F424" s="37"/>
      <c r="G424" s="37"/>
      <c r="H424" s="37"/>
      <c r="I424" s="310"/>
      <c r="J424" s="37"/>
      <c r="K424" s="310"/>
      <c r="L424" s="37"/>
      <c r="M424" s="27"/>
      <c r="O424" s="230"/>
      <c r="P424" s="230"/>
    </row>
    <row r="425" spans="1:16" s="385" customFormat="1" ht="15.75">
      <c r="A425" s="29"/>
      <c r="B425" s="29"/>
      <c r="C425" s="37"/>
      <c r="D425" s="183"/>
      <c r="E425" s="29"/>
      <c r="F425" s="37"/>
      <c r="G425" s="37"/>
      <c r="H425" s="37"/>
      <c r="I425" s="310"/>
      <c r="J425" s="37"/>
      <c r="K425" s="310"/>
      <c r="L425" s="37"/>
      <c r="M425" s="27"/>
      <c r="O425" s="230"/>
      <c r="P425" s="230"/>
    </row>
    <row r="426" spans="1:16" s="385" customFormat="1" ht="15.75">
      <c r="A426" s="29"/>
      <c r="B426" s="29"/>
      <c r="C426" s="37"/>
      <c r="D426" s="183"/>
      <c r="E426" s="29"/>
      <c r="F426" s="37"/>
      <c r="G426" s="37"/>
      <c r="H426" s="37"/>
      <c r="I426" s="310"/>
      <c r="J426" s="37"/>
      <c r="K426" s="310"/>
      <c r="L426" s="37"/>
      <c r="M426" s="27"/>
      <c r="O426" s="230"/>
      <c r="P426" s="230"/>
    </row>
    <row r="427" spans="1:16" s="385" customFormat="1" ht="15.75">
      <c r="A427" s="29"/>
      <c r="B427" s="29"/>
      <c r="C427" s="37"/>
      <c r="D427" s="183"/>
      <c r="E427" s="29"/>
      <c r="F427" s="37"/>
      <c r="G427" s="37"/>
      <c r="H427" s="37"/>
      <c r="I427" s="310"/>
      <c r="J427" s="37"/>
      <c r="K427" s="310"/>
      <c r="L427" s="37"/>
      <c r="M427" s="27"/>
      <c r="O427" s="230"/>
      <c r="P427" s="230"/>
    </row>
    <row r="428" spans="1:16" s="385" customFormat="1" ht="15.75">
      <c r="A428" s="29"/>
      <c r="B428" s="29"/>
      <c r="C428" s="37"/>
      <c r="D428" s="183"/>
      <c r="E428" s="29"/>
      <c r="F428" s="37"/>
      <c r="G428" s="37"/>
      <c r="H428" s="37"/>
      <c r="I428" s="310"/>
      <c r="J428" s="37"/>
      <c r="K428" s="310"/>
      <c r="L428" s="37"/>
      <c r="M428" s="27"/>
      <c r="O428" s="230"/>
      <c r="P428" s="230"/>
    </row>
    <row r="429" spans="1:16" s="385" customFormat="1" ht="15.75">
      <c r="A429" s="29"/>
      <c r="B429" s="29"/>
      <c r="C429" s="37"/>
      <c r="D429" s="183"/>
      <c r="E429" s="29"/>
      <c r="F429" s="37"/>
      <c r="G429" s="37"/>
      <c r="H429" s="37"/>
      <c r="I429" s="310"/>
      <c r="J429" s="37"/>
      <c r="K429" s="310"/>
      <c r="L429" s="37"/>
      <c r="M429" s="27"/>
      <c r="O429" s="230"/>
      <c r="P429" s="230"/>
    </row>
    <row r="430" spans="1:16" s="385" customFormat="1" ht="15.75">
      <c r="A430" s="29"/>
      <c r="B430" s="29"/>
      <c r="C430" s="37"/>
      <c r="D430" s="183"/>
      <c r="E430" s="29"/>
      <c r="F430" s="37"/>
      <c r="G430" s="37"/>
      <c r="H430" s="37"/>
      <c r="I430" s="310"/>
      <c r="J430" s="37"/>
      <c r="K430" s="310"/>
      <c r="L430" s="37"/>
      <c r="M430" s="27"/>
      <c r="O430" s="230"/>
      <c r="P430" s="230"/>
    </row>
    <row r="431" spans="1:16" s="385" customFormat="1" ht="15.75">
      <c r="A431" s="29"/>
      <c r="B431" s="29"/>
      <c r="C431" s="37"/>
      <c r="D431" s="183"/>
      <c r="E431" s="29"/>
      <c r="F431" s="37"/>
      <c r="G431" s="37"/>
      <c r="H431" s="37"/>
      <c r="I431" s="310"/>
      <c r="J431" s="37"/>
      <c r="K431" s="310"/>
      <c r="L431" s="37"/>
      <c r="M431" s="27"/>
      <c r="O431" s="230"/>
      <c r="P431" s="230"/>
    </row>
    <row r="432" spans="1:16" s="385" customFormat="1" ht="15.75">
      <c r="A432" s="29"/>
      <c r="B432" s="29"/>
      <c r="C432" s="37"/>
      <c r="D432" s="183"/>
      <c r="E432" s="29"/>
      <c r="F432" s="37"/>
      <c r="G432" s="37"/>
      <c r="H432" s="37"/>
      <c r="I432" s="310"/>
      <c r="J432" s="37"/>
      <c r="K432" s="310"/>
      <c r="L432" s="37"/>
      <c r="M432" s="27"/>
      <c r="O432" s="230"/>
      <c r="P432" s="230"/>
    </row>
    <row r="433" spans="1:16" s="385" customFormat="1" ht="15.75">
      <c r="A433" s="29"/>
      <c r="B433" s="29"/>
      <c r="C433" s="37"/>
      <c r="D433" s="183"/>
      <c r="E433" s="29"/>
      <c r="F433" s="37"/>
      <c r="G433" s="37"/>
      <c r="H433" s="37"/>
      <c r="I433" s="310"/>
      <c r="J433" s="37"/>
      <c r="K433" s="310"/>
      <c r="L433" s="37"/>
      <c r="M433" s="27"/>
      <c r="O433" s="230"/>
      <c r="P433" s="230"/>
    </row>
    <row r="434" spans="1:16" s="385" customFormat="1" ht="15.75">
      <c r="A434" s="29"/>
      <c r="B434" s="29"/>
      <c r="C434" s="37"/>
      <c r="D434" s="183"/>
      <c r="E434" s="29"/>
      <c r="F434" s="37"/>
      <c r="G434" s="37"/>
      <c r="H434" s="37"/>
      <c r="I434" s="310"/>
      <c r="J434" s="37"/>
      <c r="K434" s="310"/>
      <c r="L434" s="37"/>
      <c r="M434" s="27"/>
      <c r="O434" s="230"/>
      <c r="P434" s="230"/>
    </row>
    <row r="435" spans="1:16" s="385" customFormat="1" ht="15.75">
      <c r="A435" s="29"/>
      <c r="B435" s="29"/>
      <c r="C435" s="37"/>
      <c r="D435" s="183"/>
      <c r="E435" s="29"/>
      <c r="F435" s="37"/>
      <c r="G435" s="37"/>
      <c r="H435" s="37"/>
      <c r="I435" s="310"/>
      <c r="J435" s="37"/>
      <c r="K435" s="310"/>
      <c r="L435" s="37"/>
      <c r="M435" s="27"/>
      <c r="O435" s="230"/>
      <c r="P435" s="230"/>
    </row>
    <row r="436" spans="1:16" s="385" customFormat="1" ht="15.75">
      <c r="A436" s="29"/>
      <c r="B436" s="29"/>
      <c r="C436" s="37"/>
      <c r="D436" s="183"/>
      <c r="E436" s="29"/>
      <c r="F436" s="37"/>
      <c r="G436" s="37"/>
      <c r="H436" s="37"/>
      <c r="I436" s="310"/>
      <c r="J436" s="37"/>
      <c r="K436" s="310"/>
      <c r="L436" s="37"/>
      <c r="M436" s="27"/>
      <c r="O436" s="230"/>
      <c r="P436" s="230"/>
    </row>
    <row r="437" spans="1:16" s="385" customFormat="1" ht="15.75">
      <c r="A437" s="29"/>
      <c r="B437" s="29"/>
      <c r="C437" s="37"/>
      <c r="D437" s="183"/>
      <c r="E437" s="29"/>
      <c r="F437" s="37"/>
      <c r="G437" s="37"/>
      <c r="H437" s="37"/>
      <c r="I437" s="310"/>
      <c r="J437" s="37"/>
      <c r="K437" s="310"/>
      <c r="L437" s="37"/>
      <c r="M437" s="27"/>
      <c r="O437" s="230"/>
      <c r="P437" s="230"/>
    </row>
    <row r="438" spans="1:16" s="385" customFormat="1" ht="15.75">
      <c r="A438" s="29"/>
      <c r="B438" s="29"/>
      <c r="C438" s="37"/>
      <c r="D438" s="183"/>
      <c r="E438" s="29"/>
      <c r="F438" s="37"/>
      <c r="G438" s="37"/>
      <c r="H438" s="37"/>
      <c r="I438" s="310"/>
      <c r="J438" s="37"/>
      <c r="K438" s="310"/>
      <c r="L438" s="37"/>
      <c r="M438" s="27"/>
      <c r="O438" s="230"/>
      <c r="P438" s="230"/>
    </row>
    <row r="439" spans="1:16" s="385" customFormat="1" ht="15.75">
      <c r="A439" s="29"/>
      <c r="B439" s="29"/>
      <c r="C439" s="37"/>
      <c r="D439" s="183"/>
      <c r="E439" s="29"/>
      <c r="F439" s="37"/>
      <c r="G439" s="37"/>
      <c r="H439" s="37"/>
      <c r="I439" s="310"/>
      <c r="J439" s="37"/>
      <c r="K439" s="310"/>
      <c r="L439" s="37"/>
      <c r="M439" s="27"/>
      <c r="O439" s="230"/>
      <c r="P439" s="230"/>
    </row>
    <row r="440" spans="1:16" s="385" customFormat="1" ht="15.75">
      <c r="A440" s="29"/>
      <c r="B440" s="29"/>
      <c r="C440" s="37"/>
      <c r="D440" s="183"/>
      <c r="E440" s="29"/>
      <c r="F440" s="37"/>
      <c r="G440" s="37"/>
      <c r="H440" s="37"/>
      <c r="I440" s="310"/>
      <c r="J440" s="37"/>
      <c r="K440" s="310"/>
      <c r="L440" s="37"/>
      <c r="M440" s="27"/>
      <c r="O440" s="230"/>
      <c r="P440" s="230"/>
    </row>
    <row r="441" spans="1:16" s="385" customFormat="1" ht="15.75">
      <c r="A441" s="29"/>
      <c r="B441" s="29"/>
      <c r="C441" s="37"/>
      <c r="D441" s="183"/>
      <c r="E441" s="29"/>
      <c r="F441" s="37"/>
      <c r="G441" s="37"/>
      <c r="H441" s="37"/>
      <c r="I441" s="310"/>
      <c r="J441" s="37"/>
      <c r="K441" s="310"/>
      <c r="L441" s="37"/>
      <c r="M441" s="27"/>
      <c r="O441" s="230"/>
      <c r="P441" s="230"/>
    </row>
    <row r="442" spans="1:16" s="385" customFormat="1" ht="15.75">
      <c r="A442" s="29"/>
      <c r="B442" s="29"/>
      <c r="C442" s="37"/>
      <c r="D442" s="183"/>
      <c r="E442" s="29"/>
      <c r="F442" s="37"/>
      <c r="G442" s="37"/>
      <c r="H442" s="37"/>
      <c r="I442" s="310"/>
      <c r="J442" s="37"/>
      <c r="K442" s="310"/>
      <c r="L442" s="37"/>
      <c r="M442" s="27"/>
      <c r="O442" s="230"/>
      <c r="P442" s="230"/>
    </row>
    <row r="443" spans="1:16" s="385" customFormat="1" ht="15.75">
      <c r="A443" s="29"/>
      <c r="B443" s="29"/>
      <c r="C443" s="37"/>
      <c r="D443" s="183"/>
      <c r="E443" s="29"/>
      <c r="F443" s="37"/>
      <c r="G443" s="37"/>
      <c r="H443" s="37"/>
      <c r="I443" s="310"/>
      <c r="J443" s="37"/>
      <c r="K443" s="310"/>
      <c r="L443" s="37"/>
      <c r="M443" s="27"/>
      <c r="O443" s="230"/>
      <c r="P443" s="230"/>
    </row>
    <row r="444" spans="1:16" s="385" customFormat="1" ht="15.75">
      <c r="A444" s="29"/>
      <c r="B444" s="29"/>
      <c r="C444" s="37"/>
      <c r="D444" s="183"/>
      <c r="E444" s="29"/>
      <c r="F444" s="37"/>
      <c r="G444" s="37"/>
      <c r="H444" s="37"/>
      <c r="I444" s="310"/>
      <c r="J444" s="37"/>
      <c r="K444" s="310"/>
      <c r="L444" s="37"/>
      <c r="M444" s="27"/>
      <c r="O444" s="230"/>
      <c r="P444" s="230"/>
    </row>
    <row r="445" spans="1:16" s="385" customFormat="1" ht="15.75">
      <c r="A445" s="29"/>
      <c r="B445" s="29"/>
      <c r="C445" s="37"/>
      <c r="D445" s="183"/>
      <c r="E445" s="29"/>
      <c r="F445" s="37"/>
      <c r="G445" s="37"/>
      <c r="H445" s="37"/>
      <c r="I445" s="310"/>
      <c r="J445" s="37"/>
      <c r="K445" s="310"/>
      <c r="L445" s="37"/>
      <c r="M445" s="27"/>
      <c r="O445" s="230"/>
      <c r="P445" s="230"/>
    </row>
    <row r="446" spans="1:16" s="385" customFormat="1" ht="15.75">
      <c r="A446" s="29"/>
      <c r="B446" s="29"/>
      <c r="C446" s="37"/>
      <c r="D446" s="183"/>
      <c r="E446" s="29"/>
      <c r="F446" s="37"/>
      <c r="G446" s="37"/>
      <c r="H446" s="37"/>
      <c r="I446" s="310"/>
      <c r="J446" s="37"/>
      <c r="K446" s="310"/>
      <c r="L446" s="37"/>
      <c r="M446" s="27"/>
      <c r="O446" s="230"/>
      <c r="P446" s="230"/>
    </row>
    <row r="447" spans="1:16" s="385" customFormat="1" ht="15.75">
      <c r="A447" s="29"/>
      <c r="B447" s="29"/>
      <c r="C447" s="37"/>
      <c r="D447" s="183"/>
      <c r="E447" s="29"/>
      <c r="F447" s="37"/>
      <c r="G447" s="37"/>
      <c r="H447" s="37"/>
      <c r="I447" s="310"/>
      <c r="J447" s="37"/>
      <c r="K447" s="310"/>
      <c r="L447" s="37"/>
      <c r="M447" s="27"/>
      <c r="O447" s="230"/>
      <c r="P447" s="230"/>
    </row>
    <row r="448" spans="1:16" s="385" customFormat="1" ht="15.75">
      <c r="A448" s="29"/>
      <c r="B448" s="29"/>
      <c r="C448" s="37"/>
      <c r="D448" s="183"/>
      <c r="E448" s="29"/>
      <c r="F448" s="37"/>
      <c r="G448" s="37"/>
      <c r="H448" s="37"/>
      <c r="I448" s="310"/>
      <c r="J448" s="37"/>
      <c r="K448" s="310"/>
      <c r="L448" s="37"/>
      <c r="M448" s="27"/>
      <c r="O448" s="230"/>
      <c r="P448" s="230"/>
    </row>
    <row r="449" spans="1:16" s="385" customFormat="1" ht="15.75">
      <c r="A449" s="29"/>
      <c r="B449" s="29"/>
      <c r="C449" s="37"/>
      <c r="D449" s="183"/>
      <c r="E449" s="29"/>
      <c r="F449" s="37"/>
      <c r="G449" s="37"/>
      <c r="H449" s="37"/>
      <c r="I449" s="310"/>
      <c r="J449" s="37"/>
      <c r="K449" s="310"/>
      <c r="L449" s="37"/>
      <c r="M449" s="27"/>
      <c r="O449" s="230"/>
      <c r="P449" s="230"/>
    </row>
    <row r="450" spans="1:16" s="385" customFormat="1" ht="15.75">
      <c r="A450" s="29"/>
      <c r="B450" s="29"/>
      <c r="C450" s="37"/>
      <c r="D450" s="183"/>
      <c r="E450" s="29"/>
      <c r="F450" s="37"/>
      <c r="G450" s="37"/>
      <c r="H450" s="37"/>
      <c r="I450" s="310"/>
      <c r="J450" s="37"/>
      <c r="K450" s="310"/>
      <c r="L450" s="37"/>
      <c r="M450" s="27"/>
      <c r="O450" s="230"/>
      <c r="P450" s="230"/>
    </row>
    <row r="451" spans="1:16" s="385" customFormat="1" ht="15.75">
      <c r="A451" s="29"/>
      <c r="B451" s="29"/>
      <c r="C451" s="37"/>
      <c r="D451" s="183"/>
      <c r="E451" s="29"/>
      <c r="F451" s="37"/>
      <c r="G451" s="37"/>
      <c r="H451" s="37"/>
      <c r="I451" s="310"/>
      <c r="J451" s="37"/>
      <c r="K451" s="310"/>
      <c r="L451" s="37"/>
      <c r="M451" s="27"/>
      <c r="O451" s="230"/>
      <c r="P451" s="230"/>
    </row>
    <row r="452" spans="1:16" s="385" customFormat="1" ht="15.75">
      <c r="A452" s="29"/>
      <c r="B452" s="29"/>
      <c r="C452" s="37"/>
      <c r="D452" s="183"/>
      <c r="E452" s="29"/>
      <c r="F452" s="37"/>
      <c r="G452" s="37"/>
      <c r="H452" s="37"/>
      <c r="I452" s="310"/>
      <c r="J452" s="37"/>
      <c r="K452" s="310"/>
      <c r="L452" s="37"/>
      <c r="M452" s="27"/>
      <c r="O452" s="230"/>
      <c r="P452" s="230"/>
    </row>
    <row r="453" spans="1:16" s="385" customFormat="1" ht="15.75">
      <c r="A453" s="29"/>
      <c r="B453" s="29"/>
      <c r="C453" s="37"/>
      <c r="D453" s="183"/>
      <c r="E453" s="29"/>
      <c r="F453" s="37"/>
      <c r="G453" s="37"/>
      <c r="H453" s="37"/>
      <c r="I453" s="310"/>
      <c r="J453" s="37"/>
      <c r="K453" s="310"/>
      <c r="L453" s="37"/>
      <c r="M453" s="27"/>
      <c r="O453" s="230"/>
      <c r="P453" s="230"/>
    </row>
    <row r="454" spans="1:16" s="385" customFormat="1" ht="15.75">
      <c r="A454" s="29"/>
      <c r="B454" s="29"/>
      <c r="C454" s="37"/>
      <c r="D454" s="183"/>
      <c r="E454" s="29"/>
      <c r="F454" s="37"/>
      <c r="G454" s="37"/>
      <c r="H454" s="37"/>
      <c r="I454" s="310"/>
      <c r="J454" s="37"/>
      <c r="K454" s="310"/>
      <c r="L454" s="37"/>
      <c r="M454" s="27"/>
      <c r="O454" s="230"/>
      <c r="P454" s="230"/>
    </row>
    <row r="455" spans="1:16" s="385" customFormat="1" ht="15.75">
      <c r="A455" s="29"/>
      <c r="B455" s="29"/>
      <c r="C455" s="37"/>
      <c r="D455" s="183"/>
      <c r="E455" s="29"/>
      <c r="F455" s="37"/>
      <c r="G455" s="37"/>
      <c r="H455" s="37"/>
      <c r="I455" s="310"/>
      <c r="J455" s="37"/>
      <c r="K455" s="310"/>
      <c r="L455" s="37"/>
      <c r="M455" s="27"/>
      <c r="O455" s="230"/>
      <c r="P455" s="230"/>
    </row>
    <row r="456" spans="1:16" s="385" customFormat="1" ht="15.75">
      <c r="A456" s="29"/>
      <c r="B456" s="29"/>
      <c r="C456" s="37"/>
      <c r="D456" s="183"/>
      <c r="E456" s="29"/>
      <c r="F456" s="37"/>
      <c r="G456" s="37"/>
      <c r="H456" s="37"/>
      <c r="I456" s="310"/>
      <c r="J456" s="37"/>
      <c r="K456" s="310"/>
      <c r="L456" s="37"/>
      <c r="M456" s="27"/>
      <c r="O456" s="230"/>
      <c r="P456" s="230"/>
    </row>
    <row r="457" spans="1:16" s="385" customFormat="1" ht="15.75">
      <c r="A457" s="29"/>
      <c r="B457" s="29"/>
      <c r="C457" s="37"/>
      <c r="D457" s="183"/>
      <c r="E457" s="29"/>
      <c r="F457" s="37"/>
      <c r="G457" s="37"/>
      <c r="H457" s="37"/>
      <c r="I457" s="310"/>
      <c r="J457" s="37"/>
      <c r="K457" s="310"/>
      <c r="L457" s="37"/>
      <c r="M457" s="27"/>
      <c r="O457" s="230"/>
      <c r="P457" s="230"/>
    </row>
    <row r="458" spans="1:16" s="385" customFormat="1" ht="15.75">
      <c r="A458" s="29"/>
      <c r="B458" s="29"/>
      <c r="C458" s="37"/>
      <c r="D458" s="183"/>
      <c r="E458" s="29"/>
      <c r="F458" s="37"/>
      <c r="G458" s="37"/>
      <c r="H458" s="37"/>
      <c r="I458" s="310"/>
      <c r="J458" s="37"/>
      <c r="K458" s="310"/>
      <c r="L458" s="37"/>
      <c r="M458" s="27"/>
      <c r="O458" s="230"/>
      <c r="P458" s="230"/>
    </row>
    <row r="459" spans="1:16" s="385" customFormat="1" ht="15.75">
      <c r="A459" s="29"/>
      <c r="B459" s="29"/>
      <c r="C459" s="37"/>
      <c r="D459" s="183"/>
      <c r="E459" s="29"/>
      <c r="F459" s="37"/>
      <c r="G459" s="37"/>
      <c r="H459" s="37"/>
      <c r="I459" s="310"/>
      <c r="J459" s="37"/>
      <c r="K459" s="310"/>
      <c r="L459" s="37"/>
      <c r="M459" s="27"/>
      <c r="O459" s="230"/>
      <c r="P459" s="230"/>
    </row>
    <row r="460" spans="1:16" s="385" customFormat="1" ht="15.75">
      <c r="A460" s="29"/>
      <c r="B460" s="29"/>
      <c r="C460" s="37"/>
      <c r="D460" s="183"/>
      <c r="E460" s="29"/>
      <c r="F460" s="37"/>
      <c r="G460" s="37"/>
      <c r="H460" s="37"/>
      <c r="I460" s="310"/>
      <c r="J460" s="37"/>
      <c r="K460" s="310"/>
      <c r="L460" s="37"/>
      <c r="M460" s="27"/>
      <c r="O460" s="230"/>
      <c r="P460" s="230"/>
    </row>
    <row r="461" spans="1:16" s="385" customFormat="1" ht="15.75">
      <c r="A461" s="29"/>
      <c r="B461" s="29"/>
      <c r="C461" s="37"/>
      <c r="D461" s="183"/>
      <c r="E461" s="29"/>
      <c r="F461" s="37"/>
      <c r="G461" s="37"/>
      <c r="H461" s="37"/>
      <c r="I461" s="310"/>
      <c r="J461" s="37"/>
      <c r="K461" s="310"/>
      <c r="L461" s="37"/>
      <c r="M461" s="27"/>
      <c r="O461" s="230"/>
      <c r="P461" s="230"/>
    </row>
    <row r="462" spans="1:16" s="385" customFormat="1" ht="15.75">
      <c r="A462" s="29"/>
      <c r="B462" s="29"/>
      <c r="C462" s="37"/>
      <c r="D462" s="183"/>
      <c r="E462" s="29"/>
      <c r="F462" s="37"/>
      <c r="G462" s="37"/>
      <c r="H462" s="37"/>
      <c r="I462" s="310"/>
      <c r="J462" s="37"/>
      <c r="K462" s="310"/>
      <c r="L462" s="37"/>
      <c r="M462" s="27"/>
      <c r="O462" s="230"/>
      <c r="P462" s="230"/>
    </row>
    <row r="463" spans="1:16" s="385" customFormat="1" ht="15.75">
      <c r="A463" s="29"/>
      <c r="B463" s="29"/>
      <c r="C463" s="37"/>
      <c r="D463" s="183"/>
      <c r="E463" s="29"/>
      <c r="F463" s="37"/>
      <c r="G463" s="37"/>
      <c r="H463" s="37"/>
      <c r="I463" s="310"/>
      <c r="J463" s="37"/>
      <c r="K463" s="310"/>
      <c r="L463" s="37"/>
      <c r="M463" s="27"/>
      <c r="O463" s="230"/>
      <c r="P463" s="230"/>
    </row>
    <row r="464" spans="1:16" s="385" customFormat="1" ht="15.75">
      <c r="A464" s="29"/>
      <c r="B464" s="29"/>
      <c r="C464" s="37"/>
      <c r="D464" s="183"/>
      <c r="E464" s="29"/>
      <c r="F464" s="37"/>
      <c r="G464" s="37"/>
      <c r="H464" s="37"/>
      <c r="I464" s="310"/>
      <c r="J464" s="37"/>
      <c r="K464" s="310"/>
      <c r="L464" s="37"/>
      <c r="M464" s="27"/>
      <c r="O464" s="230"/>
      <c r="P464" s="230"/>
    </row>
    <row r="465" spans="1:16" s="385" customFormat="1" ht="15.75">
      <c r="A465" s="29"/>
      <c r="B465" s="29"/>
      <c r="C465" s="37"/>
      <c r="D465" s="183"/>
      <c r="E465" s="29"/>
      <c r="F465" s="37"/>
      <c r="G465" s="37"/>
      <c r="H465" s="37"/>
      <c r="I465" s="310"/>
      <c r="J465" s="37"/>
      <c r="K465" s="310"/>
      <c r="L465" s="37"/>
      <c r="M465" s="27"/>
      <c r="O465" s="230"/>
      <c r="P465" s="230"/>
    </row>
    <row r="466" spans="1:16" s="385" customFormat="1" ht="15.75">
      <c r="A466" s="29"/>
      <c r="B466" s="29"/>
      <c r="C466" s="37"/>
      <c r="D466" s="183"/>
      <c r="E466" s="29"/>
      <c r="F466" s="37"/>
      <c r="G466" s="37"/>
      <c r="H466" s="37"/>
      <c r="I466" s="310"/>
      <c r="J466" s="37"/>
      <c r="K466" s="310"/>
      <c r="L466" s="37"/>
      <c r="M466" s="27"/>
      <c r="O466" s="230"/>
      <c r="P466" s="230"/>
    </row>
    <row r="467" spans="1:16" s="385" customFormat="1" ht="15.75">
      <c r="A467" s="29"/>
      <c r="B467" s="29"/>
      <c r="C467" s="37"/>
      <c r="D467" s="183"/>
      <c r="E467" s="29"/>
      <c r="F467" s="37"/>
      <c r="G467" s="37"/>
      <c r="H467" s="37"/>
      <c r="I467" s="310"/>
      <c r="J467" s="37"/>
      <c r="K467" s="310"/>
      <c r="L467" s="37"/>
      <c r="M467" s="27"/>
      <c r="O467" s="230"/>
      <c r="P467" s="230"/>
    </row>
    <row r="468" spans="1:16" s="385" customFormat="1" ht="15.75">
      <c r="A468" s="29"/>
      <c r="B468" s="29"/>
      <c r="C468" s="37"/>
      <c r="D468" s="183"/>
      <c r="E468" s="29"/>
      <c r="F468" s="37"/>
      <c r="G468" s="37"/>
      <c r="H468" s="37"/>
      <c r="I468" s="310"/>
      <c r="J468" s="37"/>
      <c r="K468" s="310"/>
      <c r="L468" s="37"/>
      <c r="M468" s="27"/>
      <c r="O468" s="230"/>
      <c r="P468" s="230"/>
    </row>
    <row r="469" spans="1:16" s="385" customFormat="1" ht="15.75">
      <c r="A469" s="29"/>
      <c r="B469" s="29"/>
      <c r="C469" s="37"/>
      <c r="D469" s="183"/>
      <c r="E469" s="29"/>
      <c r="F469" s="37"/>
      <c r="G469" s="37"/>
      <c r="H469" s="37"/>
      <c r="I469" s="310"/>
      <c r="J469" s="37"/>
      <c r="K469" s="310"/>
      <c r="L469" s="37"/>
      <c r="M469" s="27"/>
      <c r="O469" s="230"/>
      <c r="P469" s="230"/>
    </row>
    <row r="470" spans="1:16" s="385" customFormat="1" ht="15.75">
      <c r="A470" s="29"/>
      <c r="B470" s="29"/>
      <c r="C470" s="37"/>
      <c r="D470" s="183"/>
      <c r="E470" s="29"/>
      <c r="F470" s="37"/>
      <c r="G470" s="37"/>
      <c r="H470" s="37"/>
      <c r="I470" s="310"/>
      <c r="J470" s="37"/>
      <c r="K470" s="310"/>
      <c r="L470" s="37"/>
      <c r="M470" s="27"/>
      <c r="O470" s="230"/>
      <c r="P470" s="230"/>
    </row>
    <row r="471" spans="1:16" s="385" customFormat="1" ht="15.75">
      <c r="A471" s="29"/>
      <c r="B471" s="29"/>
      <c r="C471" s="37"/>
      <c r="D471" s="183"/>
      <c r="E471" s="29"/>
      <c r="F471" s="37"/>
      <c r="G471" s="37"/>
      <c r="H471" s="37"/>
      <c r="I471" s="310"/>
      <c r="J471" s="37"/>
      <c r="K471" s="310"/>
      <c r="L471" s="37"/>
      <c r="M471" s="27"/>
      <c r="O471" s="230"/>
      <c r="P471" s="230"/>
    </row>
    <row r="472" spans="1:16" s="385" customFormat="1" ht="15.75">
      <c r="A472" s="29"/>
      <c r="B472" s="29"/>
      <c r="C472" s="37"/>
      <c r="D472" s="183"/>
      <c r="E472" s="29"/>
      <c r="F472" s="37"/>
      <c r="G472" s="37"/>
      <c r="H472" s="37"/>
      <c r="I472" s="310"/>
      <c r="J472" s="37"/>
      <c r="K472" s="310"/>
      <c r="L472" s="37"/>
      <c r="M472" s="27"/>
      <c r="O472" s="230"/>
      <c r="P472" s="230"/>
    </row>
    <row r="473" spans="1:16" s="385" customFormat="1" ht="15.75">
      <c r="A473" s="29"/>
      <c r="B473" s="29"/>
      <c r="C473" s="37"/>
      <c r="D473" s="183"/>
      <c r="E473" s="29"/>
      <c r="F473" s="37"/>
      <c r="G473" s="37"/>
      <c r="H473" s="37"/>
      <c r="I473" s="310"/>
      <c r="J473" s="37"/>
      <c r="K473" s="310"/>
      <c r="L473" s="37"/>
      <c r="M473" s="27"/>
      <c r="O473" s="230"/>
      <c r="P473" s="230"/>
    </row>
    <row r="474" spans="1:16" s="385" customFormat="1" ht="15.75">
      <c r="A474" s="29"/>
      <c r="B474" s="29"/>
      <c r="C474" s="37"/>
      <c r="D474" s="183"/>
      <c r="E474" s="29"/>
      <c r="F474" s="37"/>
      <c r="G474" s="37"/>
      <c r="H474" s="37"/>
      <c r="I474" s="310"/>
      <c r="J474" s="37"/>
      <c r="K474" s="310"/>
      <c r="L474" s="37"/>
      <c r="M474" s="27"/>
      <c r="O474" s="230"/>
      <c r="P474" s="230"/>
    </row>
    <row r="475" spans="1:16" s="385" customFormat="1" ht="15.75">
      <c r="A475" s="29"/>
      <c r="B475" s="29"/>
      <c r="C475" s="37"/>
      <c r="D475" s="183"/>
      <c r="E475" s="29"/>
      <c r="F475" s="37"/>
      <c r="G475" s="37"/>
      <c r="H475" s="37"/>
      <c r="I475" s="310"/>
      <c r="J475" s="37"/>
      <c r="K475" s="310"/>
      <c r="L475" s="37"/>
      <c r="M475" s="27"/>
      <c r="O475" s="230"/>
      <c r="P475" s="230"/>
    </row>
    <row r="476" spans="1:16" s="385" customFormat="1" ht="15.75">
      <c r="A476" s="29"/>
      <c r="B476" s="29"/>
      <c r="C476" s="37"/>
      <c r="D476" s="183"/>
      <c r="E476" s="29"/>
      <c r="F476" s="37"/>
      <c r="G476" s="37"/>
      <c r="H476" s="37"/>
      <c r="I476" s="310"/>
      <c r="J476" s="37"/>
      <c r="K476" s="310"/>
      <c r="L476" s="37"/>
      <c r="M476" s="27"/>
      <c r="O476" s="230"/>
      <c r="P476" s="230"/>
    </row>
    <row r="477" spans="1:16" s="385" customFormat="1" ht="15.75">
      <c r="A477" s="29"/>
      <c r="B477" s="29"/>
      <c r="C477" s="37"/>
      <c r="D477" s="183"/>
      <c r="E477" s="29"/>
      <c r="F477" s="37"/>
      <c r="G477" s="37"/>
      <c r="H477" s="37"/>
      <c r="I477" s="310"/>
      <c r="J477" s="37"/>
      <c r="K477" s="310"/>
      <c r="L477" s="37"/>
      <c r="M477" s="27"/>
      <c r="O477" s="230"/>
      <c r="P477" s="230"/>
    </row>
    <row r="478" spans="1:16" s="385" customFormat="1" ht="15.75">
      <c r="A478" s="29"/>
      <c r="B478" s="29"/>
      <c r="C478" s="37"/>
      <c r="D478" s="183"/>
      <c r="E478" s="29"/>
      <c r="F478" s="37"/>
      <c r="G478" s="37"/>
      <c r="H478" s="37"/>
      <c r="I478" s="310"/>
      <c r="J478" s="37"/>
      <c r="K478" s="310"/>
      <c r="L478" s="37"/>
      <c r="M478" s="27"/>
      <c r="O478" s="230"/>
      <c r="P478" s="230"/>
    </row>
    <row r="479" spans="1:16" s="385" customFormat="1" ht="15.75">
      <c r="A479" s="29"/>
      <c r="B479" s="29"/>
      <c r="C479" s="37"/>
      <c r="D479" s="183"/>
      <c r="E479" s="29"/>
      <c r="F479" s="37"/>
      <c r="G479" s="37"/>
      <c r="H479" s="37"/>
      <c r="I479" s="310"/>
      <c r="J479" s="37"/>
      <c r="K479" s="310"/>
      <c r="L479" s="37"/>
      <c r="M479" s="27"/>
      <c r="O479" s="230"/>
      <c r="P479" s="230"/>
    </row>
    <row r="480" spans="1:16" s="385" customFormat="1" ht="15.75">
      <c r="A480" s="29"/>
      <c r="B480" s="29"/>
      <c r="C480" s="37"/>
      <c r="D480" s="183"/>
      <c r="E480" s="29"/>
      <c r="F480" s="37"/>
      <c r="G480" s="37"/>
      <c r="H480" s="37"/>
      <c r="I480" s="310"/>
      <c r="J480" s="37"/>
      <c r="K480" s="310"/>
      <c r="L480" s="37"/>
      <c r="M480" s="27"/>
      <c r="O480" s="230"/>
      <c r="P480" s="230"/>
    </row>
    <row r="481" spans="1:16" s="385" customFormat="1" ht="15.75">
      <c r="A481" s="29"/>
      <c r="B481" s="29"/>
      <c r="C481" s="37"/>
      <c r="D481" s="183"/>
      <c r="E481" s="29"/>
      <c r="F481" s="37"/>
      <c r="G481" s="37"/>
      <c r="H481" s="37"/>
      <c r="I481" s="310"/>
      <c r="J481" s="37"/>
      <c r="K481" s="310"/>
      <c r="L481" s="37"/>
      <c r="M481" s="27"/>
      <c r="O481" s="230"/>
      <c r="P481" s="230"/>
    </row>
    <row r="482" spans="1:16" s="385" customFormat="1" ht="15.75">
      <c r="A482" s="29"/>
      <c r="B482" s="29"/>
      <c r="C482" s="37"/>
      <c r="D482" s="183"/>
      <c r="E482" s="29"/>
      <c r="F482" s="37"/>
      <c r="G482" s="37"/>
      <c r="H482" s="37"/>
      <c r="I482" s="310"/>
      <c r="J482" s="37"/>
      <c r="K482" s="310"/>
      <c r="L482" s="37"/>
      <c r="M482" s="27"/>
      <c r="O482" s="230"/>
      <c r="P482" s="230"/>
    </row>
    <row r="483" spans="1:16" s="385" customFormat="1" ht="15.75">
      <c r="A483" s="29"/>
      <c r="B483" s="29"/>
      <c r="C483" s="37"/>
      <c r="D483" s="183"/>
      <c r="E483" s="29"/>
      <c r="F483" s="37"/>
      <c r="G483" s="37"/>
      <c r="H483" s="37"/>
      <c r="I483" s="310"/>
      <c r="J483" s="37"/>
      <c r="K483" s="310"/>
      <c r="L483" s="37"/>
      <c r="M483" s="27"/>
      <c r="O483" s="230"/>
      <c r="P483" s="230"/>
    </row>
    <row r="484" spans="1:16" s="385" customFormat="1" ht="15.75">
      <c r="A484" s="29"/>
      <c r="B484" s="29"/>
      <c r="C484" s="37"/>
      <c r="D484" s="183"/>
      <c r="E484" s="29"/>
      <c r="F484" s="37"/>
      <c r="G484" s="37"/>
      <c r="H484" s="37"/>
      <c r="I484" s="310"/>
      <c r="J484" s="37"/>
      <c r="K484" s="310"/>
      <c r="L484" s="37"/>
      <c r="M484" s="27"/>
      <c r="O484" s="230"/>
      <c r="P484" s="230"/>
    </row>
    <row r="485" spans="1:16" s="385" customFormat="1" ht="15.75">
      <c r="A485" s="29"/>
      <c r="B485" s="29"/>
      <c r="C485" s="37"/>
      <c r="D485" s="183"/>
      <c r="E485" s="29"/>
      <c r="F485" s="37"/>
      <c r="G485" s="37"/>
      <c r="H485" s="37"/>
      <c r="I485" s="310"/>
      <c r="J485" s="37"/>
      <c r="K485" s="310"/>
      <c r="L485" s="37"/>
      <c r="M485" s="27"/>
      <c r="O485" s="230"/>
      <c r="P485" s="230"/>
    </row>
    <row r="486" spans="1:16" s="385" customFormat="1" ht="15.75">
      <c r="A486" s="29"/>
      <c r="B486" s="29"/>
      <c r="C486" s="37"/>
      <c r="D486" s="183"/>
      <c r="E486" s="29"/>
      <c r="F486" s="37"/>
      <c r="G486" s="37"/>
      <c r="H486" s="37"/>
      <c r="I486" s="310"/>
      <c r="J486" s="37"/>
      <c r="K486" s="310"/>
      <c r="L486" s="37"/>
      <c r="M486" s="27"/>
      <c r="O486" s="230"/>
      <c r="P486" s="230"/>
    </row>
    <row r="487" spans="1:16" s="385" customFormat="1" ht="15.75">
      <c r="A487" s="29"/>
      <c r="B487" s="29"/>
      <c r="C487" s="37"/>
      <c r="D487" s="183"/>
      <c r="E487" s="29"/>
      <c r="F487" s="37"/>
      <c r="G487" s="37"/>
      <c r="H487" s="37"/>
      <c r="I487" s="310"/>
      <c r="J487" s="37"/>
      <c r="K487" s="310"/>
      <c r="L487" s="37"/>
      <c r="M487" s="27"/>
      <c r="O487" s="230"/>
      <c r="P487" s="230"/>
    </row>
    <row r="488" spans="1:16" s="385" customFormat="1" ht="15.75">
      <c r="A488" s="29"/>
      <c r="B488" s="29"/>
      <c r="C488" s="37"/>
      <c r="D488" s="183"/>
      <c r="E488" s="29"/>
      <c r="F488" s="37"/>
      <c r="G488" s="37"/>
      <c r="H488" s="37"/>
      <c r="I488" s="310"/>
      <c r="J488" s="37"/>
      <c r="K488" s="310"/>
      <c r="L488" s="37"/>
      <c r="M488" s="27"/>
      <c r="O488" s="230"/>
      <c r="P488" s="230"/>
    </row>
    <row r="489" spans="1:16" s="385" customFormat="1" ht="15.75">
      <c r="A489" s="29"/>
      <c r="B489" s="29"/>
      <c r="C489" s="37"/>
      <c r="D489" s="183"/>
      <c r="E489" s="29"/>
      <c r="F489" s="37"/>
      <c r="G489" s="37"/>
      <c r="H489" s="37"/>
      <c r="I489" s="310"/>
      <c r="J489" s="37"/>
      <c r="K489" s="310"/>
      <c r="L489" s="37"/>
      <c r="M489" s="27"/>
      <c r="O489" s="230"/>
      <c r="P489" s="230"/>
    </row>
    <row r="490" spans="1:16" s="385" customFormat="1" ht="15.75">
      <c r="A490" s="29"/>
      <c r="B490" s="29"/>
      <c r="C490" s="37"/>
      <c r="D490" s="183"/>
      <c r="E490" s="29"/>
      <c r="F490" s="37"/>
      <c r="G490" s="37"/>
      <c r="H490" s="37"/>
      <c r="I490" s="310"/>
      <c r="J490" s="37"/>
      <c r="K490" s="310"/>
      <c r="L490" s="37"/>
      <c r="M490" s="27"/>
      <c r="O490" s="230"/>
      <c r="P490" s="230"/>
    </row>
    <row r="491" spans="1:16" s="385" customFormat="1" ht="15.75">
      <c r="A491" s="29"/>
      <c r="B491" s="29"/>
      <c r="C491" s="37"/>
      <c r="D491" s="183"/>
      <c r="E491" s="29"/>
      <c r="F491" s="37"/>
      <c r="G491" s="37"/>
      <c r="H491" s="37"/>
      <c r="I491" s="310"/>
      <c r="J491" s="37"/>
      <c r="K491" s="310"/>
      <c r="L491" s="37"/>
      <c r="M491" s="27"/>
      <c r="O491" s="230"/>
      <c r="P491" s="230"/>
    </row>
    <row r="492" spans="1:16" s="385" customFormat="1" ht="15.75">
      <c r="A492" s="29"/>
      <c r="B492" s="29"/>
      <c r="C492" s="37"/>
      <c r="D492" s="183"/>
      <c r="E492" s="29"/>
      <c r="F492" s="37"/>
      <c r="G492" s="37"/>
      <c r="H492" s="37"/>
      <c r="I492" s="310"/>
      <c r="J492" s="37"/>
      <c r="K492" s="310"/>
      <c r="L492" s="37"/>
      <c r="M492" s="27"/>
      <c r="O492" s="230"/>
      <c r="P492" s="230"/>
    </row>
    <row r="493" spans="1:16" s="385" customFormat="1" ht="15.75">
      <c r="A493" s="29"/>
      <c r="B493" s="29"/>
      <c r="C493" s="37"/>
      <c r="D493" s="183"/>
      <c r="E493" s="29"/>
      <c r="F493" s="37"/>
      <c r="G493" s="37"/>
      <c r="H493" s="37"/>
      <c r="I493" s="310"/>
      <c r="J493" s="37"/>
      <c r="K493" s="310"/>
      <c r="L493" s="37"/>
      <c r="M493" s="27"/>
      <c r="O493" s="230"/>
      <c r="P493" s="230"/>
    </row>
    <row r="494" spans="1:16" s="385" customFormat="1" ht="15.75">
      <c r="A494" s="29"/>
      <c r="B494" s="29"/>
      <c r="C494" s="37"/>
      <c r="D494" s="183"/>
      <c r="E494" s="29"/>
      <c r="F494" s="37"/>
      <c r="G494" s="37"/>
      <c r="H494" s="37"/>
      <c r="I494" s="310"/>
      <c r="J494" s="37"/>
      <c r="K494" s="310"/>
      <c r="L494" s="37"/>
      <c r="M494" s="27"/>
      <c r="O494" s="230"/>
      <c r="P494" s="230"/>
    </row>
    <row r="495" spans="1:16" s="385" customFormat="1" ht="15.75">
      <c r="A495" s="29"/>
      <c r="B495" s="29"/>
      <c r="C495" s="37"/>
      <c r="D495" s="183"/>
      <c r="E495" s="29"/>
      <c r="F495" s="37"/>
      <c r="G495" s="37"/>
      <c r="H495" s="37"/>
      <c r="I495" s="310"/>
      <c r="J495" s="37"/>
      <c r="K495" s="310"/>
      <c r="L495" s="37"/>
      <c r="M495" s="27"/>
      <c r="O495" s="230"/>
      <c r="P495" s="230"/>
    </row>
    <row r="496" spans="1:16" s="385" customFormat="1" ht="15.75">
      <c r="A496" s="29"/>
      <c r="B496" s="29"/>
      <c r="C496" s="37"/>
      <c r="D496" s="183"/>
      <c r="E496" s="29"/>
      <c r="F496" s="37"/>
      <c r="G496" s="37"/>
      <c r="H496" s="37"/>
      <c r="I496" s="310"/>
      <c r="J496" s="37"/>
      <c r="K496" s="310"/>
      <c r="L496" s="37"/>
      <c r="M496" s="27"/>
      <c r="O496" s="230"/>
      <c r="P496" s="230"/>
    </row>
    <row r="497" spans="1:16" s="385" customFormat="1" ht="15.75">
      <c r="A497" s="29"/>
      <c r="B497" s="29"/>
      <c r="C497" s="37"/>
      <c r="D497" s="183"/>
      <c r="E497" s="29"/>
      <c r="F497" s="37"/>
      <c r="G497" s="37"/>
      <c r="H497" s="37"/>
      <c r="I497" s="310"/>
      <c r="J497" s="37"/>
      <c r="K497" s="310"/>
      <c r="L497" s="37"/>
      <c r="M497" s="27"/>
      <c r="O497" s="230"/>
      <c r="P497" s="230"/>
    </row>
    <row r="498" spans="1:16" s="385" customFormat="1" ht="15.75">
      <c r="A498" s="29"/>
      <c r="B498" s="29"/>
      <c r="C498" s="37"/>
      <c r="D498" s="183"/>
      <c r="E498" s="29"/>
      <c r="F498" s="37"/>
      <c r="G498" s="37"/>
      <c r="H498" s="37"/>
      <c r="I498" s="310"/>
      <c r="J498" s="37"/>
      <c r="K498" s="310"/>
      <c r="L498" s="37"/>
      <c r="M498" s="27"/>
      <c r="O498" s="230"/>
      <c r="P498" s="230"/>
    </row>
    <row r="499" spans="1:16" s="385" customFormat="1" ht="15.75">
      <c r="A499" s="29"/>
      <c r="B499" s="29"/>
      <c r="C499" s="37"/>
      <c r="D499" s="183"/>
      <c r="E499" s="29"/>
      <c r="F499" s="37"/>
      <c r="G499" s="37"/>
      <c r="H499" s="37"/>
      <c r="I499" s="310"/>
      <c r="J499" s="37"/>
      <c r="K499" s="310"/>
      <c r="L499" s="37"/>
      <c r="M499" s="27"/>
      <c r="O499" s="230"/>
      <c r="P499" s="230"/>
    </row>
    <row r="500" spans="1:16" s="385" customFormat="1" ht="15.75">
      <c r="A500" s="29"/>
      <c r="B500" s="29"/>
      <c r="C500" s="37"/>
      <c r="D500" s="183"/>
      <c r="E500" s="29"/>
      <c r="F500" s="37"/>
      <c r="G500" s="37"/>
      <c r="H500" s="37"/>
      <c r="I500" s="310"/>
      <c r="J500" s="37"/>
      <c r="K500" s="310"/>
      <c r="L500" s="37"/>
      <c r="M500" s="27"/>
      <c r="O500" s="230"/>
      <c r="P500" s="230"/>
    </row>
    <row r="501" spans="1:16" s="385" customFormat="1" ht="15.75">
      <c r="A501" s="29"/>
      <c r="B501" s="29"/>
      <c r="C501" s="37"/>
      <c r="D501" s="183"/>
      <c r="E501" s="29"/>
      <c r="F501" s="37"/>
      <c r="G501" s="37"/>
      <c r="H501" s="37"/>
      <c r="I501" s="310"/>
      <c r="J501" s="37"/>
      <c r="K501" s="310"/>
      <c r="L501" s="37"/>
      <c r="M501" s="27"/>
      <c r="O501" s="230"/>
      <c r="P501" s="230"/>
    </row>
    <row r="502" spans="1:16" s="385" customFormat="1" ht="15.75">
      <c r="A502" s="29"/>
      <c r="B502" s="29"/>
      <c r="C502" s="37"/>
      <c r="D502" s="183"/>
      <c r="E502" s="29"/>
      <c r="F502" s="37"/>
      <c r="G502" s="37"/>
      <c r="H502" s="37"/>
      <c r="I502" s="310"/>
      <c r="J502" s="37"/>
      <c r="K502" s="310"/>
      <c r="L502" s="37"/>
      <c r="M502" s="27"/>
      <c r="O502" s="230"/>
      <c r="P502" s="230"/>
    </row>
    <row r="503" spans="1:16" s="385" customFormat="1" ht="15.75">
      <c r="A503" s="29"/>
      <c r="B503" s="29"/>
      <c r="C503" s="37"/>
      <c r="D503" s="183"/>
      <c r="E503" s="29"/>
      <c r="F503" s="37"/>
      <c r="G503" s="37"/>
      <c r="H503" s="37"/>
      <c r="I503" s="310"/>
      <c r="J503" s="37"/>
      <c r="K503" s="310"/>
      <c r="L503" s="37"/>
      <c r="M503" s="27"/>
      <c r="O503" s="230"/>
      <c r="P503" s="230"/>
    </row>
    <row r="504" spans="1:16" s="385" customFormat="1" ht="15.75">
      <c r="A504" s="29"/>
      <c r="B504" s="29"/>
      <c r="C504" s="37"/>
      <c r="D504" s="183"/>
      <c r="E504" s="29"/>
      <c r="F504" s="37"/>
      <c r="G504" s="37"/>
      <c r="H504" s="37"/>
      <c r="I504" s="310"/>
      <c r="J504" s="37"/>
      <c r="K504" s="310"/>
      <c r="L504" s="37"/>
      <c r="M504" s="27"/>
      <c r="O504" s="230"/>
      <c r="P504" s="230"/>
    </row>
    <row r="505" spans="1:16" s="385" customFormat="1" ht="15.75">
      <c r="A505" s="29"/>
      <c r="B505" s="29"/>
      <c r="C505" s="37"/>
      <c r="D505" s="183"/>
      <c r="E505" s="29"/>
      <c r="F505" s="37"/>
      <c r="G505" s="37"/>
      <c r="H505" s="37"/>
      <c r="I505" s="310"/>
      <c r="J505" s="37"/>
      <c r="K505" s="310"/>
      <c r="L505" s="37"/>
      <c r="M505" s="27"/>
      <c r="O505" s="230"/>
      <c r="P505" s="230"/>
    </row>
    <row r="506" spans="1:16" s="385" customFormat="1" ht="15.75">
      <c r="A506" s="29"/>
      <c r="B506" s="29"/>
      <c r="C506" s="37"/>
      <c r="D506" s="183"/>
      <c r="E506" s="29"/>
      <c r="F506" s="37"/>
      <c r="G506" s="37"/>
      <c r="H506" s="37"/>
      <c r="I506" s="310"/>
      <c r="J506" s="37"/>
      <c r="K506" s="310"/>
      <c r="L506" s="37"/>
      <c r="M506" s="27"/>
      <c r="O506" s="230"/>
      <c r="P506" s="230"/>
    </row>
    <row r="507" spans="1:16" s="385" customFormat="1" ht="15.75">
      <c r="A507" s="29"/>
      <c r="B507" s="29"/>
      <c r="C507" s="37"/>
      <c r="D507" s="183"/>
      <c r="E507" s="29"/>
      <c r="F507" s="37"/>
      <c r="G507" s="37"/>
      <c r="H507" s="37"/>
      <c r="I507" s="310"/>
      <c r="J507" s="37"/>
      <c r="K507" s="310"/>
      <c r="L507" s="37"/>
      <c r="M507" s="27"/>
      <c r="O507" s="230"/>
      <c r="P507" s="230"/>
    </row>
    <row r="508" spans="1:16" s="385" customFormat="1" ht="15.75">
      <c r="A508" s="29"/>
      <c r="B508" s="29"/>
      <c r="C508" s="37"/>
      <c r="D508" s="183"/>
      <c r="E508" s="29"/>
      <c r="F508" s="37"/>
      <c r="G508" s="37"/>
      <c r="H508" s="37"/>
      <c r="I508" s="310"/>
      <c r="J508" s="37"/>
      <c r="K508" s="310"/>
      <c r="L508" s="37"/>
      <c r="M508" s="27"/>
      <c r="O508" s="230"/>
      <c r="P508" s="230"/>
    </row>
    <row r="509" spans="1:16" s="385" customFormat="1" ht="15.75">
      <c r="A509" s="29"/>
      <c r="B509" s="29"/>
      <c r="C509" s="37"/>
      <c r="D509" s="183"/>
      <c r="E509" s="29"/>
      <c r="F509" s="37"/>
      <c r="G509" s="37"/>
      <c r="H509" s="37"/>
      <c r="I509" s="310"/>
      <c r="J509" s="37"/>
      <c r="K509" s="310"/>
      <c r="L509" s="37"/>
      <c r="M509" s="27"/>
      <c r="O509" s="230"/>
      <c r="P509" s="230"/>
    </row>
    <row r="510" spans="1:16" s="385" customFormat="1" ht="15.75">
      <c r="A510" s="29"/>
      <c r="B510" s="29"/>
      <c r="C510" s="37"/>
      <c r="D510" s="183"/>
      <c r="E510" s="29"/>
      <c r="F510" s="37"/>
      <c r="G510" s="37"/>
      <c r="H510" s="37"/>
      <c r="I510" s="310"/>
      <c r="J510" s="37"/>
      <c r="K510" s="310"/>
      <c r="L510" s="37"/>
      <c r="M510" s="27"/>
      <c r="O510" s="230"/>
      <c r="P510" s="230"/>
    </row>
    <row r="511" spans="1:16" s="385" customFormat="1" ht="15.75">
      <c r="A511" s="29"/>
      <c r="B511" s="29"/>
      <c r="C511" s="37"/>
      <c r="D511" s="183"/>
      <c r="E511" s="29"/>
      <c r="F511" s="37"/>
      <c r="G511" s="37"/>
      <c r="H511" s="37"/>
      <c r="I511" s="310"/>
      <c r="J511" s="37"/>
      <c r="K511" s="310"/>
      <c r="L511" s="37"/>
      <c r="M511" s="27"/>
      <c r="O511" s="230"/>
      <c r="P511" s="230"/>
    </row>
    <row r="512" spans="1:16" s="385" customFormat="1" ht="15.75">
      <c r="A512" s="29"/>
      <c r="B512" s="29"/>
      <c r="C512" s="37"/>
      <c r="D512" s="183"/>
      <c r="E512" s="29"/>
      <c r="F512" s="37"/>
      <c r="G512" s="37"/>
      <c r="H512" s="37"/>
      <c r="I512" s="310"/>
      <c r="J512" s="37"/>
      <c r="K512" s="310"/>
      <c r="L512" s="37"/>
      <c r="M512" s="27"/>
      <c r="O512" s="230"/>
      <c r="P512" s="230"/>
    </row>
    <row r="513" spans="1:16" s="385" customFormat="1" ht="15.75">
      <c r="A513" s="29"/>
      <c r="B513" s="29"/>
      <c r="C513" s="37"/>
      <c r="D513" s="183"/>
      <c r="E513" s="29"/>
      <c r="F513" s="37"/>
      <c r="G513" s="37"/>
      <c r="H513" s="37"/>
      <c r="I513" s="310"/>
      <c r="J513" s="37"/>
      <c r="K513" s="310"/>
      <c r="L513" s="37"/>
      <c r="M513" s="27"/>
      <c r="O513" s="230"/>
      <c r="P513" s="230"/>
    </row>
    <row r="514" spans="1:16" s="385" customFormat="1" ht="15.75">
      <c r="A514" s="29"/>
      <c r="B514" s="29"/>
      <c r="C514" s="37"/>
      <c r="D514" s="183"/>
      <c r="E514" s="29"/>
      <c r="F514" s="37"/>
      <c r="G514" s="37"/>
      <c r="H514" s="37"/>
      <c r="I514" s="310"/>
      <c r="J514" s="37"/>
      <c r="K514" s="310"/>
      <c r="L514" s="37"/>
      <c r="M514" s="27"/>
      <c r="O514" s="230"/>
      <c r="P514" s="230"/>
    </row>
    <row r="515" spans="1:16" s="385" customFormat="1" ht="15.75">
      <c r="A515" s="29"/>
      <c r="B515" s="29"/>
      <c r="C515" s="37"/>
      <c r="D515" s="183"/>
      <c r="E515" s="29"/>
      <c r="F515" s="37"/>
      <c r="G515" s="37"/>
      <c r="H515" s="37"/>
      <c r="I515" s="310"/>
      <c r="J515" s="37"/>
      <c r="K515" s="310"/>
      <c r="L515" s="37"/>
      <c r="M515" s="27"/>
      <c r="O515" s="230"/>
      <c r="P515" s="230"/>
    </row>
    <row r="516" spans="1:16" s="385" customFormat="1" ht="15.75">
      <c r="A516" s="29"/>
      <c r="B516" s="29"/>
      <c r="C516" s="37"/>
      <c r="D516" s="183"/>
      <c r="E516" s="29"/>
      <c r="F516" s="37"/>
      <c r="G516" s="37"/>
      <c r="H516" s="37"/>
      <c r="I516" s="310"/>
      <c r="J516" s="37"/>
      <c r="K516" s="310"/>
      <c r="L516" s="37"/>
      <c r="M516" s="27"/>
      <c r="O516" s="230"/>
      <c r="P516" s="230"/>
    </row>
    <row r="517" spans="1:16" s="385" customFormat="1" ht="15.75">
      <c r="A517" s="29"/>
      <c r="B517" s="29"/>
      <c r="C517" s="37"/>
      <c r="D517" s="183"/>
      <c r="E517" s="29"/>
      <c r="F517" s="37"/>
      <c r="G517" s="37"/>
      <c r="H517" s="37"/>
      <c r="I517" s="310"/>
      <c r="J517" s="37"/>
      <c r="K517" s="310"/>
      <c r="L517" s="37"/>
      <c r="M517" s="27"/>
      <c r="O517" s="230"/>
      <c r="P517" s="230"/>
    </row>
    <row r="518" spans="1:16" s="385" customFormat="1" ht="15.75">
      <c r="A518" s="29"/>
      <c r="B518" s="29"/>
      <c r="C518" s="37"/>
      <c r="D518" s="183"/>
      <c r="E518" s="29"/>
      <c r="F518" s="37"/>
      <c r="G518" s="37"/>
      <c r="H518" s="37"/>
      <c r="I518" s="310"/>
      <c r="J518" s="37"/>
      <c r="K518" s="310"/>
      <c r="L518" s="37"/>
      <c r="M518" s="27"/>
      <c r="O518" s="230"/>
      <c r="P518" s="230"/>
    </row>
    <row r="519" spans="1:16" s="385" customFormat="1" ht="15.75">
      <c r="A519" s="29"/>
      <c r="B519" s="29"/>
      <c r="C519" s="37"/>
      <c r="D519" s="183"/>
      <c r="E519" s="29"/>
      <c r="F519" s="37"/>
      <c r="G519" s="37"/>
      <c r="H519" s="37"/>
      <c r="I519" s="310"/>
      <c r="J519" s="37"/>
      <c r="K519" s="310"/>
      <c r="L519" s="37"/>
      <c r="M519" s="27"/>
      <c r="O519" s="230"/>
      <c r="P519" s="230"/>
    </row>
    <row r="520" spans="1:16" s="385" customFormat="1" ht="15.75">
      <c r="A520" s="29"/>
      <c r="B520" s="29"/>
      <c r="C520" s="37"/>
      <c r="D520" s="183"/>
      <c r="E520" s="29"/>
      <c r="F520" s="37"/>
      <c r="G520" s="37"/>
      <c r="H520" s="37"/>
      <c r="I520" s="310"/>
      <c r="J520" s="37"/>
      <c r="K520" s="310"/>
      <c r="L520" s="37"/>
      <c r="M520" s="27"/>
      <c r="O520" s="230"/>
      <c r="P520" s="230"/>
    </row>
    <row r="521" spans="1:16" s="385" customFormat="1" ht="15.75">
      <c r="A521" s="29"/>
      <c r="B521" s="29"/>
      <c r="C521" s="37"/>
      <c r="D521" s="183"/>
      <c r="E521" s="29"/>
      <c r="F521" s="37"/>
      <c r="G521" s="37"/>
      <c r="H521" s="37"/>
      <c r="I521" s="310"/>
      <c r="J521" s="37"/>
      <c r="K521" s="310"/>
      <c r="L521" s="37"/>
      <c r="M521" s="27"/>
      <c r="O521" s="230"/>
      <c r="P521" s="230"/>
    </row>
    <row r="522" spans="1:16" s="385" customFormat="1" ht="15.75">
      <c r="A522" s="29"/>
      <c r="B522" s="29"/>
      <c r="C522" s="37"/>
      <c r="D522" s="183"/>
      <c r="E522" s="29"/>
      <c r="F522" s="37"/>
      <c r="G522" s="37"/>
      <c r="H522" s="37"/>
      <c r="I522" s="310"/>
      <c r="J522" s="37"/>
      <c r="K522" s="310"/>
      <c r="L522" s="37"/>
      <c r="M522" s="27"/>
      <c r="O522" s="230"/>
      <c r="P522" s="230"/>
    </row>
    <row r="523" spans="1:16" s="385" customFormat="1" ht="15.75">
      <c r="A523" s="29"/>
      <c r="B523" s="29"/>
      <c r="C523" s="37"/>
      <c r="D523" s="183"/>
      <c r="E523" s="29"/>
      <c r="F523" s="37"/>
      <c r="G523" s="37"/>
      <c r="H523" s="37"/>
      <c r="I523" s="310"/>
      <c r="J523" s="37"/>
      <c r="K523" s="310"/>
      <c r="L523" s="37"/>
      <c r="M523" s="27"/>
      <c r="O523" s="230"/>
      <c r="P523" s="230"/>
    </row>
    <row r="524" spans="1:16" s="385" customFormat="1" ht="15.75">
      <c r="A524" s="29"/>
      <c r="B524" s="29"/>
      <c r="C524" s="37"/>
      <c r="D524" s="183"/>
      <c r="E524" s="29"/>
      <c r="F524" s="37"/>
      <c r="G524" s="37"/>
      <c r="H524" s="37"/>
      <c r="I524" s="310"/>
      <c r="J524" s="37"/>
      <c r="K524" s="310"/>
      <c r="L524" s="37"/>
      <c r="M524" s="27"/>
      <c r="O524" s="230"/>
      <c r="P524" s="230"/>
    </row>
    <row r="525" spans="1:16" s="385" customFormat="1" ht="15.75">
      <c r="A525" s="29"/>
      <c r="B525" s="29"/>
      <c r="C525" s="37"/>
      <c r="D525" s="183"/>
      <c r="E525" s="29"/>
      <c r="F525" s="37"/>
      <c r="G525" s="37"/>
      <c r="H525" s="37"/>
      <c r="I525" s="310"/>
      <c r="J525" s="37"/>
      <c r="K525" s="310"/>
      <c r="L525" s="37"/>
      <c r="M525" s="27"/>
      <c r="O525" s="230"/>
      <c r="P525" s="230"/>
    </row>
    <row r="526" spans="1:16" s="385" customFormat="1" ht="15.75">
      <c r="A526" s="29"/>
      <c r="B526" s="29"/>
      <c r="C526" s="37"/>
      <c r="D526" s="183"/>
      <c r="E526" s="29"/>
      <c r="F526" s="37"/>
      <c r="G526" s="37"/>
      <c r="H526" s="37"/>
      <c r="I526" s="310"/>
      <c r="J526" s="37"/>
      <c r="K526" s="310"/>
      <c r="L526" s="37"/>
      <c r="M526" s="27"/>
      <c r="O526" s="230"/>
      <c r="P526" s="230"/>
    </row>
    <row r="527" spans="1:16" s="385" customFormat="1" ht="15.75">
      <c r="A527" s="29"/>
      <c r="B527" s="29"/>
      <c r="C527" s="37"/>
      <c r="D527" s="183"/>
      <c r="E527" s="29"/>
      <c r="F527" s="37"/>
      <c r="G527" s="37"/>
      <c r="H527" s="37"/>
      <c r="I527" s="310"/>
      <c r="J527" s="37"/>
      <c r="K527" s="310"/>
      <c r="L527" s="37"/>
      <c r="M527" s="27"/>
      <c r="O527" s="230"/>
      <c r="P527" s="230"/>
    </row>
    <row r="528" spans="1:16" s="385" customFormat="1" ht="15.75">
      <c r="A528" s="29"/>
      <c r="B528" s="29"/>
      <c r="C528" s="37"/>
      <c r="D528" s="183"/>
      <c r="E528" s="29"/>
      <c r="F528" s="37"/>
      <c r="G528" s="37"/>
      <c r="H528" s="37"/>
      <c r="I528" s="310"/>
      <c r="J528" s="37"/>
      <c r="K528" s="310"/>
      <c r="L528" s="37"/>
      <c r="M528" s="27"/>
      <c r="O528" s="230"/>
      <c r="P528" s="230"/>
    </row>
    <row r="529" spans="1:16" s="385" customFormat="1" ht="15.75">
      <c r="A529" s="29"/>
      <c r="B529" s="29"/>
      <c r="C529" s="37"/>
      <c r="D529" s="183"/>
      <c r="E529" s="29"/>
      <c r="F529" s="37"/>
      <c r="G529" s="37"/>
      <c r="H529" s="37"/>
      <c r="I529" s="310"/>
      <c r="J529" s="37"/>
      <c r="K529" s="310"/>
      <c r="L529" s="37"/>
      <c r="M529" s="27"/>
      <c r="O529" s="230"/>
      <c r="P529" s="230"/>
    </row>
    <row r="530" spans="1:16" s="385" customFormat="1" ht="15.75">
      <c r="A530" s="29"/>
      <c r="B530" s="29"/>
      <c r="C530" s="37"/>
      <c r="D530" s="183"/>
      <c r="E530" s="29"/>
      <c r="F530" s="37"/>
      <c r="G530" s="37"/>
      <c r="H530" s="37"/>
      <c r="I530" s="310"/>
      <c r="J530" s="37"/>
      <c r="K530" s="310"/>
      <c r="L530" s="37"/>
      <c r="M530" s="27"/>
      <c r="O530" s="230"/>
      <c r="P530" s="230"/>
    </row>
    <row r="531" spans="1:16" s="385" customFormat="1" ht="15.75">
      <c r="A531" s="29"/>
      <c r="B531" s="29"/>
      <c r="C531" s="37"/>
      <c r="D531" s="183"/>
      <c r="E531" s="29"/>
      <c r="F531" s="37"/>
      <c r="G531" s="37"/>
      <c r="H531" s="37"/>
      <c r="I531" s="310"/>
      <c r="J531" s="37"/>
      <c r="K531" s="310"/>
      <c r="L531" s="37"/>
      <c r="M531" s="27"/>
      <c r="O531" s="230"/>
      <c r="P531" s="230"/>
    </row>
    <row r="532" spans="1:16" s="385" customFormat="1" ht="15.75">
      <c r="A532" s="29"/>
      <c r="B532" s="29"/>
      <c r="C532" s="37"/>
      <c r="D532" s="183"/>
      <c r="E532" s="29"/>
      <c r="F532" s="37"/>
      <c r="G532" s="37"/>
      <c r="H532" s="37"/>
      <c r="I532" s="310"/>
      <c r="J532" s="37"/>
      <c r="K532" s="310"/>
      <c r="L532" s="37"/>
      <c r="M532" s="27"/>
      <c r="O532" s="230"/>
      <c r="P532" s="230"/>
    </row>
    <row r="533" spans="1:16" s="385" customFormat="1" ht="15.75">
      <c r="A533" s="29"/>
      <c r="B533" s="29"/>
      <c r="C533" s="37"/>
      <c r="D533" s="183"/>
      <c r="E533" s="29"/>
      <c r="F533" s="37"/>
      <c r="G533" s="37"/>
      <c r="H533" s="37"/>
      <c r="I533" s="310"/>
      <c r="J533" s="37"/>
      <c r="K533" s="310"/>
      <c r="L533" s="37"/>
      <c r="M533" s="27"/>
      <c r="O533" s="230"/>
      <c r="P533" s="230"/>
    </row>
    <row r="534" spans="1:16" s="385" customFormat="1" ht="15.75">
      <c r="A534" s="29"/>
      <c r="B534" s="29"/>
      <c r="C534" s="37"/>
      <c r="D534" s="183"/>
      <c r="E534" s="29"/>
      <c r="F534" s="37"/>
      <c r="G534" s="37"/>
      <c r="H534" s="37"/>
      <c r="I534" s="310"/>
      <c r="J534" s="37"/>
      <c r="K534" s="310"/>
      <c r="L534" s="37"/>
      <c r="M534" s="27"/>
      <c r="O534" s="230"/>
      <c r="P534" s="230"/>
    </row>
    <row r="535" spans="1:16" s="385" customFormat="1" ht="15.75">
      <c r="A535" s="29"/>
      <c r="B535" s="29"/>
      <c r="C535" s="37"/>
      <c r="D535" s="183"/>
      <c r="E535" s="29"/>
      <c r="F535" s="37"/>
      <c r="G535" s="37"/>
      <c r="H535" s="37"/>
      <c r="I535" s="310"/>
      <c r="J535" s="37"/>
      <c r="K535" s="310"/>
      <c r="L535" s="37"/>
      <c r="M535" s="27"/>
      <c r="O535" s="230"/>
      <c r="P535" s="230"/>
    </row>
    <row r="536" spans="1:16" s="385" customFormat="1" ht="15.75">
      <c r="A536" s="29"/>
      <c r="B536" s="29"/>
      <c r="C536" s="37"/>
      <c r="D536" s="183"/>
      <c r="E536" s="29"/>
      <c r="F536" s="37"/>
      <c r="G536" s="37"/>
      <c r="H536" s="37"/>
      <c r="I536" s="310"/>
      <c r="J536" s="37"/>
      <c r="K536" s="310"/>
      <c r="L536" s="37"/>
      <c r="M536" s="27"/>
      <c r="O536" s="230"/>
      <c r="P536" s="230"/>
    </row>
    <row r="537" spans="1:16" s="385" customFormat="1" ht="15.75">
      <c r="A537" s="29"/>
      <c r="B537" s="29"/>
      <c r="C537" s="37"/>
      <c r="D537" s="183"/>
      <c r="E537" s="29"/>
      <c r="F537" s="37"/>
      <c r="G537" s="37"/>
      <c r="H537" s="37"/>
      <c r="I537" s="310"/>
      <c r="J537" s="37"/>
      <c r="K537" s="310"/>
      <c r="L537" s="37"/>
      <c r="M537" s="27"/>
      <c r="O537" s="230"/>
      <c r="P537" s="230"/>
    </row>
    <row r="538" spans="1:16" s="385" customFormat="1" ht="15.75">
      <c r="A538" s="29"/>
      <c r="B538" s="29"/>
      <c r="C538" s="37"/>
      <c r="D538" s="183"/>
      <c r="E538" s="29"/>
      <c r="F538" s="37"/>
      <c r="G538" s="37"/>
      <c r="H538" s="37"/>
      <c r="I538" s="310"/>
      <c r="J538" s="37"/>
      <c r="K538" s="310"/>
      <c r="L538" s="37"/>
      <c r="M538" s="27"/>
      <c r="O538" s="230"/>
      <c r="P538" s="230"/>
    </row>
    <row r="539" spans="1:16" s="385" customFormat="1" ht="15.75">
      <c r="A539" s="29"/>
      <c r="B539" s="29"/>
      <c r="C539" s="37"/>
      <c r="D539" s="183"/>
      <c r="E539" s="29"/>
      <c r="F539" s="37"/>
      <c r="G539" s="37"/>
      <c r="H539" s="37"/>
      <c r="I539" s="310"/>
      <c r="J539" s="37"/>
      <c r="K539" s="310"/>
      <c r="L539" s="37"/>
      <c r="M539" s="27"/>
      <c r="O539" s="230"/>
      <c r="P539" s="230"/>
    </row>
    <row r="540" spans="1:16" s="385" customFormat="1" ht="15.75">
      <c r="A540" s="29"/>
      <c r="B540" s="29"/>
      <c r="C540" s="37"/>
      <c r="D540" s="183"/>
      <c r="E540" s="29"/>
      <c r="F540" s="37"/>
      <c r="G540" s="37"/>
      <c r="H540" s="37"/>
      <c r="I540" s="310"/>
      <c r="J540" s="37"/>
      <c r="K540" s="310"/>
      <c r="L540" s="37"/>
      <c r="M540" s="27"/>
      <c r="O540" s="230"/>
      <c r="P540" s="230"/>
    </row>
    <row r="541" spans="1:16" s="385" customFormat="1" ht="15.75">
      <c r="A541" s="29"/>
      <c r="B541" s="29"/>
      <c r="C541" s="37"/>
      <c r="D541" s="183"/>
      <c r="E541" s="29"/>
      <c r="F541" s="37"/>
      <c r="G541" s="37"/>
      <c r="H541" s="37"/>
      <c r="I541" s="310"/>
      <c r="J541" s="37"/>
      <c r="K541" s="310"/>
      <c r="L541" s="37"/>
      <c r="M541" s="27"/>
      <c r="O541" s="230"/>
      <c r="P541" s="230"/>
    </row>
    <row r="542" spans="1:16" s="385" customFormat="1" ht="15.75">
      <c r="A542" s="29"/>
      <c r="B542" s="29"/>
      <c r="C542" s="37"/>
      <c r="D542" s="183"/>
      <c r="E542" s="29"/>
      <c r="F542" s="37"/>
      <c r="G542" s="37"/>
      <c r="H542" s="37"/>
      <c r="I542" s="310"/>
      <c r="J542" s="37"/>
      <c r="K542" s="310"/>
      <c r="L542" s="37"/>
      <c r="M542" s="27"/>
      <c r="O542" s="230"/>
      <c r="P542" s="230"/>
    </row>
    <row r="543" spans="1:16" s="385" customFormat="1" ht="15.75">
      <c r="A543" s="29"/>
      <c r="B543" s="29"/>
      <c r="C543" s="37"/>
      <c r="D543" s="183"/>
      <c r="E543" s="29"/>
      <c r="F543" s="37"/>
      <c r="G543" s="37"/>
      <c r="H543" s="37"/>
      <c r="I543" s="310"/>
      <c r="J543" s="37"/>
      <c r="K543" s="310"/>
      <c r="L543" s="37"/>
      <c r="M543" s="27"/>
      <c r="O543" s="230"/>
      <c r="P543" s="230"/>
    </row>
    <row r="544" spans="1:16" s="385" customFormat="1" ht="15.75">
      <c r="A544" s="29"/>
      <c r="B544" s="29"/>
      <c r="C544" s="37"/>
      <c r="D544" s="183"/>
      <c r="E544" s="29"/>
      <c r="F544" s="37"/>
      <c r="G544" s="37"/>
      <c r="H544" s="37"/>
      <c r="I544" s="310"/>
      <c r="J544" s="37"/>
      <c r="K544" s="310"/>
      <c r="L544" s="37"/>
      <c r="M544" s="27"/>
      <c r="O544" s="230"/>
      <c r="P544" s="230"/>
    </row>
    <row r="545" spans="1:16" s="385" customFormat="1" ht="15.75">
      <c r="A545" s="29"/>
      <c r="B545" s="29"/>
      <c r="C545" s="37"/>
      <c r="D545" s="183"/>
      <c r="E545" s="29"/>
      <c r="F545" s="37"/>
      <c r="G545" s="37"/>
      <c r="H545" s="37"/>
      <c r="I545" s="310"/>
      <c r="J545" s="37"/>
      <c r="K545" s="310"/>
      <c r="L545" s="37"/>
      <c r="M545" s="27"/>
      <c r="O545" s="230"/>
      <c r="P545" s="230"/>
    </row>
    <row r="546" spans="1:16" s="385" customFormat="1" ht="15.75">
      <c r="A546" s="29"/>
      <c r="B546" s="29"/>
      <c r="C546" s="37"/>
      <c r="D546" s="183"/>
      <c r="E546" s="29"/>
      <c r="F546" s="37"/>
      <c r="G546" s="37"/>
      <c r="H546" s="37"/>
      <c r="I546" s="310"/>
      <c r="J546" s="37"/>
      <c r="K546" s="310"/>
      <c r="L546" s="37"/>
      <c r="M546" s="27"/>
      <c r="O546" s="230"/>
      <c r="P546" s="230"/>
    </row>
    <row r="547" spans="1:16" s="385" customFormat="1" ht="15.75">
      <c r="A547" s="29"/>
      <c r="B547" s="29"/>
      <c r="C547" s="37"/>
      <c r="D547" s="183"/>
      <c r="E547" s="29"/>
      <c r="F547" s="37"/>
      <c r="G547" s="37"/>
      <c r="H547" s="37"/>
      <c r="I547" s="310"/>
      <c r="J547" s="37"/>
      <c r="K547" s="310"/>
      <c r="L547" s="37"/>
      <c r="M547" s="27"/>
      <c r="O547" s="230"/>
      <c r="P547" s="230"/>
    </row>
    <row r="548" spans="1:16" s="385" customFormat="1" ht="15.75">
      <c r="A548" s="29"/>
      <c r="B548" s="29"/>
      <c r="C548" s="37"/>
      <c r="D548" s="183"/>
      <c r="E548" s="29"/>
      <c r="F548" s="37"/>
      <c r="G548" s="37"/>
      <c r="H548" s="37"/>
      <c r="I548" s="310"/>
      <c r="J548" s="37"/>
      <c r="K548" s="310"/>
      <c r="L548" s="37"/>
      <c r="M548" s="27"/>
      <c r="O548" s="230"/>
      <c r="P548" s="230"/>
    </row>
    <row r="549" spans="1:16" s="385" customFormat="1" ht="15.75">
      <c r="A549" s="29"/>
      <c r="B549" s="29"/>
      <c r="C549" s="37"/>
      <c r="D549" s="183"/>
      <c r="E549" s="29"/>
      <c r="F549" s="37"/>
      <c r="G549" s="37"/>
      <c r="H549" s="37"/>
      <c r="I549" s="310"/>
      <c r="J549" s="37"/>
      <c r="K549" s="310"/>
      <c r="L549" s="37"/>
      <c r="M549" s="27"/>
      <c r="O549" s="230"/>
      <c r="P549" s="230"/>
    </row>
    <row r="550" spans="1:16" s="385" customFormat="1" ht="15.75">
      <c r="A550" s="29"/>
      <c r="B550" s="29"/>
      <c r="C550" s="37"/>
      <c r="D550" s="183"/>
      <c r="E550" s="29"/>
      <c r="F550" s="37"/>
      <c r="G550" s="37"/>
      <c r="H550" s="37"/>
      <c r="I550" s="310"/>
      <c r="J550" s="37"/>
      <c r="K550" s="310"/>
      <c r="L550" s="37"/>
      <c r="M550" s="27"/>
      <c r="O550" s="230"/>
      <c r="P550" s="230"/>
    </row>
    <row r="551" spans="1:16" s="385" customFormat="1" ht="15.75">
      <c r="A551" s="29"/>
      <c r="B551" s="29"/>
      <c r="C551" s="37"/>
      <c r="D551" s="183"/>
      <c r="E551" s="29"/>
      <c r="F551" s="37"/>
      <c r="G551" s="37"/>
      <c r="H551" s="37"/>
      <c r="I551" s="310"/>
      <c r="J551" s="37"/>
      <c r="K551" s="310"/>
      <c r="L551" s="37"/>
      <c r="M551" s="27"/>
      <c r="O551" s="230"/>
      <c r="P551" s="230"/>
    </row>
    <row r="552" spans="1:16" s="385" customFormat="1" ht="15.75">
      <c r="A552" s="29"/>
      <c r="B552" s="29"/>
      <c r="C552" s="37"/>
      <c r="D552" s="183"/>
      <c r="E552" s="29"/>
      <c r="F552" s="37"/>
      <c r="G552" s="37"/>
      <c r="H552" s="37"/>
      <c r="I552" s="310"/>
      <c r="J552" s="37"/>
      <c r="K552" s="310"/>
      <c r="L552" s="37"/>
      <c r="M552" s="27"/>
      <c r="O552" s="230"/>
      <c r="P552" s="230"/>
    </row>
    <row r="553" spans="1:16" s="385" customFormat="1" ht="15.75">
      <c r="A553" s="29"/>
      <c r="B553" s="29"/>
      <c r="C553" s="37"/>
      <c r="D553" s="183"/>
      <c r="E553" s="29"/>
      <c r="F553" s="37"/>
      <c r="G553" s="37"/>
      <c r="H553" s="37"/>
      <c r="I553" s="310"/>
      <c r="J553" s="37"/>
      <c r="K553" s="310"/>
      <c r="L553" s="37"/>
      <c r="M553" s="27"/>
      <c r="O553" s="230"/>
      <c r="P553" s="230"/>
    </row>
    <row r="554" spans="1:16" s="385" customFormat="1" ht="15.75">
      <c r="A554" s="29"/>
      <c r="B554" s="29"/>
      <c r="C554" s="37"/>
      <c r="D554" s="183"/>
      <c r="E554" s="29"/>
      <c r="F554" s="37"/>
      <c r="G554" s="37"/>
      <c r="H554" s="37"/>
      <c r="I554" s="310"/>
      <c r="J554" s="37"/>
      <c r="K554" s="310"/>
      <c r="L554" s="37"/>
      <c r="M554" s="27"/>
      <c r="O554" s="230"/>
      <c r="P554" s="230"/>
    </row>
    <row r="555" spans="1:16" s="385" customFormat="1" ht="15.75">
      <c r="A555" s="29"/>
      <c r="B555" s="29"/>
      <c r="C555" s="37"/>
      <c r="D555" s="183"/>
      <c r="E555" s="29"/>
      <c r="F555" s="37"/>
      <c r="G555" s="37"/>
      <c r="H555" s="37"/>
      <c r="I555" s="310"/>
      <c r="J555" s="37"/>
      <c r="K555" s="310"/>
      <c r="L555" s="37"/>
      <c r="M555" s="27"/>
      <c r="O555" s="230"/>
      <c r="P555" s="230"/>
    </row>
    <row r="556" spans="1:16" s="385" customFormat="1" ht="15.75">
      <c r="A556" s="29"/>
      <c r="B556" s="29"/>
      <c r="C556" s="37"/>
      <c r="D556" s="183"/>
      <c r="E556" s="29"/>
      <c r="F556" s="37"/>
      <c r="G556" s="37"/>
      <c r="H556" s="37"/>
      <c r="I556" s="310"/>
      <c r="J556" s="37"/>
      <c r="K556" s="310"/>
      <c r="L556" s="37"/>
      <c r="M556" s="27"/>
      <c r="O556" s="230"/>
      <c r="P556" s="230"/>
    </row>
    <row r="557" spans="1:16" s="385" customFormat="1" ht="15.75">
      <c r="A557" s="29"/>
      <c r="B557" s="29"/>
      <c r="C557" s="37"/>
      <c r="D557" s="183"/>
      <c r="E557" s="29"/>
      <c r="F557" s="37"/>
      <c r="G557" s="37"/>
      <c r="H557" s="37"/>
      <c r="I557" s="310"/>
      <c r="J557" s="37"/>
      <c r="K557" s="310"/>
      <c r="L557" s="37"/>
      <c r="M557" s="27"/>
      <c r="O557" s="230"/>
      <c r="P557" s="230"/>
    </row>
    <row r="558" spans="1:16" s="385" customFormat="1" ht="15.75">
      <c r="A558" s="29"/>
      <c r="B558" s="29"/>
      <c r="C558" s="37"/>
      <c r="D558" s="183"/>
      <c r="E558" s="29"/>
      <c r="F558" s="37"/>
      <c r="G558" s="37"/>
      <c r="H558" s="37"/>
      <c r="I558" s="310"/>
      <c r="J558" s="37"/>
      <c r="K558" s="310"/>
      <c r="L558" s="37"/>
      <c r="M558" s="27"/>
      <c r="O558" s="230"/>
      <c r="P558" s="230"/>
    </row>
    <row r="559" spans="1:16" s="385" customFormat="1" ht="15.75">
      <c r="A559" s="29"/>
      <c r="B559" s="29"/>
      <c r="C559" s="37"/>
      <c r="D559" s="183"/>
      <c r="E559" s="29"/>
      <c r="F559" s="37"/>
      <c r="G559" s="37"/>
      <c r="H559" s="37"/>
      <c r="I559" s="310"/>
      <c r="J559" s="37"/>
      <c r="K559" s="310"/>
      <c r="L559" s="37"/>
      <c r="M559" s="27"/>
      <c r="O559" s="230"/>
      <c r="P559" s="230"/>
    </row>
    <row r="560" spans="1:16" s="385" customFormat="1" ht="15.75">
      <c r="A560" s="29"/>
      <c r="B560" s="29"/>
      <c r="C560" s="37"/>
      <c r="D560" s="183"/>
      <c r="E560" s="29"/>
      <c r="F560" s="37"/>
      <c r="G560" s="37"/>
      <c r="H560" s="37"/>
      <c r="I560" s="310"/>
      <c r="J560" s="37"/>
      <c r="K560" s="310"/>
      <c r="L560" s="37"/>
      <c r="M560" s="27"/>
      <c r="O560" s="230"/>
      <c r="P560" s="230"/>
    </row>
    <row r="561" spans="1:16" s="385" customFormat="1" ht="15.75">
      <c r="A561" s="29"/>
      <c r="B561" s="29"/>
      <c r="C561" s="37"/>
      <c r="D561" s="183"/>
      <c r="E561" s="29"/>
      <c r="F561" s="37"/>
      <c r="G561" s="37"/>
      <c r="H561" s="37"/>
      <c r="I561" s="310"/>
      <c r="J561" s="37"/>
      <c r="K561" s="310"/>
      <c r="L561" s="37"/>
      <c r="M561" s="27"/>
      <c r="O561" s="230"/>
      <c r="P561" s="230"/>
    </row>
    <row r="562" spans="1:16" s="385" customFormat="1" ht="15.75">
      <c r="A562" s="29"/>
      <c r="B562" s="29"/>
      <c r="C562" s="37"/>
      <c r="D562" s="183"/>
      <c r="E562" s="29"/>
      <c r="F562" s="37"/>
      <c r="G562" s="37"/>
      <c r="H562" s="37"/>
      <c r="I562" s="310"/>
      <c r="J562" s="37"/>
      <c r="K562" s="310"/>
      <c r="L562" s="37"/>
      <c r="M562" s="27"/>
      <c r="O562" s="230"/>
      <c r="P562" s="230"/>
    </row>
    <row r="563" spans="1:16" s="385" customFormat="1" ht="15.75">
      <c r="A563" s="29"/>
      <c r="B563" s="29"/>
      <c r="C563" s="37"/>
      <c r="D563" s="183"/>
      <c r="E563" s="29"/>
      <c r="F563" s="37"/>
      <c r="G563" s="37"/>
      <c r="H563" s="37"/>
      <c r="I563" s="310"/>
      <c r="J563" s="37"/>
      <c r="K563" s="310"/>
      <c r="L563" s="37"/>
      <c r="M563" s="27"/>
      <c r="O563" s="230"/>
      <c r="P563" s="230"/>
    </row>
    <row r="564" spans="1:16" s="385" customFormat="1" ht="15.75">
      <c r="A564" s="29"/>
      <c r="B564" s="29"/>
      <c r="C564" s="37"/>
      <c r="D564" s="183"/>
      <c r="E564" s="29"/>
      <c r="F564" s="37"/>
      <c r="G564" s="37"/>
      <c r="H564" s="37"/>
      <c r="I564" s="310"/>
      <c r="J564" s="37"/>
      <c r="K564" s="310"/>
      <c r="L564" s="37"/>
      <c r="M564" s="27"/>
      <c r="O564" s="230"/>
      <c r="P564" s="230"/>
    </row>
    <row r="565" spans="1:16" s="385" customFormat="1" ht="15.75">
      <c r="A565" s="29"/>
      <c r="B565" s="29"/>
      <c r="C565" s="37"/>
      <c r="D565" s="183"/>
      <c r="E565" s="29"/>
      <c r="F565" s="37"/>
      <c r="G565" s="37"/>
      <c r="H565" s="37"/>
      <c r="I565" s="310"/>
      <c r="J565" s="37"/>
      <c r="K565" s="310"/>
      <c r="L565" s="37"/>
      <c r="M565" s="27"/>
      <c r="O565" s="230"/>
      <c r="P565" s="230"/>
    </row>
    <row r="566" spans="1:16" s="385" customFormat="1" ht="15.75">
      <c r="A566" s="29"/>
      <c r="B566" s="29"/>
      <c r="C566" s="37"/>
      <c r="D566" s="183"/>
      <c r="E566" s="29"/>
      <c r="F566" s="37"/>
      <c r="G566" s="37"/>
      <c r="H566" s="37"/>
      <c r="I566" s="310"/>
      <c r="J566" s="37"/>
      <c r="K566" s="310"/>
      <c r="L566" s="37"/>
      <c r="M566" s="27"/>
      <c r="O566" s="230"/>
      <c r="P566" s="230"/>
    </row>
    <row r="567" spans="1:16" s="385" customFormat="1" ht="15.75">
      <c r="A567" s="29"/>
      <c r="B567" s="29"/>
      <c r="C567" s="37"/>
      <c r="D567" s="183"/>
      <c r="E567" s="29"/>
      <c r="F567" s="37"/>
      <c r="G567" s="37"/>
      <c r="H567" s="37"/>
      <c r="I567" s="310"/>
      <c r="J567" s="37"/>
      <c r="K567" s="310"/>
      <c r="L567" s="37"/>
      <c r="M567" s="27"/>
      <c r="O567" s="230"/>
      <c r="P567" s="230"/>
    </row>
    <row r="568" spans="1:16" s="385" customFormat="1" ht="15.75">
      <c r="A568" s="29"/>
      <c r="B568" s="29"/>
      <c r="C568" s="37"/>
      <c r="D568" s="183"/>
      <c r="E568" s="29"/>
      <c r="F568" s="37"/>
      <c r="G568" s="37"/>
      <c r="H568" s="37"/>
      <c r="I568" s="310"/>
      <c r="J568" s="37"/>
      <c r="K568" s="310"/>
      <c r="L568" s="37"/>
      <c r="M568" s="27"/>
      <c r="O568" s="230"/>
      <c r="P568" s="230"/>
    </row>
    <row r="569" spans="1:16" s="385" customFormat="1" ht="15.75">
      <c r="A569" s="29"/>
      <c r="B569" s="29"/>
      <c r="C569" s="37"/>
      <c r="D569" s="183"/>
      <c r="E569" s="29"/>
      <c r="F569" s="37"/>
      <c r="G569" s="37"/>
      <c r="H569" s="37"/>
      <c r="I569" s="310"/>
      <c r="J569" s="37"/>
      <c r="K569" s="310"/>
      <c r="L569" s="37"/>
      <c r="M569" s="27"/>
      <c r="O569" s="230"/>
      <c r="P569" s="230"/>
    </row>
    <row r="570" spans="1:16" s="385" customFormat="1" ht="15.75">
      <c r="A570" s="29"/>
      <c r="B570" s="29"/>
      <c r="C570" s="37"/>
      <c r="D570" s="183"/>
      <c r="E570" s="29"/>
      <c r="F570" s="37"/>
      <c r="G570" s="37"/>
      <c r="H570" s="37"/>
      <c r="I570" s="310"/>
      <c r="J570" s="37"/>
      <c r="K570" s="310"/>
      <c r="L570" s="37"/>
      <c r="M570" s="27"/>
      <c r="O570" s="230"/>
      <c r="P570" s="230"/>
    </row>
    <row r="571" spans="1:16" s="385" customFormat="1" ht="15.75">
      <c r="A571" s="29"/>
      <c r="B571" s="29"/>
      <c r="C571" s="37"/>
      <c r="D571" s="183"/>
      <c r="E571" s="29"/>
      <c r="F571" s="37"/>
      <c r="G571" s="37"/>
      <c r="H571" s="37"/>
      <c r="I571" s="310"/>
      <c r="J571" s="37"/>
      <c r="K571" s="310"/>
      <c r="L571" s="37"/>
      <c r="M571" s="27"/>
      <c r="O571" s="230"/>
      <c r="P571" s="230"/>
    </row>
    <row r="572" spans="1:16" s="385" customFormat="1" ht="15.75">
      <c r="A572" s="29"/>
      <c r="B572" s="29"/>
      <c r="C572" s="37"/>
      <c r="D572" s="183"/>
      <c r="E572" s="29"/>
      <c r="F572" s="37"/>
      <c r="G572" s="37"/>
      <c r="H572" s="37"/>
      <c r="I572" s="310"/>
      <c r="J572" s="37"/>
      <c r="K572" s="310"/>
      <c r="L572" s="37"/>
      <c r="M572" s="27"/>
      <c r="O572" s="230"/>
      <c r="P572" s="230"/>
    </row>
    <row r="573" spans="1:16" s="385" customFormat="1" ht="15.75">
      <c r="A573" s="29"/>
      <c r="B573" s="29"/>
      <c r="C573" s="37"/>
      <c r="D573" s="183"/>
      <c r="E573" s="29"/>
      <c r="F573" s="37"/>
      <c r="G573" s="37"/>
      <c r="H573" s="37"/>
      <c r="I573" s="310"/>
      <c r="J573" s="37"/>
      <c r="K573" s="310"/>
      <c r="L573" s="37"/>
      <c r="M573" s="27"/>
      <c r="O573" s="230"/>
      <c r="P573" s="230"/>
    </row>
    <row r="574" spans="1:16" s="385" customFormat="1" ht="15.75">
      <c r="A574" s="29"/>
      <c r="B574" s="29"/>
      <c r="C574" s="37"/>
      <c r="D574" s="183"/>
      <c r="E574" s="29"/>
      <c r="F574" s="37"/>
      <c r="G574" s="37"/>
      <c r="H574" s="37"/>
      <c r="I574" s="310"/>
      <c r="J574" s="37"/>
      <c r="K574" s="310"/>
      <c r="L574" s="37"/>
      <c r="M574" s="27"/>
      <c r="O574" s="230"/>
      <c r="P574" s="230"/>
    </row>
    <row r="575" spans="1:16" s="385" customFormat="1" ht="15.75">
      <c r="A575" s="29"/>
      <c r="B575" s="29"/>
      <c r="C575" s="37"/>
      <c r="D575" s="183"/>
      <c r="E575" s="29"/>
      <c r="F575" s="37"/>
      <c r="G575" s="37"/>
      <c r="H575" s="37"/>
      <c r="I575" s="310"/>
      <c r="J575" s="37"/>
      <c r="K575" s="310"/>
      <c r="L575" s="37"/>
      <c r="M575" s="27"/>
      <c r="O575" s="230"/>
      <c r="P575" s="230"/>
    </row>
    <row r="576" spans="1:16" s="385" customFormat="1" ht="15.75">
      <c r="A576" s="29"/>
      <c r="B576" s="29"/>
      <c r="C576" s="37"/>
      <c r="D576" s="183"/>
      <c r="E576" s="29"/>
      <c r="F576" s="37"/>
      <c r="G576" s="37"/>
      <c r="H576" s="37"/>
      <c r="I576" s="310"/>
      <c r="J576" s="37"/>
      <c r="K576" s="310"/>
      <c r="L576" s="37"/>
      <c r="M576" s="27"/>
      <c r="O576" s="230"/>
      <c r="P576" s="230"/>
    </row>
    <row r="577" spans="1:16" s="385" customFormat="1" ht="15.75">
      <c r="A577" s="29"/>
      <c r="B577" s="29"/>
      <c r="C577" s="37"/>
      <c r="D577" s="183"/>
      <c r="E577" s="29"/>
      <c r="F577" s="37"/>
      <c r="G577" s="37"/>
      <c r="H577" s="37"/>
      <c r="I577" s="310"/>
      <c r="J577" s="37"/>
      <c r="K577" s="310"/>
      <c r="L577" s="37"/>
      <c r="M577" s="27"/>
      <c r="O577" s="230"/>
      <c r="P577" s="230"/>
    </row>
    <row r="578" spans="1:16" s="385" customFormat="1" ht="15.75">
      <c r="A578" s="29"/>
      <c r="B578" s="29"/>
      <c r="C578" s="37"/>
      <c r="D578" s="183"/>
      <c r="E578" s="29"/>
      <c r="F578" s="37"/>
      <c r="G578" s="37"/>
      <c r="H578" s="37"/>
      <c r="I578" s="310"/>
      <c r="J578" s="37"/>
      <c r="K578" s="310"/>
      <c r="L578" s="37"/>
      <c r="M578" s="27"/>
      <c r="O578" s="230"/>
      <c r="P578" s="230"/>
    </row>
    <row r="579" spans="1:16" s="385" customFormat="1" ht="15.75">
      <c r="A579" s="29"/>
      <c r="B579" s="29"/>
      <c r="C579" s="37"/>
      <c r="D579" s="183"/>
      <c r="E579" s="29"/>
      <c r="F579" s="37"/>
      <c r="G579" s="37"/>
      <c r="H579" s="37"/>
      <c r="I579" s="310"/>
      <c r="J579" s="37"/>
      <c r="K579" s="310"/>
      <c r="L579" s="37"/>
      <c r="M579" s="27"/>
      <c r="O579" s="230"/>
      <c r="P579" s="230"/>
    </row>
    <row r="580" spans="1:16" s="385" customFormat="1" ht="15.75">
      <c r="A580" s="29"/>
      <c r="B580" s="29"/>
      <c r="C580" s="37"/>
      <c r="D580" s="183"/>
      <c r="E580" s="29"/>
      <c r="F580" s="37"/>
      <c r="G580" s="37"/>
      <c r="H580" s="37"/>
      <c r="I580" s="310"/>
      <c r="J580" s="37"/>
      <c r="K580" s="310"/>
      <c r="L580" s="37"/>
      <c r="M580" s="27"/>
      <c r="O580" s="230"/>
      <c r="P580" s="230"/>
    </row>
    <row r="581" spans="1:16" s="385" customFormat="1" ht="15.75">
      <c r="A581" s="29"/>
      <c r="B581" s="29"/>
      <c r="C581" s="37"/>
      <c r="D581" s="183"/>
      <c r="E581" s="29"/>
      <c r="F581" s="37"/>
      <c r="G581" s="37"/>
      <c r="H581" s="37"/>
      <c r="I581" s="310"/>
      <c r="J581" s="37"/>
      <c r="K581" s="310"/>
      <c r="L581" s="37"/>
      <c r="M581" s="27"/>
      <c r="O581" s="230"/>
      <c r="P581" s="230"/>
    </row>
    <row r="582" spans="1:16" s="385" customFormat="1" ht="15.75">
      <c r="A582" s="29"/>
      <c r="B582" s="29"/>
      <c r="C582" s="37"/>
      <c r="D582" s="183"/>
      <c r="E582" s="29"/>
      <c r="F582" s="37"/>
      <c r="G582" s="37"/>
      <c r="H582" s="37"/>
      <c r="I582" s="310"/>
      <c r="J582" s="37"/>
      <c r="K582" s="310"/>
      <c r="L582" s="37"/>
      <c r="M582" s="27"/>
      <c r="O582" s="230"/>
      <c r="P582" s="230"/>
    </row>
    <row r="583" spans="1:16" s="385" customFormat="1" ht="15.75">
      <c r="A583" s="29"/>
      <c r="B583" s="29"/>
      <c r="C583" s="37"/>
      <c r="D583" s="183"/>
      <c r="E583" s="29"/>
      <c r="F583" s="37"/>
      <c r="G583" s="37"/>
      <c r="H583" s="37"/>
      <c r="I583" s="310"/>
      <c r="J583" s="37"/>
      <c r="K583" s="310"/>
      <c r="L583" s="37"/>
      <c r="M583" s="27"/>
      <c r="O583" s="230"/>
      <c r="P583" s="230"/>
    </row>
    <row r="584" spans="1:16" s="385" customFormat="1" ht="15.75">
      <c r="A584" s="29"/>
      <c r="B584" s="29"/>
      <c r="C584" s="37"/>
      <c r="D584" s="183"/>
      <c r="E584" s="29"/>
      <c r="F584" s="37"/>
      <c r="G584" s="37"/>
      <c r="H584" s="37"/>
      <c r="I584" s="310"/>
      <c r="J584" s="37"/>
      <c r="K584" s="310"/>
      <c r="L584" s="37"/>
      <c r="M584" s="27"/>
      <c r="O584" s="230"/>
      <c r="P584" s="230"/>
    </row>
    <row r="585" spans="1:16" s="385" customFormat="1" ht="15.75">
      <c r="A585" s="29"/>
      <c r="B585" s="29"/>
      <c r="C585" s="37"/>
      <c r="D585" s="183"/>
      <c r="E585" s="29"/>
      <c r="F585" s="37"/>
      <c r="G585" s="37"/>
      <c r="H585" s="37"/>
      <c r="I585" s="310"/>
      <c r="J585" s="37"/>
      <c r="K585" s="310"/>
      <c r="L585" s="37"/>
      <c r="M585" s="27"/>
      <c r="O585" s="230"/>
      <c r="P585" s="230"/>
    </row>
    <row r="586" spans="1:16" s="385" customFormat="1" ht="15.75">
      <c r="A586" s="29"/>
      <c r="B586" s="29"/>
      <c r="C586" s="37"/>
      <c r="D586" s="183"/>
      <c r="E586" s="29"/>
      <c r="F586" s="37"/>
      <c r="G586" s="37"/>
      <c r="H586" s="37"/>
      <c r="I586" s="310"/>
      <c r="J586" s="37"/>
      <c r="K586" s="310"/>
      <c r="L586" s="37"/>
      <c r="M586" s="27"/>
      <c r="O586" s="230"/>
      <c r="P586" s="230"/>
    </row>
    <row r="587" spans="1:16" s="385" customFormat="1" ht="15.75">
      <c r="A587" s="29"/>
      <c r="B587" s="29"/>
      <c r="C587" s="37"/>
      <c r="D587" s="183"/>
      <c r="E587" s="29"/>
      <c r="F587" s="37"/>
      <c r="G587" s="37"/>
      <c r="H587" s="37"/>
      <c r="I587" s="310"/>
      <c r="J587" s="37"/>
      <c r="K587" s="310"/>
      <c r="L587" s="37"/>
      <c r="M587" s="27"/>
      <c r="O587" s="230"/>
      <c r="P587" s="230"/>
    </row>
    <row r="588" spans="1:16" s="385" customFormat="1" ht="15.75">
      <c r="A588" s="29"/>
      <c r="B588" s="29"/>
      <c r="C588" s="37"/>
      <c r="D588" s="183"/>
      <c r="E588" s="29"/>
      <c r="F588" s="37"/>
      <c r="G588" s="37"/>
      <c r="H588" s="37"/>
      <c r="I588" s="310"/>
      <c r="J588" s="37"/>
      <c r="K588" s="310"/>
      <c r="L588" s="37"/>
      <c r="M588" s="27"/>
      <c r="O588" s="230"/>
      <c r="P588" s="230"/>
    </row>
    <row r="589" spans="1:16" s="385" customFormat="1" ht="15.75">
      <c r="A589" s="29"/>
      <c r="B589" s="29"/>
      <c r="C589" s="37"/>
      <c r="D589" s="183"/>
      <c r="E589" s="29"/>
      <c r="F589" s="37"/>
      <c r="G589" s="37"/>
      <c r="H589" s="37"/>
      <c r="I589" s="310"/>
      <c r="J589" s="37"/>
      <c r="K589" s="310"/>
      <c r="L589" s="37"/>
      <c r="M589" s="27"/>
      <c r="O589" s="230"/>
      <c r="P589" s="230"/>
    </row>
    <row r="590" spans="1:16" s="385" customFormat="1" ht="15.75">
      <c r="A590" s="29"/>
      <c r="B590" s="29"/>
      <c r="C590" s="37"/>
      <c r="D590" s="183"/>
      <c r="E590" s="29"/>
      <c r="F590" s="37"/>
      <c r="G590" s="37"/>
      <c r="H590" s="37"/>
      <c r="I590" s="310"/>
      <c r="J590" s="37"/>
      <c r="K590" s="310"/>
      <c r="L590" s="37"/>
      <c r="M590" s="27"/>
      <c r="O590" s="230"/>
      <c r="P590" s="230"/>
    </row>
    <row r="591" spans="1:16" s="385" customFormat="1" ht="15.75">
      <c r="A591" s="29"/>
      <c r="B591" s="29"/>
      <c r="C591" s="37"/>
      <c r="D591" s="183"/>
      <c r="E591" s="29"/>
      <c r="F591" s="37"/>
      <c r="G591" s="37"/>
      <c r="H591" s="37"/>
      <c r="I591" s="310"/>
      <c r="J591" s="37"/>
      <c r="K591" s="310"/>
      <c r="L591" s="37"/>
      <c r="M591" s="27"/>
      <c r="O591" s="230"/>
      <c r="P591" s="230"/>
    </row>
    <row r="592" spans="1:16" s="385" customFormat="1" ht="15.75">
      <c r="A592" s="29"/>
      <c r="B592" s="29"/>
      <c r="C592" s="37"/>
      <c r="D592" s="183"/>
      <c r="E592" s="29"/>
      <c r="F592" s="37"/>
      <c r="G592" s="37"/>
      <c r="H592" s="37"/>
      <c r="I592" s="310"/>
      <c r="J592" s="37"/>
      <c r="K592" s="310"/>
      <c r="L592" s="37"/>
      <c r="M592" s="27"/>
      <c r="O592" s="230"/>
      <c r="P592" s="230"/>
    </row>
    <row r="593" spans="1:16" s="385" customFormat="1" ht="15.75">
      <c r="A593" s="29"/>
      <c r="B593" s="29"/>
      <c r="C593" s="37"/>
      <c r="D593" s="183"/>
      <c r="E593" s="29"/>
      <c r="F593" s="37"/>
      <c r="G593" s="37"/>
      <c r="H593" s="37"/>
      <c r="I593" s="310"/>
      <c r="J593" s="37"/>
      <c r="K593" s="310"/>
      <c r="L593" s="37"/>
      <c r="M593" s="27"/>
      <c r="O593" s="230"/>
      <c r="P593" s="230"/>
    </row>
    <row r="594" spans="1:16" s="385" customFormat="1" ht="15.75">
      <c r="A594" s="29"/>
      <c r="B594" s="29"/>
      <c r="C594" s="37"/>
      <c r="D594" s="183"/>
      <c r="E594" s="29"/>
      <c r="F594" s="37"/>
      <c r="G594" s="37"/>
      <c r="H594" s="37"/>
      <c r="I594" s="310"/>
      <c r="J594" s="37"/>
      <c r="K594" s="310"/>
      <c r="L594" s="37"/>
      <c r="M594" s="27"/>
      <c r="O594" s="230"/>
      <c r="P594" s="230"/>
    </row>
    <row r="595" spans="1:16" s="385" customFormat="1" ht="15.75">
      <c r="A595" s="29"/>
      <c r="B595" s="29"/>
      <c r="C595" s="37"/>
      <c r="D595" s="183"/>
      <c r="E595" s="29"/>
      <c r="F595" s="37"/>
      <c r="G595" s="37"/>
      <c r="H595" s="37"/>
      <c r="I595" s="310"/>
      <c r="J595" s="37"/>
      <c r="K595" s="310"/>
      <c r="L595" s="37"/>
      <c r="M595" s="27"/>
      <c r="O595" s="230"/>
      <c r="P595" s="230"/>
    </row>
    <row r="596" spans="1:16" s="385" customFormat="1" ht="15.75">
      <c r="A596" s="29"/>
      <c r="B596" s="29"/>
      <c r="C596" s="37"/>
      <c r="D596" s="183"/>
      <c r="E596" s="29"/>
      <c r="F596" s="37"/>
      <c r="G596" s="37"/>
      <c r="H596" s="37"/>
      <c r="I596" s="310"/>
      <c r="J596" s="37"/>
      <c r="K596" s="310"/>
      <c r="L596" s="37"/>
      <c r="M596" s="27"/>
      <c r="O596" s="230"/>
      <c r="P596" s="230"/>
    </row>
    <row r="597" spans="1:16" s="385" customFormat="1" ht="15.75">
      <c r="A597" s="29"/>
      <c r="B597" s="29"/>
      <c r="C597" s="37"/>
      <c r="D597" s="183"/>
      <c r="E597" s="29"/>
      <c r="F597" s="37"/>
      <c r="G597" s="37"/>
      <c r="H597" s="37"/>
      <c r="I597" s="310"/>
      <c r="J597" s="37"/>
      <c r="K597" s="310"/>
      <c r="L597" s="37"/>
      <c r="M597" s="27"/>
      <c r="O597" s="230"/>
      <c r="P597" s="230"/>
    </row>
    <row r="598" spans="1:16" s="385" customFormat="1" ht="15.75">
      <c r="A598" s="29"/>
      <c r="B598" s="29"/>
      <c r="C598" s="37"/>
      <c r="D598" s="183"/>
      <c r="E598" s="29"/>
      <c r="F598" s="37"/>
      <c r="G598" s="37"/>
      <c r="H598" s="37"/>
      <c r="I598" s="310"/>
      <c r="J598" s="37"/>
      <c r="K598" s="310"/>
      <c r="L598" s="37"/>
      <c r="M598" s="27"/>
      <c r="O598" s="230"/>
      <c r="P598" s="230"/>
    </row>
    <row r="599" spans="1:16" s="385" customFormat="1" ht="15.75">
      <c r="A599" s="29"/>
      <c r="B599" s="29"/>
      <c r="C599" s="37"/>
      <c r="D599" s="183"/>
      <c r="E599" s="29"/>
      <c r="F599" s="37"/>
      <c r="G599" s="37"/>
      <c r="H599" s="37"/>
      <c r="I599" s="310"/>
      <c r="J599" s="37"/>
      <c r="K599" s="310"/>
      <c r="L599" s="37"/>
      <c r="M599" s="27"/>
      <c r="O599" s="230"/>
      <c r="P599" s="230"/>
    </row>
    <row r="600" spans="1:16" s="385" customFormat="1" ht="15.75">
      <c r="A600" s="29"/>
      <c r="B600" s="29"/>
      <c r="C600" s="37"/>
      <c r="D600" s="183"/>
      <c r="E600" s="29"/>
      <c r="F600" s="37"/>
      <c r="G600" s="37"/>
      <c r="H600" s="37"/>
      <c r="I600" s="310"/>
      <c r="J600" s="37"/>
      <c r="K600" s="310"/>
      <c r="L600" s="37"/>
      <c r="M600" s="27"/>
      <c r="O600" s="230"/>
      <c r="P600" s="230"/>
    </row>
    <row r="601" spans="1:16" s="385" customFormat="1" ht="15.75">
      <c r="A601" s="29"/>
      <c r="B601" s="29"/>
      <c r="C601" s="37"/>
      <c r="D601" s="183"/>
      <c r="E601" s="29"/>
      <c r="F601" s="37"/>
      <c r="G601" s="37"/>
      <c r="H601" s="37"/>
      <c r="I601" s="310"/>
      <c r="J601" s="37"/>
      <c r="K601" s="310"/>
      <c r="L601" s="37"/>
      <c r="M601" s="27"/>
      <c r="O601" s="230"/>
      <c r="P601" s="230"/>
    </row>
    <row r="602" spans="1:16" s="385" customFormat="1" ht="15.75">
      <c r="A602" s="29"/>
      <c r="B602" s="29"/>
      <c r="C602" s="37"/>
      <c r="D602" s="183"/>
      <c r="E602" s="29"/>
      <c r="F602" s="37"/>
      <c r="G602" s="37"/>
      <c r="H602" s="37"/>
      <c r="I602" s="310"/>
      <c r="J602" s="37"/>
      <c r="K602" s="310"/>
      <c r="L602" s="37"/>
      <c r="M602" s="27"/>
      <c r="O602" s="230"/>
      <c r="P602" s="230"/>
    </row>
    <row r="603" spans="1:16" s="385" customFormat="1" ht="15.75">
      <c r="A603" s="29"/>
      <c r="B603" s="29"/>
      <c r="C603" s="37"/>
      <c r="D603" s="183"/>
      <c r="E603" s="29"/>
      <c r="F603" s="37"/>
      <c r="G603" s="37"/>
      <c r="H603" s="37"/>
      <c r="I603" s="310"/>
      <c r="J603" s="37"/>
      <c r="K603" s="310"/>
      <c r="L603" s="37"/>
      <c r="M603" s="27"/>
      <c r="O603" s="230"/>
      <c r="P603" s="230"/>
    </row>
    <row r="604" spans="1:16" s="385" customFormat="1" ht="15.75">
      <c r="A604" s="29"/>
      <c r="B604" s="29"/>
      <c r="C604" s="37"/>
      <c r="D604" s="183"/>
      <c r="E604" s="29"/>
      <c r="F604" s="37"/>
      <c r="G604" s="37"/>
      <c r="H604" s="37"/>
      <c r="I604" s="310"/>
      <c r="J604" s="37"/>
      <c r="K604" s="310"/>
      <c r="L604" s="37"/>
      <c r="M604" s="27"/>
      <c r="O604" s="230"/>
      <c r="P604" s="230"/>
    </row>
    <row r="605" spans="1:16" s="385" customFormat="1" ht="15.75">
      <c r="A605" s="29"/>
      <c r="B605" s="29"/>
      <c r="C605" s="37"/>
      <c r="D605" s="183"/>
      <c r="E605" s="29"/>
      <c r="F605" s="37"/>
      <c r="G605" s="37"/>
      <c r="H605" s="37"/>
      <c r="I605" s="310"/>
      <c r="J605" s="37"/>
      <c r="K605" s="310"/>
      <c r="L605" s="37"/>
      <c r="M605" s="27"/>
      <c r="O605" s="230"/>
      <c r="P605" s="230"/>
    </row>
    <row r="606" spans="1:16" s="385" customFormat="1" ht="15.75">
      <c r="A606" s="29"/>
      <c r="B606" s="29"/>
      <c r="C606" s="37"/>
      <c r="D606" s="183"/>
      <c r="E606" s="29"/>
      <c r="F606" s="37"/>
      <c r="G606" s="37"/>
      <c r="H606" s="37"/>
      <c r="I606" s="310"/>
      <c r="J606" s="37"/>
      <c r="K606" s="310"/>
      <c r="L606" s="37"/>
      <c r="M606" s="27"/>
      <c r="O606" s="230"/>
      <c r="P606" s="230"/>
    </row>
    <row r="607" spans="1:16" s="385" customFormat="1" ht="15.75">
      <c r="A607" s="29"/>
      <c r="B607" s="29"/>
      <c r="C607" s="37"/>
      <c r="D607" s="183"/>
      <c r="E607" s="29"/>
      <c r="F607" s="37"/>
      <c r="G607" s="37"/>
      <c r="H607" s="37"/>
      <c r="I607" s="310"/>
      <c r="J607" s="37"/>
      <c r="K607" s="310"/>
      <c r="L607" s="37"/>
      <c r="M607" s="27"/>
      <c r="O607" s="230"/>
      <c r="P607" s="230"/>
    </row>
    <row r="608" spans="1:16" s="385" customFormat="1" ht="15.75">
      <c r="A608" s="29"/>
      <c r="B608" s="29"/>
      <c r="C608" s="37"/>
      <c r="D608" s="183"/>
      <c r="E608" s="29"/>
      <c r="F608" s="37"/>
      <c r="G608" s="37"/>
      <c r="H608" s="37"/>
      <c r="I608" s="310"/>
      <c r="J608" s="37"/>
      <c r="K608" s="310"/>
      <c r="L608" s="37"/>
      <c r="M608" s="27"/>
      <c r="O608" s="230"/>
      <c r="P608" s="230"/>
    </row>
    <row r="609" spans="1:16" s="385" customFormat="1" ht="15.75">
      <c r="A609" s="29"/>
      <c r="B609" s="29"/>
      <c r="C609" s="37"/>
      <c r="D609" s="183"/>
      <c r="E609" s="29"/>
      <c r="F609" s="37"/>
      <c r="G609" s="37"/>
      <c r="H609" s="37"/>
      <c r="I609" s="310"/>
      <c r="J609" s="37"/>
      <c r="K609" s="310"/>
      <c r="L609" s="37"/>
      <c r="M609" s="27"/>
      <c r="O609" s="230"/>
      <c r="P609" s="230"/>
    </row>
    <row r="610" spans="1:16" s="385" customFormat="1" ht="15.75">
      <c r="A610" s="29"/>
      <c r="B610" s="29"/>
      <c r="C610" s="37"/>
      <c r="D610" s="183"/>
      <c r="E610" s="29"/>
      <c r="F610" s="37"/>
      <c r="G610" s="37"/>
      <c r="H610" s="37"/>
      <c r="I610" s="310"/>
      <c r="J610" s="37"/>
      <c r="K610" s="310"/>
      <c r="L610" s="37"/>
      <c r="M610" s="27"/>
      <c r="O610" s="230"/>
      <c r="P610" s="230"/>
    </row>
    <row r="611" spans="1:16" s="385" customFormat="1" ht="15.75">
      <c r="A611" s="29"/>
      <c r="B611" s="29"/>
      <c r="C611" s="37"/>
      <c r="D611" s="183"/>
      <c r="E611" s="29"/>
      <c r="F611" s="37"/>
      <c r="G611" s="37"/>
      <c r="H611" s="37"/>
      <c r="I611" s="310"/>
      <c r="J611" s="37"/>
      <c r="K611" s="310"/>
      <c r="L611" s="37"/>
      <c r="M611" s="27"/>
      <c r="O611" s="230"/>
      <c r="P611" s="230"/>
    </row>
    <row r="612" spans="1:16" s="385" customFormat="1" ht="15.75">
      <c r="A612" s="29"/>
      <c r="B612" s="29"/>
      <c r="C612" s="37"/>
      <c r="D612" s="183"/>
      <c r="E612" s="29"/>
      <c r="F612" s="37"/>
      <c r="G612" s="37"/>
      <c r="H612" s="37"/>
      <c r="I612" s="310"/>
      <c r="J612" s="37"/>
      <c r="K612" s="310"/>
      <c r="L612" s="37"/>
      <c r="M612" s="27"/>
      <c r="O612" s="230"/>
      <c r="P612" s="230"/>
    </row>
    <row r="613" spans="1:16" s="385" customFormat="1" ht="15.75">
      <c r="A613" s="29"/>
      <c r="B613" s="29"/>
      <c r="C613" s="37"/>
      <c r="D613" s="183"/>
      <c r="E613" s="29"/>
      <c r="F613" s="37"/>
      <c r="G613" s="37"/>
      <c r="H613" s="37"/>
      <c r="I613" s="310"/>
      <c r="J613" s="37"/>
      <c r="K613" s="310"/>
      <c r="L613" s="37"/>
      <c r="M613" s="27"/>
      <c r="O613" s="230"/>
      <c r="P613" s="230"/>
    </row>
    <row r="614" spans="1:16" s="385" customFormat="1" ht="15.75">
      <c r="A614" s="29"/>
      <c r="B614" s="29"/>
      <c r="C614" s="37"/>
      <c r="D614" s="183"/>
      <c r="E614" s="29"/>
      <c r="F614" s="37"/>
      <c r="G614" s="37"/>
      <c r="H614" s="37"/>
      <c r="I614" s="310"/>
      <c r="J614" s="37"/>
      <c r="K614" s="310"/>
      <c r="L614" s="37"/>
      <c r="M614" s="27"/>
      <c r="O614" s="230"/>
      <c r="P614" s="230"/>
    </row>
    <row r="615" spans="1:16" s="385" customFormat="1" ht="15.75">
      <c r="A615" s="29"/>
      <c r="B615" s="29"/>
      <c r="C615" s="37"/>
      <c r="D615" s="183"/>
      <c r="E615" s="29"/>
      <c r="F615" s="37"/>
      <c r="G615" s="37"/>
      <c r="H615" s="37"/>
      <c r="I615" s="310"/>
      <c r="J615" s="37"/>
      <c r="K615" s="310"/>
      <c r="L615" s="37"/>
      <c r="M615" s="27"/>
      <c r="O615" s="230"/>
      <c r="P615" s="230"/>
    </row>
    <row r="616" spans="1:16" s="385" customFormat="1" ht="15.75">
      <c r="A616" s="29"/>
      <c r="B616" s="29"/>
      <c r="C616" s="37"/>
      <c r="D616" s="183"/>
      <c r="E616" s="29"/>
      <c r="F616" s="37"/>
      <c r="G616" s="37"/>
      <c r="H616" s="37"/>
      <c r="I616" s="310"/>
      <c r="J616" s="37"/>
      <c r="K616" s="310"/>
      <c r="L616" s="37"/>
      <c r="M616" s="27"/>
      <c r="O616" s="230"/>
      <c r="P616" s="230"/>
    </row>
    <row r="617" spans="1:16" s="385" customFormat="1" ht="15.75">
      <c r="A617" s="29"/>
      <c r="B617" s="29"/>
      <c r="C617" s="37"/>
      <c r="D617" s="183"/>
      <c r="E617" s="29"/>
      <c r="F617" s="37"/>
      <c r="G617" s="37"/>
      <c r="H617" s="37"/>
      <c r="I617" s="310"/>
      <c r="J617" s="37"/>
      <c r="K617" s="310"/>
      <c r="L617" s="37"/>
      <c r="M617" s="27"/>
      <c r="O617" s="230"/>
      <c r="P617" s="230"/>
    </row>
    <row r="618" spans="1:16" s="385" customFormat="1" ht="15.75">
      <c r="A618" s="29"/>
      <c r="B618" s="29"/>
      <c r="C618" s="37"/>
      <c r="D618" s="183"/>
      <c r="E618" s="29"/>
      <c r="F618" s="37"/>
      <c r="G618" s="37"/>
      <c r="H618" s="37"/>
      <c r="I618" s="310"/>
      <c r="J618" s="37"/>
      <c r="K618" s="310"/>
      <c r="L618" s="37"/>
      <c r="M618" s="27"/>
      <c r="O618" s="230"/>
      <c r="P618" s="230"/>
    </row>
    <row r="619" spans="1:16" s="385" customFormat="1" ht="15.75">
      <c r="A619" s="29"/>
      <c r="B619" s="29"/>
      <c r="C619" s="37"/>
      <c r="D619" s="183"/>
      <c r="E619" s="29"/>
      <c r="F619" s="37"/>
      <c r="G619" s="37"/>
      <c r="H619" s="37"/>
      <c r="I619" s="310"/>
      <c r="J619" s="37"/>
      <c r="K619" s="310"/>
      <c r="L619" s="37"/>
      <c r="M619" s="27"/>
      <c r="O619" s="230"/>
      <c r="P619" s="230"/>
    </row>
    <row r="620" spans="1:16" s="385" customFormat="1" ht="15.75">
      <c r="A620" s="29"/>
      <c r="B620" s="29"/>
      <c r="C620" s="37"/>
      <c r="D620" s="183"/>
      <c r="E620" s="29"/>
      <c r="F620" s="37"/>
      <c r="G620" s="37"/>
      <c r="H620" s="37"/>
      <c r="I620" s="310"/>
      <c r="J620" s="37"/>
      <c r="K620" s="310"/>
      <c r="L620" s="37"/>
      <c r="M620" s="27"/>
      <c r="O620" s="230"/>
      <c r="P620" s="230"/>
    </row>
    <row r="621" spans="1:16" s="385" customFormat="1" ht="15.75">
      <c r="A621" s="29"/>
      <c r="B621" s="29"/>
      <c r="C621" s="37"/>
      <c r="D621" s="183"/>
      <c r="E621" s="29"/>
      <c r="F621" s="37"/>
      <c r="G621" s="37"/>
      <c r="H621" s="37"/>
      <c r="I621" s="310"/>
      <c r="J621" s="37"/>
      <c r="K621" s="310"/>
      <c r="L621" s="37"/>
      <c r="M621" s="27"/>
      <c r="O621" s="230"/>
      <c r="P621" s="230"/>
    </row>
    <row r="622" spans="1:16" s="385" customFormat="1" ht="15.75">
      <c r="A622" s="29"/>
      <c r="B622" s="29"/>
      <c r="C622" s="37"/>
      <c r="D622" s="183"/>
      <c r="E622" s="29"/>
      <c r="F622" s="37"/>
      <c r="G622" s="37"/>
      <c r="H622" s="37"/>
      <c r="I622" s="310"/>
      <c r="J622" s="37"/>
      <c r="K622" s="310"/>
      <c r="L622" s="37"/>
      <c r="M622" s="27"/>
      <c r="O622" s="230"/>
      <c r="P622" s="230"/>
    </row>
    <row r="623" spans="1:16" s="385" customFormat="1" ht="15.75">
      <c r="A623" s="29"/>
      <c r="B623" s="29"/>
      <c r="C623" s="37"/>
      <c r="D623" s="183"/>
      <c r="E623" s="29"/>
      <c r="F623" s="37"/>
      <c r="G623" s="37"/>
      <c r="H623" s="37"/>
      <c r="I623" s="310"/>
      <c r="J623" s="37"/>
      <c r="K623" s="310"/>
      <c r="L623" s="37"/>
      <c r="M623" s="27"/>
      <c r="O623" s="230"/>
      <c r="P623" s="230"/>
    </row>
    <row r="624" spans="1:16" s="385" customFormat="1" ht="15.75">
      <c r="A624" s="29"/>
      <c r="B624" s="29"/>
      <c r="C624" s="37"/>
      <c r="D624" s="183"/>
      <c r="E624" s="29"/>
      <c r="F624" s="37"/>
      <c r="G624" s="37"/>
      <c r="H624" s="37"/>
      <c r="I624" s="310"/>
      <c r="J624" s="37"/>
      <c r="K624" s="310"/>
      <c r="L624" s="37"/>
      <c r="M624" s="27"/>
      <c r="O624" s="230"/>
      <c r="P624" s="230"/>
    </row>
    <row r="625" spans="1:16" s="385" customFormat="1" ht="15.75">
      <c r="A625" s="29"/>
      <c r="B625" s="29"/>
      <c r="C625" s="37"/>
      <c r="D625" s="183"/>
      <c r="E625" s="29"/>
      <c r="F625" s="37"/>
      <c r="G625" s="37"/>
      <c r="H625" s="37"/>
      <c r="I625" s="310"/>
      <c r="J625" s="37"/>
      <c r="K625" s="310"/>
      <c r="L625" s="37"/>
      <c r="M625" s="27"/>
      <c r="O625" s="230"/>
      <c r="P625" s="230"/>
    </row>
    <row r="626" spans="1:16" s="385" customFormat="1" ht="15.75">
      <c r="A626" s="29"/>
      <c r="B626" s="29"/>
      <c r="C626" s="37"/>
      <c r="D626" s="183"/>
      <c r="E626" s="29"/>
      <c r="F626" s="37"/>
      <c r="G626" s="37"/>
      <c r="H626" s="37"/>
      <c r="I626" s="310"/>
      <c r="J626" s="37"/>
      <c r="K626" s="310"/>
      <c r="L626" s="37"/>
      <c r="M626" s="27"/>
      <c r="O626" s="230"/>
      <c r="P626" s="230"/>
    </row>
    <row r="627" spans="1:16" s="385" customFormat="1" ht="15.75">
      <c r="A627" s="29"/>
      <c r="B627" s="29"/>
      <c r="C627" s="37"/>
      <c r="D627" s="183"/>
      <c r="E627" s="29"/>
      <c r="F627" s="37"/>
      <c r="G627" s="37"/>
      <c r="H627" s="37"/>
      <c r="I627" s="310"/>
      <c r="J627" s="37"/>
      <c r="K627" s="310"/>
      <c r="L627" s="37"/>
      <c r="M627" s="27"/>
      <c r="O627" s="230"/>
      <c r="P627" s="230"/>
    </row>
    <row r="628" spans="1:16" s="385" customFormat="1" ht="15.75">
      <c r="A628" s="29"/>
      <c r="B628" s="29"/>
      <c r="C628" s="37"/>
      <c r="D628" s="183"/>
      <c r="E628" s="29"/>
      <c r="F628" s="37"/>
      <c r="G628" s="37"/>
      <c r="H628" s="37"/>
      <c r="I628" s="310"/>
      <c r="J628" s="37"/>
      <c r="K628" s="310"/>
      <c r="L628" s="37"/>
      <c r="M628" s="27"/>
      <c r="O628" s="230"/>
      <c r="P628" s="230"/>
    </row>
    <row r="629" spans="1:16" s="385" customFormat="1" ht="15.75">
      <c r="A629" s="29"/>
      <c r="B629" s="29"/>
      <c r="C629" s="37"/>
      <c r="D629" s="183"/>
      <c r="E629" s="29"/>
      <c r="F629" s="37"/>
      <c r="G629" s="37"/>
      <c r="H629" s="37"/>
      <c r="I629" s="310"/>
      <c r="J629" s="37"/>
      <c r="K629" s="310"/>
      <c r="L629" s="37"/>
      <c r="M629" s="27"/>
      <c r="O629" s="230"/>
      <c r="P629" s="230"/>
    </row>
    <row r="630" spans="1:16" s="385" customFormat="1" ht="15.75">
      <c r="A630" s="29"/>
      <c r="B630" s="29"/>
      <c r="C630" s="37"/>
      <c r="D630" s="183"/>
      <c r="E630" s="29"/>
      <c r="F630" s="37"/>
      <c r="G630" s="37"/>
      <c r="H630" s="37"/>
      <c r="I630" s="310"/>
      <c r="J630" s="37"/>
      <c r="K630" s="310"/>
      <c r="L630" s="37"/>
      <c r="M630" s="27"/>
      <c r="O630" s="230"/>
      <c r="P630" s="230"/>
    </row>
    <row r="631" spans="1:16" s="385" customFormat="1" ht="15.75">
      <c r="A631" s="29"/>
      <c r="B631" s="29"/>
      <c r="C631" s="37"/>
      <c r="D631" s="183"/>
      <c r="E631" s="29"/>
      <c r="F631" s="37"/>
      <c r="G631" s="37"/>
      <c r="H631" s="37"/>
      <c r="I631" s="310"/>
      <c r="J631" s="37"/>
      <c r="K631" s="310"/>
      <c r="L631" s="37"/>
      <c r="M631" s="27"/>
      <c r="O631" s="230"/>
      <c r="P631" s="230"/>
    </row>
    <row r="632" spans="1:16" s="385" customFormat="1" ht="15.75">
      <c r="A632" s="29"/>
      <c r="B632" s="29"/>
      <c r="C632" s="37"/>
      <c r="D632" s="183"/>
      <c r="E632" s="29"/>
      <c r="F632" s="37"/>
      <c r="G632" s="37"/>
      <c r="H632" s="37"/>
      <c r="I632" s="310"/>
      <c r="J632" s="37"/>
      <c r="K632" s="310"/>
      <c r="L632" s="37"/>
      <c r="M632" s="27"/>
      <c r="O632" s="230"/>
      <c r="P632" s="230"/>
    </row>
    <row r="633" spans="1:16" s="385" customFormat="1" ht="15.75">
      <c r="A633" s="29"/>
      <c r="B633" s="29"/>
      <c r="C633" s="37"/>
      <c r="D633" s="183"/>
      <c r="E633" s="29"/>
      <c r="F633" s="37"/>
      <c r="G633" s="37"/>
      <c r="H633" s="37"/>
      <c r="I633" s="310"/>
      <c r="J633" s="37"/>
      <c r="K633" s="310"/>
      <c r="L633" s="37"/>
      <c r="M633" s="27"/>
      <c r="O633" s="230"/>
      <c r="P633" s="230"/>
    </row>
    <row r="634" spans="1:16" s="385" customFormat="1" ht="15.75">
      <c r="A634" s="29"/>
      <c r="B634" s="29"/>
      <c r="C634" s="37"/>
      <c r="D634" s="183"/>
      <c r="E634" s="29"/>
      <c r="F634" s="37"/>
      <c r="G634" s="37"/>
      <c r="H634" s="37"/>
      <c r="I634" s="310"/>
      <c r="J634" s="37"/>
      <c r="K634" s="310"/>
      <c r="L634" s="37"/>
      <c r="M634" s="27"/>
      <c r="O634" s="230"/>
      <c r="P634" s="230"/>
    </row>
    <row r="635" spans="1:16" s="385" customFormat="1" ht="15.75">
      <c r="A635" s="29"/>
      <c r="B635" s="29"/>
      <c r="C635" s="37"/>
      <c r="D635" s="183"/>
      <c r="E635" s="29"/>
      <c r="F635" s="37"/>
      <c r="G635" s="37"/>
      <c r="H635" s="37"/>
      <c r="I635" s="310"/>
      <c r="J635" s="37"/>
      <c r="K635" s="310"/>
      <c r="L635" s="37"/>
      <c r="M635" s="27"/>
      <c r="O635" s="230"/>
      <c r="P635" s="230"/>
    </row>
    <row r="636" spans="1:16" s="385" customFormat="1" ht="15.75">
      <c r="A636" s="29"/>
      <c r="B636" s="29"/>
      <c r="C636" s="37"/>
      <c r="D636" s="183"/>
      <c r="E636" s="29"/>
      <c r="F636" s="37"/>
      <c r="G636" s="37"/>
      <c r="H636" s="37"/>
      <c r="I636" s="310"/>
      <c r="J636" s="37"/>
      <c r="K636" s="310"/>
      <c r="L636" s="37"/>
      <c r="M636" s="27"/>
      <c r="O636" s="230"/>
      <c r="P636" s="230"/>
    </row>
    <row r="637" spans="1:16" s="385" customFormat="1" ht="15.75">
      <c r="A637" s="29"/>
      <c r="B637" s="29"/>
      <c r="C637" s="37"/>
      <c r="D637" s="183"/>
      <c r="E637" s="29"/>
      <c r="F637" s="37"/>
      <c r="G637" s="37"/>
      <c r="H637" s="37"/>
      <c r="I637" s="310"/>
      <c r="J637" s="37"/>
      <c r="K637" s="310"/>
      <c r="L637" s="37"/>
      <c r="M637" s="27"/>
      <c r="O637" s="230"/>
      <c r="P637" s="230"/>
    </row>
    <row r="638" spans="1:16" s="385" customFormat="1" ht="15.75">
      <c r="A638" s="29"/>
      <c r="B638" s="29"/>
      <c r="C638" s="37"/>
      <c r="D638" s="183"/>
      <c r="E638" s="29"/>
      <c r="F638" s="37"/>
      <c r="G638" s="37"/>
      <c r="H638" s="37"/>
      <c r="I638" s="310"/>
      <c r="J638" s="37"/>
      <c r="K638" s="310"/>
      <c r="L638" s="37"/>
      <c r="M638" s="27"/>
      <c r="O638" s="230"/>
      <c r="P638" s="230"/>
    </row>
    <row r="639" spans="1:16" s="385" customFormat="1" ht="15.75">
      <c r="A639" s="29"/>
      <c r="B639" s="29"/>
      <c r="C639" s="37"/>
      <c r="D639" s="183"/>
      <c r="E639" s="29"/>
      <c r="F639" s="37"/>
      <c r="G639" s="37"/>
      <c r="H639" s="37"/>
      <c r="I639" s="310"/>
      <c r="J639" s="37"/>
      <c r="K639" s="310"/>
      <c r="L639" s="37"/>
      <c r="M639" s="27"/>
      <c r="O639" s="230"/>
      <c r="P639" s="230"/>
    </row>
    <row r="640" spans="1:16" s="385" customFormat="1" ht="15.75">
      <c r="A640" s="29"/>
      <c r="B640" s="29"/>
      <c r="C640" s="37"/>
      <c r="D640" s="183"/>
      <c r="E640" s="29"/>
      <c r="F640" s="37"/>
      <c r="G640" s="37"/>
      <c r="H640" s="37"/>
      <c r="I640" s="310"/>
      <c r="J640" s="37"/>
      <c r="K640" s="310"/>
      <c r="L640" s="37"/>
      <c r="M640" s="27"/>
      <c r="O640" s="230"/>
      <c r="P640" s="230"/>
    </row>
    <row r="641" spans="1:16" s="385" customFormat="1" ht="15.75">
      <c r="A641" s="29"/>
      <c r="B641" s="29"/>
      <c r="C641" s="37"/>
      <c r="D641" s="183"/>
      <c r="E641" s="29"/>
      <c r="F641" s="37"/>
      <c r="G641" s="37"/>
      <c r="H641" s="37"/>
      <c r="I641" s="310"/>
      <c r="J641" s="37"/>
      <c r="K641" s="310"/>
      <c r="L641" s="37"/>
      <c r="M641" s="27"/>
      <c r="O641" s="230"/>
      <c r="P641" s="230"/>
    </row>
    <row r="642" spans="1:16" s="385" customFormat="1" ht="15.75">
      <c r="A642" s="29"/>
      <c r="B642" s="29"/>
      <c r="C642" s="37"/>
      <c r="D642" s="183"/>
      <c r="E642" s="29"/>
      <c r="F642" s="37"/>
      <c r="G642" s="37"/>
      <c r="H642" s="37"/>
      <c r="I642" s="310"/>
      <c r="J642" s="37"/>
      <c r="K642" s="310"/>
      <c r="L642" s="37"/>
      <c r="M642" s="27"/>
      <c r="O642" s="230"/>
      <c r="P642" s="230"/>
    </row>
    <row r="643" spans="1:16" s="385" customFormat="1" ht="15.75">
      <c r="A643" s="29"/>
      <c r="B643" s="29"/>
      <c r="C643" s="37"/>
      <c r="D643" s="183"/>
      <c r="E643" s="29"/>
      <c r="F643" s="37"/>
      <c r="G643" s="37"/>
      <c r="H643" s="37"/>
      <c r="I643" s="310"/>
      <c r="J643" s="37"/>
      <c r="K643" s="310"/>
      <c r="L643" s="37"/>
      <c r="M643" s="27"/>
      <c r="O643" s="230"/>
      <c r="P643" s="230"/>
    </row>
    <row r="644" spans="1:16" s="385" customFormat="1" ht="15.75">
      <c r="A644" s="29"/>
      <c r="B644" s="29"/>
      <c r="C644" s="37"/>
      <c r="D644" s="183"/>
      <c r="E644" s="29"/>
      <c r="F644" s="37"/>
      <c r="G644" s="37"/>
      <c r="H644" s="37"/>
      <c r="I644" s="310"/>
      <c r="J644" s="37"/>
      <c r="K644" s="310"/>
      <c r="L644" s="37"/>
      <c r="M644" s="27"/>
      <c r="O644" s="230"/>
      <c r="P644" s="230"/>
    </row>
    <row r="645" spans="1:16" s="385" customFormat="1" ht="15.75">
      <c r="A645" s="29"/>
      <c r="B645" s="29"/>
      <c r="C645" s="37"/>
      <c r="D645" s="183"/>
      <c r="E645" s="29"/>
      <c r="F645" s="37"/>
      <c r="G645" s="37"/>
      <c r="H645" s="37"/>
      <c r="I645" s="310"/>
      <c r="J645" s="37"/>
      <c r="K645" s="310"/>
      <c r="L645" s="37"/>
      <c r="M645" s="27"/>
      <c r="O645" s="230"/>
      <c r="P645" s="230"/>
    </row>
    <row r="646" spans="1:16" s="385" customFormat="1" ht="15.75">
      <c r="A646" s="29"/>
      <c r="B646" s="29"/>
      <c r="C646" s="37"/>
      <c r="D646" s="183"/>
      <c r="E646" s="29"/>
      <c r="F646" s="37"/>
      <c r="G646" s="37"/>
      <c r="H646" s="37"/>
      <c r="I646" s="310"/>
      <c r="J646" s="37"/>
      <c r="K646" s="310"/>
      <c r="L646" s="37"/>
      <c r="M646" s="27"/>
      <c r="O646" s="230"/>
      <c r="P646" s="230"/>
    </row>
    <row r="647" spans="1:16" s="385" customFormat="1" ht="15.75">
      <c r="A647" s="29"/>
      <c r="B647" s="29"/>
      <c r="C647" s="37"/>
      <c r="D647" s="183"/>
      <c r="E647" s="29"/>
      <c r="F647" s="37"/>
      <c r="G647" s="37"/>
      <c r="H647" s="37"/>
      <c r="I647" s="310"/>
      <c r="J647" s="37"/>
      <c r="K647" s="310"/>
      <c r="L647" s="37"/>
      <c r="M647" s="27"/>
      <c r="O647" s="230"/>
      <c r="P647" s="230"/>
    </row>
    <row r="648" spans="1:16" s="385" customFormat="1" ht="15.75">
      <c r="A648" s="29"/>
      <c r="B648" s="29"/>
      <c r="C648" s="37"/>
      <c r="D648" s="183"/>
      <c r="E648" s="29"/>
      <c r="F648" s="37"/>
      <c r="G648" s="37"/>
      <c r="H648" s="37"/>
      <c r="I648" s="310"/>
      <c r="J648" s="37"/>
      <c r="K648" s="310"/>
      <c r="L648" s="37"/>
      <c r="M648" s="27"/>
      <c r="O648" s="230"/>
      <c r="P648" s="230"/>
    </row>
    <row r="649" spans="1:16" s="385" customFormat="1" ht="15.75">
      <c r="A649" s="29"/>
      <c r="B649" s="29"/>
      <c r="C649" s="37"/>
      <c r="D649" s="183"/>
      <c r="E649" s="29"/>
      <c r="F649" s="37"/>
      <c r="G649" s="37"/>
      <c r="H649" s="37"/>
      <c r="I649" s="310"/>
      <c r="J649" s="37"/>
      <c r="K649" s="310"/>
      <c r="L649" s="37"/>
      <c r="M649" s="27"/>
      <c r="O649" s="230"/>
      <c r="P649" s="230"/>
    </row>
    <row r="650" spans="1:16" s="385" customFormat="1" ht="15.75">
      <c r="A650" s="29"/>
      <c r="B650" s="29"/>
      <c r="C650" s="37"/>
      <c r="D650" s="183"/>
      <c r="E650" s="29"/>
      <c r="F650" s="37"/>
      <c r="G650" s="37"/>
      <c r="H650" s="37"/>
      <c r="I650" s="310"/>
      <c r="J650" s="37"/>
      <c r="K650" s="310"/>
      <c r="L650" s="37"/>
      <c r="M650" s="27"/>
      <c r="O650" s="230"/>
      <c r="P650" s="230"/>
    </row>
    <row r="651" spans="1:16" s="385" customFormat="1" ht="15.75">
      <c r="A651" s="29"/>
      <c r="B651" s="29"/>
      <c r="C651" s="37"/>
      <c r="D651" s="183"/>
      <c r="E651" s="29"/>
      <c r="F651" s="37"/>
      <c r="G651" s="37"/>
      <c r="H651" s="37"/>
      <c r="I651" s="310"/>
      <c r="J651" s="37"/>
      <c r="K651" s="310"/>
      <c r="L651" s="37"/>
      <c r="M651" s="27"/>
      <c r="O651" s="230"/>
      <c r="P651" s="230"/>
    </row>
    <row r="652" spans="1:16" s="385" customFormat="1" ht="15.75">
      <c r="A652" s="29"/>
      <c r="B652" s="29"/>
      <c r="C652" s="37"/>
      <c r="D652" s="183"/>
      <c r="E652" s="29"/>
      <c r="F652" s="37"/>
      <c r="G652" s="37"/>
      <c r="H652" s="37"/>
      <c r="I652" s="310"/>
      <c r="J652" s="37"/>
      <c r="K652" s="310"/>
      <c r="L652" s="37"/>
      <c r="M652" s="27"/>
      <c r="O652" s="230"/>
      <c r="P652" s="230"/>
    </row>
    <row r="653" spans="1:16" s="385" customFormat="1" ht="15.75">
      <c r="A653" s="29"/>
      <c r="B653" s="29"/>
      <c r="C653" s="37"/>
      <c r="D653" s="183"/>
      <c r="E653" s="29"/>
      <c r="F653" s="37"/>
      <c r="G653" s="37"/>
      <c r="H653" s="37"/>
      <c r="I653" s="310"/>
      <c r="J653" s="37"/>
      <c r="K653" s="310"/>
      <c r="L653" s="37"/>
      <c r="M653" s="27"/>
      <c r="O653" s="230"/>
      <c r="P653" s="230"/>
    </row>
    <row r="654" spans="1:16" s="385" customFormat="1" ht="15.75">
      <c r="A654" s="29"/>
      <c r="B654" s="29"/>
      <c r="C654" s="37"/>
      <c r="D654" s="183"/>
      <c r="E654" s="29"/>
      <c r="F654" s="37"/>
      <c r="G654" s="37"/>
      <c r="H654" s="37"/>
      <c r="I654" s="310"/>
      <c r="J654" s="37"/>
      <c r="K654" s="310"/>
      <c r="L654" s="37"/>
      <c r="M654" s="27"/>
      <c r="O654" s="230"/>
      <c r="P654" s="230"/>
    </row>
    <row r="655" spans="1:16" s="385" customFormat="1" ht="15.75">
      <c r="A655" s="29"/>
      <c r="B655" s="29"/>
      <c r="C655" s="37"/>
      <c r="D655" s="183"/>
      <c r="E655" s="29"/>
      <c r="F655" s="37"/>
      <c r="G655" s="37"/>
      <c r="H655" s="37"/>
      <c r="I655" s="310"/>
      <c r="J655" s="37"/>
      <c r="K655" s="310"/>
      <c r="L655" s="37"/>
      <c r="M655" s="27"/>
      <c r="O655" s="230"/>
      <c r="P655" s="230"/>
    </row>
    <row r="656" spans="1:16" s="385" customFormat="1" ht="15.75">
      <c r="A656" s="29"/>
      <c r="B656" s="29"/>
      <c r="C656" s="37"/>
      <c r="D656" s="183"/>
      <c r="E656" s="29"/>
      <c r="F656" s="37"/>
      <c r="G656" s="37"/>
      <c r="H656" s="37"/>
      <c r="I656" s="310"/>
      <c r="J656" s="37"/>
      <c r="K656" s="310"/>
      <c r="L656" s="37"/>
      <c r="M656" s="27"/>
      <c r="O656" s="230"/>
      <c r="P656" s="230"/>
    </row>
    <row r="657" spans="1:16" s="385" customFormat="1" ht="15.75">
      <c r="A657" s="29"/>
      <c r="B657" s="29"/>
      <c r="C657" s="37"/>
      <c r="D657" s="183"/>
      <c r="E657" s="29"/>
      <c r="F657" s="37"/>
      <c r="G657" s="37"/>
      <c r="H657" s="37"/>
      <c r="I657" s="310"/>
      <c r="J657" s="37"/>
      <c r="K657" s="310"/>
      <c r="L657" s="37"/>
      <c r="M657" s="27"/>
      <c r="O657" s="230"/>
      <c r="P657" s="230"/>
    </row>
    <row r="658" spans="1:16" s="385" customFormat="1" ht="15.75">
      <c r="A658" s="29"/>
      <c r="B658" s="29"/>
      <c r="C658" s="37"/>
      <c r="D658" s="183"/>
      <c r="E658" s="29"/>
      <c r="F658" s="37"/>
      <c r="G658" s="37"/>
      <c r="H658" s="37"/>
      <c r="I658" s="310"/>
      <c r="J658" s="37"/>
      <c r="K658" s="310"/>
      <c r="L658" s="37"/>
      <c r="M658" s="27"/>
      <c r="O658" s="230"/>
      <c r="P658" s="230"/>
    </row>
    <row r="659" spans="1:16" s="385" customFormat="1" ht="15.75">
      <c r="A659" s="29"/>
      <c r="B659" s="29"/>
      <c r="C659" s="37"/>
      <c r="D659" s="183"/>
      <c r="E659" s="29"/>
      <c r="F659" s="37"/>
      <c r="G659" s="37"/>
      <c r="H659" s="37"/>
      <c r="I659" s="310"/>
      <c r="J659" s="37"/>
      <c r="K659" s="310"/>
      <c r="L659" s="37"/>
      <c r="M659" s="27"/>
      <c r="O659" s="230"/>
      <c r="P659" s="230"/>
    </row>
    <row r="660" spans="1:16" s="385" customFormat="1" ht="15.75">
      <c r="A660" s="29"/>
      <c r="B660" s="29"/>
      <c r="C660" s="37"/>
      <c r="D660" s="183"/>
      <c r="E660" s="29"/>
      <c r="F660" s="37"/>
      <c r="G660" s="37"/>
      <c r="H660" s="37"/>
      <c r="I660" s="310"/>
      <c r="J660" s="37"/>
      <c r="K660" s="310"/>
      <c r="L660" s="37"/>
      <c r="M660" s="27"/>
      <c r="O660" s="230"/>
      <c r="P660" s="230"/>
    </row>
    <row r="661" spans="1:16" s="385" customFormat="1" ht="15.75">
      <c r="A661" s="29"/>
      <c r="B661" s="29"/>
      <c r="C661" s="37"/>
      <c r="D661" s="183"/>
      <c r="E661" s="29"/>
      <c r="F661" s="37"/>
      <c r="G661" s="37"/>
      <c r="H661" s="37"/>
      <c r="I661" s="310"/>
      <c r="J661" s="37"/>
      <c r="K661" s="310"/>
      <c r="L661" s="37"/>
      <c r="M661" s="27"/>
      <c r="O661" s="230"/>
      <c r="P661" s="230"/>
    </row>
    <row r="662" spans="1:16" s="385" customFormat="1" ht="15.75">
      <c r="A662" s="29"/>
      <c r="B662" s="29"/>
      <c r="C662" s="37"/>
      <c r="D662" s="183"/>
      <c r="E662" s="29"/>
      <c r="F662" s="37"/>
      <c r="G662" s="37"/>
      <c r="H662" s="37"/>
      <c r="I662" s="310"/>
      <c r="J662" s="37"/>
      <c r="K662" s="310"/>
      <c r="L662" s="37"/>
      <c r="M662" s="27"/>
      <c r="O662" s="230"/>
      <c r="P662" s="230"/>
    </row>
    <row r="663" spans="1:16" s="385" customFormat="1" ht="15.75">
      <c r="A663" s="29"/>
      <c r="B663" s="29"/>
      <c r="C663" s="37"/>
      <c r="D663" s="183"/>
      <c r="E663" s="29"/>
      <c r="F663" s="37"/>
      <c r="G663" s="37"/>
      <c r="H663" s="37"/>
      <c r="I663" s="310"/>
      <c r="J663" s="37"/>
      <c r="K663" s="310"/>
      <c r="L663" s="37"/>
      <c r="M663" s="27"/>
      <c r="O663" s="230"/>
      <c r="P663" s="230"/>
    </row>
    <row r="664" spans="1:16" s="385" customFormat="1" ht="15.75">
      <c r="A664" s="29"/>
      <c r="B664" s="29"/>
      <c r="C664" s="37"/>
      <c r="D664" s="183"/>
      <c r="E664" s="29"/>
      <c r="F664" s="37"/>
      <c r="G664" s="37"/>
      <c r="H664" s="37"/>
      <c r="I664" s="310"/>
      <c r="J664" s="37"/>
      <c r="K664" s="310"/>
      <c r="L664" s="37"/>
      <c r="M664" s="27"/>
      <c r="O664" s="230"/>
      <c r="P664" s="230"/>
    </row>
    <row r="665" spans="1:16" s="385" customFormat="1" ht="15.75">
      <c r="A665" s="29"/>
      <c r="B665" s="29"/>
      <c r="C665" s="37"/>
      <c r="D665" s="183"/>
      <c r="E665" s="29"/>
      <c r="F665" s="37"/>
      <c r="G665" s="37"/>
      <c r="H665" s="37"/>
      <c r="I665" s="310"/>
      <c r="J665" s="37"/>
      <c r="K665" s="310"/>
      <c r="L665" s="37"/>
      <c r="M665" s="27"/>
      <c r="O665" s="230"/>
      <c r="P665" s="230"/>
    </row>
    <row r="666" spans="1:16" s="385" customFormat="1" ht="15.75">
      <c r="A666" s="29"/>
      <c r="B666" s="29"/>
      <c r="C666" s="37"/>
      <c r="D666" s="183"/>
      <c r="E666" s="29"/>
      <c r="F666" s="37"/>
      <c r="G666" s="37"/>
      <c r="H666" s="37"/>
      <c r="I666" s="310"/>
      <c r="J666" s="37"/>
      <c r="K666" s="310"/>
      <c r="L666" s="37"/>
      <c r="M666" s="27"/>
      <c r="O666" s="230"/>
      <c r="P666" s="230"/>
    </row>
    <row r="667" spans="1:16" s="385" customFormat="1" ht="15.75">
      <c r="A667" s="29"/>
      <c r="B667" s="29"/>
      <c r="C667" s="37"/>
      <c r="D667" s="183"/>
      <c r="E667" s="29"/>
      <c r="F667" s="37"/>
      <c r="G667" s="37"/>
      <c r="H667" s="37"/>
      <c r="I667" s="310"/>
      <c r="J667" s="37"/>
      <c r="K667" s="310"/>
      <c r="L667" s="37"/>
      <c r="M667" s="27"/>
      <c r="O667" s="230"/>
      <c r="P667" s="230"/>
    </row>
    <row r="668" spans="1:16" s="385" customFormat="1" ht="15.75">
      <c r="A668" s="29"/>
      <c r="B668" s="29"/>
      <c r="C668" s="37"/>
      <c r="D668" s="183"/>
      <c r="E668" s="29"/>
      <c r="F668" s="37"/>
      <c r="G668" s="37"/>
      <c r="H668" s="37"/>
      <c r="I668" s="310"/>
      <c r="J668" s="37"/>
      <c r="K668" s="310"/>
      <c r="L668" s="37"/>
      <c r="M668" s="27"/>
      <c r="O668" s="230"/>
      <c r="P668" s="230"/>
    </row>
    <row r="669" spans="1:16" s="385" customFormat="1" ht="15.75">
      <c r="A669" s="29"/>
      <c r="B669" s="29"/>
      <c r="C669" s="37"/>
      <c r="D669" s="183"/>
      <c r="E669" s="29"/>
      <c r="F669" s="37"/>
      <c r="G669" s="37"/>
      <c r="H669" s="37"/>
      <c r="I669" s="310"/>
      <c r="J669" s="37"/>
      <c r="K669" s="310"/>
      <c r="L669" s="37"/>
      <c r="M669" s="27"/>
      <c r="O669" s="230"/>
      <c r="P669" s="230"/>
    </row>
    <row r="670" spans="1:16" s="385" customFormat="1" ht="15.75">
      <c r="A670" s="29"/>
      <c r="B670" s="29"/>
      <c r="C670" s="37"/>
      <c r="D670" s="183"/>
      <c r="E670" s="29"/>
      <c r="F670" s="37"/>
      <c r="G670" s="37"/>
      <c r="H670" s="37"/>
      <c r="I670" s="310"/>
      <c r="J670" s="37"/>
      <c r="K670" s="310"/>
      <c r="L670" s="37"/>
      <c r="M670" s="27"/>
      <c r="O670" s="230"/>
      <c r="P670" s="230"/>
    </row>
    <row r="671" spans="1:16" s="385" customFormat="1" ht="15.75">
      <c r="A671" s="29"/>
      <c r="B671" s="29"/>
      <c r="C671" s="37"/>
      <c r="D671" s="183"/>
      <c r="E671" s="29"/>
      <c r="F671" s="37"/>
      <c r="G671" s="37"/>
      <c r="H671" s="37"/>
      <c r="I671" s="310"/>
      <c r="J671" s="37"/>
      <c r="K671" s="310"/>
      <c r="L671" s="37"/>
      <c r="M671" s="27"/>
      <c r="O671" s="230"/>
      <c r="P671" s="230"/>
    </row>
    <row r="672" spans="1:16" s="385" customFormat="1" ht="15.75">
      <c r="A672" s="29"/>
      <c r="B672" s="29"/>
      <c r="C672" s="37"/>
      <c r="D672" s="183"/>
      <c r="E672" s="29"/>
      <c r="F672" s="37"/>
      <c r="G672" s="37"/>
      <c r="H672" s="37"/>
      <c r="I672" s="310"/>
      <c r="J672" s="37"/>
      <c r="K672" s="310"/>
      <c r="L672" s="37"/>
      <c r="M672" s="27"/>
      <c r="O672" s="230"/>
      <c r="P672" s="230"/>
    </row>
    <row r="673" spans="1:16" s="385" customFormat="1" ht="15.75">
      <c r="A673" s="29"/>
      <c r="B673" s="29"/>
      <c r="C673" s="37"/>
      <c r="D673" s="183"/>
      <c r="E673" s="29"/>
      <c r="F673" s="37"/>
      <c r="G673" s="37"/>
      <c r="H673" s="37"/>
      <c r="I673" s="310"/>
      <c r="J673" s="37"/>
      <c r="K673" s="310"/>
      <c r="L673" s="37"/>
      <c r="M673" s="27"/>
      <c r="O673" s="230"/>
      <c r="P673" s="230"/>
    </row>
    <row r="674" spans="1:16" s="385" customFormat="1" ht="15.75">
      <c r="A674" s="29"/>
      <c r="B674" s="29"/>
      <c r="C674" s="37"/>
      <c r="D674" s="183"/>
      <c r="E674" s="29"/>
      <c r="F674" s="37"/>
      <c r="G674" s="37"/>
      <c r="H674" s="37"/>
      <c r="I674" s="310"/>
      <c r="J674" s="37"/>
      <c r="K674" s="310"/>
      <c r="L674" s="37"/>
      <c r="M674" s="27"/>
      <c r="O674" s="230"/>
      <c r="P674" s="230"/>
    </row>
    <row r="675" spans="1:16" s="385" customFormat="1" ht="15.75">
      <c r="A675" s="29"/>
      <c r="B675" s="29"/>
      <c r="C675" s="37"/>
      <c r="D675" s="183"/>
      <c r="E675" s="29"/>
      <c r="F675" s="37"/>
      <c r="G675" s="37"/>
      <c r="H675" s="37"/>
      <c r="I675" s="310"/>
      <c r="J675" s="37"/>
      <c r="K675" s="310"/>
      <c r="L675" s="37"/>
      <c r="M675" s="27"/>
      <c r="O675" s="230"/>
      <c r="P675" s="230"/>
    </row>
    <row r="676" spans="1:16" s="385" customFormat="1" ht="15.75">
      <c r="A676" s="29"/>
      <c r="B676" s="29"/>
      <c r="C676" s="37"/>
      <c r="D676" s="183"/>
      <c r="E676" s="29"/>
      <c r="F676" s="37"/>
      <c r="G676" s="37"/>
      <c r="H676" s="37"/>
      <c r="I676" s="310"/>
      <c r="J676" s="37"/>
      <c r="K676" s="310"/>
      <c r="L676" s="37"/>
      <c r="M676" s="27"/>
      <c r="O676" s="230"/>
      <c r="P676" s="230"/>
    </row>
    <row r="677" spans="1:16" s="385" customFormat="1" ht="15.75">
      <c r="A677" s="29"/>
      <c r="B677" s="29"/>
      <c r="C677" s="37"/>
      <c r="D677" s="183"/>
      <c r="E677" s="29"/>
      <c r="F677" s="37"/>
      <c r="G677" s="37"/>
      <c r="H677" s="37"/>
      <c r="I677" s="310"/>
      <c r="J677" s="37"/>
      <c r="K677" s="310"/>
      <c r="L677" s="37"/>
      <c r="M677" s="27"/>
      <c r="O677" s="230"/>
      <c r="P677" s="230"/>
    </row>
    <row r="678" spans="1:16" s="385" customFormat="1" ht="15.75">
      <c r="A678" s="29"/>
      <c r="B678" s="29"/>
      <c r="C678" s="37"/>
      <c r="D678" s="183"/>
      <c r="E678" s="29"/>
      <c r="F678" s="37"/>
      <c r="G678" s="37"/>
      <c r="H678" s="37"/>
      <c r="I678" s="310"/>
      <c r="J678" s="37"/>
      <c r="K678" s="310"/>
      <c r="L678" s="37"/>
      <c r="M678" s="27"/>
      <c r="O678" s="230"/>
      <c r="P678" s="230"/>
    </row>
    <row r="679" spans="1:16" s="385" customFormat="1" ht="15.75">
      <c r="A679" s="29"/>
      <c r="B679" s="29"/>
      <c r="C679" s="37"/>
      <c r="D679" s="183"/>
      <c r="E679" s="29"/>
      <c r="F679" s="37"/>
      <c r="G679" s="37"/>
      <c r="H679" s="37"/>
      <c r="I679" s="310"/>
      <c r="J679" s="37"/>
      <c r="K679" s="310"/>
      <c r="L679" s="37"/>
      <c r="M679" s="27"/>
      <c r="O679" s="230"/>
      <c r="P679" s="230"/>
    </row>
    <row r="680" spans="1:16" s="385" customFormat="1" ht="15.75">
      <c r="A680" s="29"/>
      <c r="B680" s="29"/>
      <c r="C680" s="37"/>
      <c r="D680" s="183"/>
      <c r="E680" s="29"/>
      <c r="F680" s="37"/>
      <c r="G680" s="37"/>
      <c r="H680" s="37"/>
      <c r="I680" s="310"/>
      <c r="J680" s="37"/>
      <c r="K680" s="310"/>
      <c r="L680" s="37"/>
      <c r="M680" s="27"/>
      <c r="O680" s="230"/>
      <c r="P680" s="230"/>
    </row>
    <row r="681" spans="1:16" s="385" customFormat="1" ht="15.75">
      <c r="A681" s="29"/>
      <c r="B681" s="29"/>
      <c r="C681" s="37"/>
      <c r="D681" s="183"/>
      <c r="E681" s="29"/>
      <c r="F681" s="37"/>
      <c r="G681" s="37"/>
      <c r="H681" s="37"/>
      <c r="I681" s="310"/>
      <c r="J681" s="37"/>
      <c r="K681" s="310"/>
      <c r="L681" s="37"/>
      <c r="M681" s="27"/>
      <c r="O681" s="230"/>
      <c r="P681" s="230"/>
    </row>
    <row r="682" spans="1:16" s="385" customFormat="1" ht="15.75">
      <c r="A682" s="29"/>
      <c r="B682" s="29"/>
      <c r="C682" s="37"/>
      <c r="D682" s="183"/>
      <c r="E682" s="29"/>
      <c r="F682" s="37"/>
      <c r="G682" s="37"/>
      <c r="H682" s="37"/>
      <c r="I682" s="310"/>
      <c r="J682" s="37"/>
      <c r="K682" s="310"/>
      <c r="L682" s="37"/>
      <c r="M682" s="27"/>
      <c r="O682" s="230"/>
      <c r="P682" s="230"/>
    </row>
    <row r="683" spans="1:16" s="385" customFormat="1" ht="15.75">
      <c r="A683" s="29"/>
      <c r="B683" s="29"/>
      <c r="C683" s="37"/>
      <c r="D683" s="183"/>
      <c r="E683" s="29"/>
      <c r="F683" s="37"/>
      <c r="G683" s="37"/>
      <c r="H683" s="37"/>
      <c r="I683" s="310"/>
      <c r="J683" s="37"/>
      <c r="K683" s="310"/>
      <c r="L683" s="37"/>
      <c r="M683" s="27"/>
      <c r="O683" s="230"/>
      <c r="P683" s="230"/>
    </row>
    <row r="684" spans="1:16" s="385" customFormat="1" ht="15.75">
      <c r="A684" s="29"/>
      <c r="B684" s="29"/>
      <c r="C684" s="37"/>
      <c r="D684" s="183"/>
      <c r="E684" s="29"/>
      <c r="F684" s="37"/>
      <c r="G684" s="37"/>
      <c r="H684" s="37"/>
      <c r="I684" s="310"/>
      <c r="J684" s="37"/>
      <c r="K684" s="310"/>
      <c r="L684" s="37"/>
      <c r="M684" s="27"/>
      <c r="O684" s="230"/>
      <c r="P684" s="230"/>
    </row>
    <row r="685" spans="1:16" s="385" customFormat="1" ht="15.75">
      <c r="A685" s="29"/>
      <c r="B685" s="29"/>
      <c r="C685" s="37"/>
      <c r="D685" s="183"/>
      <c r="E685" s="29"/>
      <c r="F685" s="37"/>
      <c r="G685" s="37"/>
      <c r="H685" s="37"/>
      <c r="I685" s="310"/>
      <c r="J685" s="37"/>
      <c r="K685" s="310"/>
      <c r="L685" s="37"/>
      <c r="M685" s="27"/>
      <c r="O685" s="230"/>
      <c r="P685" s="230"/>
    </row>
    <row r="686" spans="1:16" s="385" customFormat="1" ht="15.75">
      <c r="A686" s="29"/>
      <c r="B686" s="29"/>
      <c r="C686" s="37"/>
      <c r="D686" s="183"/>
      <c r="E686" s="29"/>
      <c r="F686" s="37"/>
      <c r="G686" s="37"/>
      <c r="H686" s="37"/>
      <c r="I686" s="310"/>
      <c r="J686" s="37"/>
      <c r="K686" s="310"/>
      <c r="L686" s="37"/>
      <c r="M686" s="27"/>
      <c r="O686" s="230"/>
      <c r="P686" s="230"/>
    </row>
    <row r="687" spans="1:16" s="385" customFormat="1" ht="15.75">
      <c r="A687" s="29"/>
      <c r="B687" s="29"/>
      <c r="C687" s="37"/>
      <c r="D687" s="183"/>
      <c r="E687" s="29"/>
      <c r="F687" s="37"/>
      <c r="G687" s="37"/>
      <c r="H687" s="37"/>
      <c r="I687" s="310"/>
      <c r="J687" s="37"/>
      <c r="K687" s="310"/>
      <c r="L687" s="37"/>
      <c r="M687" s="27"/>
      <c r="O687" s="230"/>
      <c r="P687" s="230"/>
    </row>
    <row r="688" spans="1:16" s="385" customFormat="1" ht="15.75">
      <c r="A688" s="29"/>
      <c r="B688" s="29"/>
      <c r="C688" s="37"/>
      <c r="D688" s="183"/>
      <c r="E688" s="29"/>
      <c r="F688" s="37"/>
      <c r="G688" s="37"/>
      <c r="H688" s="37"/>
      <c r="I688" s="310"/>
      <c r="J688" s="37"/>
      <c r="K688" s="310"/>
      <c r="L688" s="37"/>
      <c r="M688" s="27"/>
      <c r="O688" s="230"/>
      <c r="P688" s="230"/>
    </row>
    <row r="689" spans="1:16" s="385" customFormat="1" ht="15.75">
      <c r="A689" s="29"/>
      <c r="B689" s="29"/>
      <c r="C689" s="37"/>
      <c r="D689" s="183"/>
      <c r="E689" s="29"/>
      <c r="F689" s="37"/>
      <c r="G689" s="37"/>
      <c r="H689" s="37"/>
      <c r="I689" s="310"/>
      <c r="J689" s="37"/>
      <c r="K689" s="310"/>
      <c r="L689" s="37"/>
      <c r="M689" s="27"/>
      <c r="O689" s="230"/>
      <c r="P689" s="230"/>
    </row>
    <row r="690" spans="1:16" s="385" customFormat="1" ht="15.75">
      <c r="A690" s="29"/>
      <c r="B690" s="29"/>
      <c r="C690" s="37"/>
      <c r="D690" s="183"/>
      <c r="E690" s="29"/>
      <c r="F690" s="37"/>
      <c r="G690" s="37"/>
      <c r="H690" s="37"/>
      <c r="I690" s="310"/>
      <c r="J690" s="37"/>
      <c r="K690" s="310"/>
      <c r="L690" s="37"/>
      <c r="M690" s="27"/>
      <c r="O690" s="230"/>
      <c r="P690" s="230"/>
    </row>
    <row r="691" spans="1:16" s="385" customFormat="1" ht="15.75">
      <c r="A691" s="29"/>
      <c r="B691" s="29"/>
      <c r="C691" s="37"/>
      <c r="D691" s="183"/>
      <c r="E691" s="29"/>
      <c r="F691" s="37"/>
      <c r="G691" s="37"/>
      <c r="H691" s="37"/>
      <c r="I691" s="310"/>
      <c r="J691" s="37"/>
      <c r="K691" s="310"/>
      <c r="L691" s="37"/>
      <c r="M691" s="27"/>
      <c r="O691" s="230"/>
      <c r="P691" s="230"/>
    </row>
    <row r="692" spans="1:16" s="385" customFormat="1" ht="15.75">
      <c r="A692" s="29"/>
      <c r="B692" s="29"/>
      <c r="C692" s="37"/>
      <c r="D692" s="183"/>
      <c r="E692" s="29"/>
      <c r="F692" s="37"/>
      <c r="G692" s="37"/>
      <c r="H692" s="37"/>
      <c r="I692" s="310"/>
      <c r="J692" s="37"/>
      <c r="K692" s="310"/>
      <c r="L692" s="37"/>
      <c r="M692" s="27"/>
      <c r="O692" s="230"/>
      <c r="P692" s="230"/>
    </row>
    <row r="693" spans="1:16" s="385" customFormat="1" ht="15.75">
      <c r="A693" s="29"/>
      <c r="B693" s="29"/>
      <c r="C693" s="37"/>
      <c r="D693" s="183"/>
      <c r="E693" s="29"/>
      <c r="F693" s="37"/>
      <c r="G693" s="37"/>
      <c r="H693" s="37"/>
      <c r="I693" s="310"/>
      <c r="J693" s="37"/>
      <c r="K693" s="310"/>
      <c r="L693" s="37"/>
      <c r="M693" s="27"/>
      <c r="O693" s="230"/>
      <c r="P693" s="230"/>
    </row>
    <row r="694" spans="1:16" s="385" customFormat="1" ht="15.75">
      <c r="A694" s="29"/>
      <c r="B694" s="29"/>
      <c r="C694" s="37"/>
      <c r="D694" s="183"/>
      <c r="E694" s="29"/>
      <c r="F694" s="37"/>
      <c r="G694" s="37"/>
      <c r="H694" s="37"/>
      <c r="I694" s="310"/>
      <c r="J694" s="37"/>
      <c r="K694" s="310"/>
      <c r="L694" s="37"/>
      <c r="M694" s="27"/>
      <c r="O694" s="230"/>
      <c r="P694" s="230"/>
    </row>
    <row r="695" spans="1:16" s="385" customFormat="1" ht="15.75">
      <c r="A695" s="29"/>
      <c r="B695" s="29"/>
      <c r="C695" s="37"/>
      <c r="D695" s="183"/>
      <c r="E695" s="29"/>
      <c r="F695" s="37"/>
      <c r="G695" s="37"/>
      <c r="H695" s="37"/>
      <c r="I695" s="310"/>
      <c r="J695" s="37"/>
      <c r="K695" s="310"/>
      <c r="L695" s="37"/>
      <c r="M695" s="27"/>
      <c r="O695" s="230"/>
      <c r="P695" s="230"/>
    </row>
    <row r="696" spans="1:16" s="385" customFormat="1" ht="15.75">
      <c r="A696" s="29"/>
      <c r="B696" s="29"/>
      <c r="C696" s="37"/>
      <c r="D696" s="183"/>
      <c r="E696" s="29"/>
      <c r="F696" s="37"/>
      <c r="G696" s="37"/>
      <c r="H696" s="37"/>
      <c r="I696" s="310"/>
      <c r="J696" s="37"/>
      <c r="K696" s="310"/>
      <c r="L696" s="37"/>
      <c r="M696" s="27"/>
      <c r="O696" s="230"/>
      <c r="P696" s="230"/>
    </row>
    <row r="697" spans="1:16" s="385" customFormat="1" ht="15.75">
      <c r="A697" s="29"/>
      <c r="B697" s="29"/>
      <c r="C697" s="37"/>
      <c r="D697" s="183"/>
      <c r="E697" s="29"/>
      <c r="F697" s="37"/>
      <c r="G697" s="37"/>
      <c r="H697" s="37"/>
      <c r="I697" s="310"/>
      <c r="J697" s="37"/>
      <c r="K697" s="310"/>
      <c r="L697" s="37"/>
      <c r="M697" s="27"/>
      <c r="O697" s="230"/>
      <c r="P697" s="230"/>
    </row>
    <row r="698" spans="1:16" s="385" customFormat="1" ht="15.75">
      <c r="A698" s="29"/>
      <c r="B698" s="29"/>
      <c r="C698" s="37"/>
      <c r="D698" s="183"/>
      <c r="E698" s="29"/>
      <c r="F698" s="37"/>
      <c r="G698" s="37"/>
      <c r="H698" s="37"/>
      <c r="I698" s="310"/>
      <c r="J698" s="37"/>
      <c r="K698" s="310"/>
      <c r="L698" s="37"/>
      <c r="M698" s="27"/>
      <c r="O698" s="230"/>
      <c r="P698" s="230"/>
    </row>
    <row r="699" spans="1:16" s="385" customFormat="1" ht="15.75">
      <c r="A699" s="29"/>
      <c r="B699" s="29"/>
      <c r="C699" s="37"/>
      <c r="D699" s="183"/>
      <c r="E699" s="29"/>
      <c r="F699" s="37"/>
      <c r="G699" s="37"/>
      <c r="H699" s="37"/>
      <c r="I699" s="310"/>
      <c r="J699" s="37"/>
      <c r="K699" s="310"/>
      <c r="L699" s="37"/>
      <c r="M699" s="27"/>
      <c r="O699" s="230"/>
      <c r="P699" s="230"/>
    </row>
    <row r="700" spans="1:16" s="385" customFormat="1" ht="15.75">
      <c r="A700" s="29"/>
      <c r="B700" s="29"/>
      <c r="C700" s="37"/>
      <c r="D700" s="183"/>
      <c r="E700" s="29"/>
      <c r="F700" s="37"/>
      <c r="G700" s="37"/>
      <c r="H700" s="37"/>
      <c r="I700" s="310"/>
      <c r="J700" s="37"/>
      <c r="K700" s="310"/>
      <c r="L700" s="37"/>
      <c r="M700" s="27"/>
      <c r="O700" s="230"/>
      <c r="P700" s="230"/>
    </row>
    <row r="701" spans="1:16" s="385" customFormat="1" ht="15.75">
      <c r="A701" s="29"/>
      <c r="B701" s="29"/>
      <c r="C701" s="37"/>
      <c r="D701" s="183"/>
      <c r="E701" s="29"/>
      <c r="F701" s="37"/>
      <c r="G701" s="37"/>
      <c r="H701" s="37"/>
      <c r="I701" s="310"/>
      <c r="J701" s="37"/>
      <c r="K701" s="310"/>
      <c r="L701" s="37"/>
      <c r="M701" s="27"/>
      <c r="O701" s="230"/>
      <c r="P701" s="230"/>
    </row>
    <row r="702" spans="1:16" s="385" customFormat="1" ht="15.75">
      <c r="A702" s="29"/>
      <c r="B702" s="29"/>
      <c r="C702" s="37"/>
      <c r="D702" s="183"/>
      <c r="E702" s="29"/>
      <c r="F702" s="37"/>
      <c r="G702" s="37"/>
      <c r="H702" s="37"/>
      <c r="I702" s="310"/>
      <c r="J702" s="37"/>
      <c r="K702" s="310"/>
      <c r="L702" s="37"/>
      <c r="M702" s="27"/>
      <c r="O702" s="230"/>
      <c r="P702" s="230"/>
    </row>
    <row r="703" spans="1:16" s="385" customFormat="1" ht="15.75">
      <c r="A703" s="29"/>
      <c r="B703" s="29"/>
      <c r="C703" s="37"/>
      <c r="D703" s="183"/>
      <c r="E703" s="29"/>
      <c r="F703" s="37"/>
      <c r="G703" s="37"/>
      <c r="H703" s="37"/>
      <c r="I703" s="310"/>
      <c r="J703" s="37"/>
      <c r="K703" s="310"/>
      <c r="L703" s="37"/>
      <c r="M703" s="27"/>
      <c r="O703" s="230"/>
      <c r="P703" s="230"/>
    </row>
    <row r="704" spans="1:16" s="385" customFormat="1" ht="15.75">
      <c r="A704" s="29"/>
      <c r="B704" s="29"/>
      <c r="C704" s="37"/>
      <c r="D704" s="183"/>
      <c r="E704" s="29"/>
      <c r="F704" s="37"/>
      <c r="G704" s="37"/>
      <c r="H704" s="37"/>
      <c r="I704" s="310"/>
      <c r="J704" s="37"/>
      <c r="K704" s="310"/>
      <c r="L704" s="37"/>
      <c r="M704" s="27"/>
      <c r="O704" s="230"/>
      <c r="P704" s="230"/>
    </row>
    <row r="705" spans="1:16" s="385" customFormat="1" ht="15.75">
      <c r="A705" s="29"/>
      <c r="B705" s="29"/>
      <c r="C705" s="37"/>
      <c r="D705" s="183"/>
      <c r="E705" s="29"/>
      <c r="F705" s="37"/>
      <c r="G705" s="37"/>
      <c r="H705" s="37"/>
      <c r="I705" s="310"/>
      <c r="J705" s="37"/>
      <c r="K705" s="310"/>
      <c r="L705" s="37"/>
      <c r="M705" s="27"/>
      <c r="O705" s="230"/>
      <c r="P705" s="230"/>
    </row>
    <row r="706" spans="1:16" s="385" customFormat="1" ht="15.75">
      <c r="A706" s="29"/>
      <c r="B706" s="29"/>
      <c r="C706" s="37"/>
      <c r="D706" s="183"/>
      <c r="E706" s="29"/>
      <c r="F706" s="37"/>
      <c r="G706" s="37"/>
      <c r="H706" s="37"/>
      <c r="I706" s="310"/>
      <c r="J706" s="37"/>
      <c r="K706" s="310"/>
      <c r="L706" s="37"/>
      <c r="M706" s="27"/>
      <c r="O706" s="230"/>
      <c r="P706" s="230"/>
    </row>
    <row r="707" spans="1:16" s="385" customFormat="1" ht="15.75">
      <c r="A707" s="29"/>
      <c r="B707" s="29"/>
      <c r="C707" s="37"/>
      <c r="D707" s="183"/>
      <c r="E707" s="29"/>
      <c r="F707" s="37"/>
      <c r="G707" s="37"/>
      <c r="H707" s="37"/>
      <c r="I707" s="310"/>
      <c r="J707" s="37"/>
      <c r="K707" s="310"/>
      <c r="L707" s="37"/>
      <c r="M707" s="27"/>
      <c r="O707" s="230"/>
      <c r="P707" s="230"/>
    </row>
    <row r="708" spans="1:16" s="385" customFormat="1" ht="15.75">
      <c r="A708" s="29"/>
      <c r="B708" s="29"/>
      <c r="C708" s="37"/>
      <c r="D708" s="183"/>
      <c r="E708" s="29"/>
      <c r="F708" s="37"/>
      <c r="G708" s="37"/>
      <c r="H708" s="37"/>
      <c r="I708" s="310"/>
      <c r="J708" s="37"/>
      <c r="K708" s="310"/>
      <c r="L708" s="37"/>
      <c r="M708" s="27"/>
      <c r="O708" s="230"/>
      <c r="P708" s="230"/>
    </row>
    <row r="709" spans="1:16" s="385" customFormat="1" ht="15.75">
      <c r="A709" s="29"/>
      <c r="B709" s="29"/>
      <c r="C709" s="37"/>
      <c r="D709" s="183"/>
      <c r="E709" s="29"/>
      <c r="F709" s="37"/>
      <c r="G709" s="37"/>
      <c r="H709" s="37"/>
      <c r="I709" s="310"/>
      <c r="J709" s="37"/>
      <c r="K709" s="310"/>
      <c r="L709" s="37"/>
      <c r="M709" s="27"/>
      <c r="O709" s="230"/>
      <c r="P709" s="230"/>
    </row>
    <row r="710" spans="1:16" s="385" customFormat="1" ht="15.75">
      <c r="A710" s="29"/>
      <c r="B710" s="29"/>
      <c r="C710" s="37"/>
      <c r="D710" s="183"/>
      <c r="E710" s="29"/>
      <c r="F710" s="37"/>
      <c r="G710" s="37"/>
      <c r="H710" s="37"/>
      <c r="I710" s="310"/>
      <c r="J710" s="37"/>
      <c r="K710" s="310"/>
      <c r="L710" s="37"/>
      <c r="M710" s="27"/>
      <c r="O710" s="230"/>
      <c r="P710" s="230"/>
    </row>
    <row r="711" spans="1:16" s="385" customFormat="1" ht="15.75">
      <c r="A711" s="29"/>
      <c r="B711" s="29"/>
      <c r="C711" s="37"/>
      <c r="D711" s="183"/>
      <c r="E711" s="29"/>
      <c r="F711" s="37"/>
      <c r="G711" s="37"/>
      <c r="H711" s="37"/>
      <c r="I711" s="310"/>
      <c r="J711" s="37"/>
      <c r="K711" s="310"/>
      <c r="L711" s="37"/>
      <c r="M711" s="27"/>
      <c r="O711" s="230"/>
      <c r="P711" s="230"/>
    </row>
    <row r="712" spans="1:16" s="385" customFormat="1" ht="15.75">
      <c r="A712" s="29"/>
      <c r="B712" s="29"/>
      <c r="C712" s="37"/>
      <c r="D712" s="183"/>
      <c r="E712" s="29"/>
      <c r="F712" s="37"/>
      <c r="G712" s="37"/>
      <c r="H712" s="37"/>
      <c r="I712" s="310"/>
      <c r="J712" s="37"/>
      <c r="K712" s="310"/>
      <c r="L712" s="37"/>
      <c r="M712" s="27"/>
      <c r="O712" s="230"/>
      <c r="P712" s="230"/>
    </row>
    <row r="713" spans="1:16" s="385" customFormat="1" ht="15.75">
      <c r="A713" s="29"/>
      <c r="B713" s="29"/>
      <c r="C713" s="37"/>
      <c r="D713" s="183"/>
      <c r="E713" s="29"/>
      <c r="F713" s="37"/>
      <c r="G713" s="37"/>
      <c r="H713" s="37"/>
      <c r="I713" s="310"/>
      <c r="J713" s="37"/>
      <c r="K713" s="310"/>
      <c r="L713" s="37"/>
      <c r="M713" s="27"/>
      <c r="O713" s="230"/>
      <c r="P713" s="230"/>
    </row>
    <row r="714" spans="1:16" s="385" customFormat="1" ht="15.75">
      <c r="A714" s="29"/>
      <c r="B714" s="29"/>
      <c r="C714" s="37"/>
      <c r="D714" s="183"/>
      <c r="E714" s="29"/>
      <c r="F714" s="37"/>
      <c r="G714" s="37"/>
      <c r="H714" s="37"/>
      <c r="I714" s="310"/>
      <c r="J714" s="37"/>
      <c r="K714" s="310"/>
      <c r="L714" s="37"/>
      <c r="M714" s="27"/>
      <c r="O714" s="230"/>
      <c r="P714" s="230"/>
    </row>
    <row r="715" spans="1:16" s="385" customFormat="1" ht="15.75">
      <c r="A715" s="29"/>
      <c r="B715" s="29"/>
      <c r="C715" s="37"/>
      <c r="D715" s="183"/>
      <c r="E715" s="29"/>
      <c r="F715" s="37"/>
      <c r="G715" s="37"/>
      <c r="H715" s="37"/>
      <c r="I715" s="310"/>
      <c r="J715" s="37"/>
      <c r="K715" s="310"/>
      <c r="L715" s="37"/>
      <c r="M715" s="27"/>
      <c r="O715" s="230"/>
      <c r="P715" s="230"/>
    </row>
    <row r="716" spans="1:16" s="385" customFormat="1" ht="15.75">
      <c r="A716" s="29"/>
      <c r="B716" s="29"/>
      <c r="C716" s="37"/>
      <c r="D716" s="183"/>
      <c r="E716" s="29"/>
      <c r="F716" s="37"/>
      <c r="G716" s="37"/>
      <c r="H716" s="37"/>
      <c r="I716" s="310"/>
      <c r="J716" s="37"/>
      <c r="K716" s="310"/>
      <c r="L716" s="37"/>
      <c r="M716" s="27"/>
      <c r="O716" s="230"/>
      <c r="P716" s="230"/>
    </row>
    <row r="717" spans="1:16" s="385" customFormat="1" ht="15.75">
      <c r="A717" s="29"/>
      <c r="B717" s="29"/>
      <c r="C717" s="37"/>
      <c r="D717" s="183"/>
      <c r="E717" s="29"/>
      <c r="F717" s="37"/>
      <c r="G717" s="37"/>
      <c r="H717" s="37"/>
      <c r="I717" s="310"/>
      <c r="J717" s="37"/>
      <c r="K717" s="310"/>
      <c r="L717" s="37"/>
      <c r="M717" s="27"/>
      <c r="O717" s="230"/>
      <c r="P717" s="230"/>
    </row>
    <row r="718" spans="1:16" s="385" customFormat="1" ht="15.75">
      <c r="A718" s="29"/>
      <c r="B718" s="29"/>
      <c r="C718" s="37"/>
      <c r="D718" s="183"/>
      <c r="E718" s="29"/>
      <c r="F718" s="37"/>
      <c r="G718" s="37"/>
      <c r="H718" s="37"/>
      <c r="I718" s="310"/>
      <c r="J718" s="37"/>
      <c r="K718" s="310"/>
      <c r="L718" s="37"/>
      <c r="M718" s="27"/>
      <c r="O718" s="230"/>
      <c r="P718" s="230"/>
    </row>
    <row r="719" spans="1:16" s="385" customFormat="1" ht="15.75">
      <c r="A719" s="29"/>
      <c r="B719" s="29"/>
      <c r="C719" s="37"/>
      <c r="D719" s="183"/>
      <c r="E719" s="29"/>
      <c r="F719" s="37"/>
      <c r="G719" s="37"/>
      <c r="H719" s="37"/>
      <c r="I719" s="310"/>
      <c r="J719" s="37"/>
      <c r="K719" s="310"/>
      <c r="L719" s="37"/>
      <c r="M719" s="27"/>
      <c r="O719" s="230"/>
      <c r="P719" s="230"/>
    </row>
    <row r="720" spans="1:16" s="385" customFormat="1" ht="15.75">
      <c r="A720" s="29"/>
      <c r="B720" s="29"/>
      <c r="C720" s="37"/>
      <c r="D720" s="183"/>
      <c r="E720" s="29"/>
      <c r="F720" s="37"/>
      <c r="G720" s="37"/>
      <c r="H720" s="37"/>
      <c r="I720" s="310"/>
      <c r="J720" s="37"/>
      <c r="K720" s="310"/>
      <c r="L720" s="37"/>
      <c r="M720" s="27"/>
      <c r="O720" s="230"/>
      <c r="P720" s="230"/>
    </row>
    <row r="721" spans="1:16" s="385" customFormat="1" ht="15.75">
      <c r="A721" s="29"/>
      <c r="B721" s="29"/>
      <c r="C721" s="37"/>
      <c r="D721" s="183"/>
      <c r="E721" s="29"/>
      <c r="F721" s="37"/>
      <c r="G721" s="37"/>
      <c r="H721" s="37"/>
      <c r="I721" s="310"/>
      <c r="J721" s="37"/>
      <c r="K721" s="310"/>
      <c r="L721" s="37"/>
      <c r="M721" s="27"/>
      <c r="O721" s="230"/>
      <c r="P721" s="230"/>
    </row>
    <row r="722" spans="1:16" s="385" customFormat="1" ht="15.75">
      <c r="A722" s="29"/>
      <c r="B722" s="29"/>
      <c r="C722" s="37"/>
      <c r="D722" s="183"/>
      <c r="E722" s="29"/>
      <c r="F722" s="37"/>
      <c r="G722" s="37"/>
      <c r="H722" s="37"/>
      <c r="I722" s="310"/>
      <c r="J722" s="37"/>
      <c r="K722" s="310"/>
      <c r="L722" s="37"/>
      <c r="M722" s="27"/>
      <c r="O722" s="230"/>
      <c r="P722" s="230"/>
    </row>
    <row r="723" spans="1:16" s="385" customFormat="1" ht="15.75">
      <c r="A723" s="29"/>
      <c r="B723" s="29"/>
      <c r="C723" s="37"/>
      <c r="D723" s="183"/>
      <c r="E723" s="29"/>
      <c r="F723" s="37"/>
      <c r="G723" s="37"/>
      <c r="H723" s="37"/>
      <c r="I723" s="310"/>
      <c r="J723" s="37"/>
      <c r="K723" s="310"/>
      <c r="L723" s="37"/>
      <c r="M723" s="27"/>
      <c r="O723" s="230"/>
      <c r="P723" s="230"/>
    </row>
    <row r="724" spans="1:16" s="385" customFormat="1" ht="15.75">
      <c r="A724" s="29"/>
      <c r="B724" s="29"/>
      <c r="C724" s="37"/>
      <c r="D724" s="183"/>
      <c r="E724" s="29"/>
      <c r="F724" s="37"/>
      <c r="G724" s="37"/>
      <c r="H724" s="37"/>
      <c r="I724" s="310"/>
      <c r="J724" s="37"/>
      <c r="K724" s="310"/>
      <c r="L724" s="37"/>
      <c r="M724" s="27"/>
      <c r="O724" s="230"/>
      <c r="P724" s="230"/>
    </row>
    <row r="725" spans="1:16" s="385" customFormat="1" ht="15.75">
      <c r="A725" s="29"/>
      <c r="B725" s="29"/>
      <c r="C725" s="37"/>
      <c r="D725" s="183"/>
      <c r="E725" s="29"/>
      <c r="F725" s="37"/>
      <c r="G725" s="37"/>
      <c r="H725" s="37"/>
      <c r="I725" s="310"/>
      <c r="J725" s="37"/>
      <c r="K725" s="310"/>
      <c r="L725" s="37"/>
      <c r="M725" s="27"/>
      <c r="O725" s="230"/>
      <c r="P725" s="230"/>
    </row>
    <row r="726" spans="1:16" s="385" customFormat="1" ht="15.75">
      <c r="A726" s="29"/>
      <c r="B726" s="29"/>
      <c r="C726" s="37"/>
      <c r="D726" s="183"/>
      <c r="E726" s="29"/>
      <c r="F726" s="37"/>
      <c r="G726" s="37"/>
      <c r="H726" s="37"/>
      <c r="I726" s="310"/>
      <c r="J726" s="37"/>
      <c r="K726" s="310"/>
      <c r="L726" s="37"/>
      <c r="M726" s="27"/>
      <c r="O726" s="230"/>
      <c r="P726" s="230"/>
    </row>
    <row r="727" spans="1:16" s="385" customFormat="1" ht="15.75">
      <c r="A727" s="29"/>
      <c r="B727" s="29"/>
      <c r="C727" s="37"/>
      <c r="D727" s="183"/>
      <c r="E727" s="29"/>
      <c r="F727" s="37"/>
      <c r="G727" s="37"/>
      <c r="H727" s="37"/>
      <c r="I727" s="310"/>
      <c r="J727" s="37"/>
      <c r="K727" s="310"/>
      <c r="L727" s="37"/>
      <c r="M727" s="27"/>
      <c r="O727" s="230"/>
      <c r="P727" s="230"/>
    </row>
    <row r="728" spans="1:16" s="385" customFormat="1" ht="15.75">
      <c r="A728" s="29"/>
      <c r="B728" s="29"/>
      <c r="C728" s="37"/>
      <c r="D728" s="183"/>
      <c r="E728" s="29"/>
      <c r="F728" s="37"/>
      <c r="G728" s="37"/>
      <c r="H728" s="37"/>
      <c r="I728" s="310"/>
      <c r="J728" s="37"/>
      <c r="K728" s="310"/>
      <c r="L728" s="37"/>
      <c r="M728" s="27"/>
      <c r="O728" s="230"/>
      <c r="P728" s="230"/>
    </row>
    <row r="729" spans="1:16" s="385" customFormat="1" ht="15.75">
      <c r="A729" s="29"/>
      <c r="B729" s="29"/>
      <c r="C729" s="37"/>
      <c r="D729" s="183"/>
      <c r="E729" s="29"/>
      <c r="F729" s="37"/>
      <c r="G729" s="37"/>
      <c r="H729" s="37"/>
      <c r="I729" s="310"/>
      <c r="J729" s="37"/>
      <c r="K729" s="310"/>
      <c r="L729" s="37"/>
      <c r="M729" s="27"/>
      <c r="O729" s="230"/>
      <c r="P729" s="230"/>
    </row>
    <row r="730" spans="1:16" s="385" customFormat="1" ht="15.75">
      <c r="A730" s="29"/>
      <c r="B730" s="29"/>
      <c r="C730" s="37"/>
      <c r="D730" s="183"/>
      <c r="E730" s="29"/>
      <c r="F730" s="37"/>
      <c r="G730" s="37"/>
      <c r="H730" s="37"/>
      <c r="I730" s="310"/>
      <c r="J730" s="37"/>
      <c r="K730" s="310"/>
      <c r="L730" s="37"/>
      <c r="M730" s="27"/>
      <c r="O730" s="230"/>
      <c r="P730" s="230"/>
    </row>
    <row r="731" spans="1:16" s="385" customFormat="1" ht="15.75">
      <c r="A731" s="29"/>
      <c r="B731" s="29"/>
      <c r="C731" s="37"/>
      <c r="D731" s="183"/>
      <c r="E731" s="29"/>
      <c r="F731" s="37"/>
      <c r="G731" s="37"/>
      <c r="H731" s="37"/>
      <c r="I731" s="310"/>
      <c r="J731" s="37"/>
      <c r="K731" s="310"/>
      <c r="L731" s="37"/>
      <c r="M731" s="27"/>
      <c r="O731" s="230"/>
      <c r="P731" s="230"/>
    </row>
    <row r="732" spans="1:16" s="385" customFormat="1" ht="15.75">
      <c r="A732" s="29"/>
      <c r="B732" s="29"/>
      <c r="C732" s="37"/>
      <c r="D732" s="183"/>
      <c r="E732" s="29"/>
      <c r="F732" s="37"/>
      <c r="G732" s="37"/>
      <c r="H732" s="37"/>
      <c r="I732" s="310"/>
      <c r="J732" s="37"/>
      <c r="K732" s="310"/>
      <c r="L732" s="37"/>
      <c r="M732" s="27"/>
      <c r="O732" s="230"/>
      <c r="P732" s="230"/>
    </row>
    <row r="733" spans="1:16" s="385" customFormat="1" ht="15.75">
      <c r="A733" s="29"/>
      <c r="B733" s="29"/>
      <c r="C733" s="37"/>
      <c r="D733" s="183"/>
      <c r="E733" s="29"/>
      <c r="F733" s="37"/>
      <c r="G733" s="37"/>
      <c r="H733" s="37"/>
      <c r="I733" s="310"/>
      <c r="J733" s="37"/>
      <c r="K733" s="310"/>
      <c r="L733" s="37"/>
      <c r="M733" s="27"/>
      <c r="O733" s="230"/>
      <c r="P733" s="230"/>
    </row>
    <row r="734" spans="1:16" s="385" customFormat="1" ht="15.75">
      <c r="A734" s="29"/>
      <c r="B734" s="29"/>
      <c r="C734" s="37"/>
      <c r="D734" s="183"/>
      <c r="E734" s="29"/>
      <c r="F734" s="37"/>
      <c r="G734" s="37"/>
      <c r="H734" s="37"/>
      <c r="I734" s="310"/>
      <c r="J734" s="37"/>
      <c r="K734" s="310"/>
      <c r="L734" s="37"/>
      <c r="M734" s="27"/>
      <c r="O734" s="230"/>
      <c r="P734" s="230"/>
    </row>
    <row r="735" spans="1:16" s="385" customFormat="1" ht="15.75">
      <c r="A735" s="29"/>
      <c r="B735" s="29"/>
      <c r="C735" s="37"/>
      <c r="D735" s="183"/>
      <c r="E735" s="29"/>
      <c r="F735" s="37"/>
      <c r="G735" s="37"/>
      <c r="H735" s="37"/>
      <c r="I735" s="310"/>
      <c r="J735" s="37"/>
      <c r="K735" s="310"/>
      <c r="L735" s="37"/>
      <c r="M735" s="27"/>
      <c r="O735" s="230"/>
      <c r="P735" s="230"/>
    </row>
    <row r="736" spans="1:16" s="385" customFormat="1" ht="15.75">
      <c r="A736" s="29"/>
      <c r="B736" s="29"/>
      <c r="C736" s="37"/>
      <c r="D736" s="183"/>
      <c r="E736" s="29"/>
      <c r="F736" s="37"/>
      <c r="G736" s="37"/>
      <c r="H736" s="37"/>
      <c r="I736" s="310"/>
      <c r="J736" s="37"/>
      <c r="K736" s="310"/>
      <c r="L736" s="37"/>
      <c r="M736" s="27"/>
      <c r="O736" s="230"/>
      <c r="P736" s="230"/>
    </row>
    <row r="737" spans="1:16" s="385" customFormat="1" ht="15.75">
      <c r="A737" s="29"/>
      <c r="B737" s="29"/>
      <c r="C737" s="37"/>
      <c r="D737" s="183"/>
      <c r="E737" s="29"/>
      <c r="F737" s="37"/>
      <c r="G737" s="37"/>
      <c r="H737" s="37"/>
      <c r="I737" s="310"/>
      <c r="J737" s="37"/>
      <c r="K737" s="310"/>
      <c r="L737" s="37"/>
      <c r="M737" s="27"/>
      <c r="O737" s="230"/>
      <c r="P737" s="230"/>
    </row>
    <row r="738" spans="1:16" s="385" customFormat="1" ht="15.75">
      <c r="A738" s="29"/>
      <c r="B738" s="29"/>
      <c r="C738" s="37"/>
      <c r="D738" s="183"/>
      <c r="E738" s="29"/>
      <c r="F738" s="37"/>
      <c r="G738" s="37"/>
      <c r="H738" s="37"/>
      <c r="I738" s="310"/>
      <c r="J738" s="37"/>
      <c r="K738" s="310"/>
      <c r="L738" s="37"/>
      <c r="M738" s="27"/>
      <c r="O738" s="230"/>
      <c r="P738" s="230"/>
    </row>
    <row r="739" spans="1:16" s="385" customFormat="1" ht="15.75">
      <c r="A739" s="29"/>
      <c r="B739" s="29"/>
      <c r="C739" s="37"/>
      <c r="D739" s="183"/>
      <c r="E739" s="29"/>
      <c r="F739" s="37"/>
      <c r="G739" s="37"/>
      <c r="H739" s="37"/>
      <c r="I739" s="310"/>
      <c r="J739" s="37"/>
      <c r="K739" s="310"/>
      <c r="L739" s="37"/>
      <c r="M739" s="27"/>
      <c r="O739" s="230"/>
      <c r="P739" s="230"/>
    </row>
    <row r="740" spans="1:16" s="385" customFormat="1" ht="15.75">
      <c r="A740" s="29"/>
      <c r="B740" s="29"/>
      <c r="C740" s="37"/>
      <c r="D740" s="183"/>
      <c r="E740" s="29"/>
      <c r="F740" s="37"/>
      <c r="G740" s="37"/>
      <c r="H740" s="37"/>
      <c r="I740" s="310"/>
      <c r="J740" s="37"/>
      <c r="K740" s="310"/>
      <c r="L740" s="37"/>
      <c r="M740" s="27"/>
      <c r="O740" s="230"/>
      <c r="P740" s="230"/>
    </row>
    <row r="741" spans="1:16" s="385" customFormat="1" ht="15.75">
      <c r="A741" s="29"/>
      <c r="B741" s="29"/>
      <c r="C741" s="37"/>
      <c r="D741" s="183"/>
      <c r="E741" s="29"/>
      <c r="F741" s="37"/>
      <c r="G741" s="37"/>
      <c r="H741" s="37"/>
      <c r="I741" s="310"/>
      <c r="J741" s="37"/>
      <c r="K741" s="310"/>
      <c r="L741" s="37"/>
      <c r="M741" s="27"/>
      <c r="O741" s="230"/>
      <c r="P741" s="230"/>
    </row>
    <row r="742" spans="1:16" s="385" customFormat="1" ht="15.75">
      <c r="A742" s="29"/>
      <c r="B742" s="29"/>
      <c r="C742" s="37"/>
      <c r="D742" s="183"/>
      <c r="E742" s="29"/>
      <c r="F742" s="37"/>
      <c r="G742" s="37"/>
      <c r="H742" s="37"/>
      <c r="I742" s="310"/>
      <c r="J742" s="37"/>
      <c r="K742" s="310"/>
      <c r="L742" s="37"/>
      <c r="M742" s="27"/>
      <c r="O742" s="230"/>
      <c r="P742" s="230"/>
    </row>
    <row r="743" spans="1:16" s="385" customFormat="1" ht="15.75">
      <c r="A743" s="29"/>
      <c r="B743" s="29"/>
      <c r="C743" s="37"/>
      <c r="D743" s="183"/>
      <c r="E743" s="29"/>
      <c r="F743" s="37"/>
      <c r="G743" s="37"/>
      <c r="H743" s="37"/>
      <c r="I743" s="310"/>
      <c r="J743" s="37"/>
      <c r="K743" s="310"/>
      <c r="L743" s="37"/>
      <c r="M743" s="27"/>
      <c r="O743" s="230"/>
      <c r="P743" s="230"/>
    </row>
    <row r="744" spans="1:16" s="385" customFormat="1" ht="15.75">
      <c r="A744" s="29"/>
      <c r="B744" s="29"/>
      <c r="C744" s="37"/>
      <c r="D744" s="183"/>
      <c r="E744" s="29"/>
      <c r="F744" s="37"/>
      <c r="G744" s="37"/>
      <c r="H744" s="37"/>
      <c r="I744" s="310"/>
      <c r="J744" s="37"/>
      <c r="K744" s="310"/>
      <c r="L744" s="37"/>
      <c r="M744" s="27"/>
      <c r="O744" s="230"/>
      <c r="P744" s="230"/>
    </row>
    <row r="745" spans="1:16" s="385" customFormat="1" ht="15.75">
      <c r="A745" s="29"/>
      <c r="B745" s="29"/>
      <c r="C745" s="37"/>
      <c r="D745" s="183"/>
      <c r="E745" s="29"/>
      <c r="F745" s="37"/>
      <c r="G745" s="37"/>
      <c r="H745" s="37"/>
      <c r="I745" s="310"/>
      <c r="J745" s="37"/>
      <c r="K745" s="310"/>
      <c r="L745" s="37"/>
      <c r="M745" s="27"/>
      <c r="O745" s="230"/>
      <c r="P745" s="230"/>
    </row>
    <row r="746" spans="1:16" s="385" customFormat="1" ht="15.75">
      <c r="A746" s="29"/>
      <c r="B746" s="29"/>
      <c r="C746" s="37"/>
      <c r="D746" s="183"/>
      <c r="E746" s="29"/>
      <c r="F746" s="37"/>
      <c r="G746" s="37"/>
      <c r="H746" s="37"/>
      <c r="I746" s="310"/>
      <c r="J746" s="37"/>
      <c r="K746" s="310"/>
      <c r="L746" s="37"/>
      <c r="M746" s="27"/>
      <c r="O746" s="230"/>
      <c r="P746" s="230"/>
    </row>
    <row r="747" spans="1:16" s="385" customFormat="1" ht="15.75">
      <c r="A747" s="29"/>
      <c r="B747" s="29"/>
      <c r="C747" s="37"/>
      <c r="D747" s="183"/>
      <c r="E747" s="29"/>
      <c r="F747" s="37"/>
      <c r="G747" s="37"/>
      <c r="H747" s="37"/>
      <c r="I747" s="310"/>
      <c r="J747" s="37"/>
      <c r="K747" s="310"/>
      <c r="L747" s="37"/>
      <c r="M747" s="27"/>
      <c r="O747" s="230"/>
      <c r="P747" s="230"/>
    </row>
    <row r="748" spans="1:16" s="385" customFormat="1" ht="15.75">
      <c r="A748" s="29"/>
      <c r="B748" s="29"/>
      <c r="C748" s="37"/>
      <c r="D748" s="183"/>
      <c r="E748" s="29"/>
      <c r="F748" s="37"/>
      <c r="G748" s="37"/>
      <c r="H748" s="37"/>
      <c r="I748" s="310"/>
      <c r="J748" s="37"/>
      <c r="K748" s="310"/>
      <c r="L748" s="37"/>
      <c r="M748" s="27"/>
      <c r="O748" s="230"/>
      <c r="P748" s="230"/>
    </row>
    <row r="749" spans="1:16" s="385" customFormat="1" ht="15.75">
      <c r="A749" s="29"/>
      <c r="B749" s="29"/>
      <c r="C749" s="37"/>
      <c r="D749" s="183"/>
      <c r="E749" s="29"/>
      <c r="F749" s="37"/>
      <c r="G749" s="37"/>
      <c r="H749" s="37"/>
      <c r="I749" s="310"/>
      <c r="J749" s="37"/>
      <c r="K749" s="310"/>
      <c r="L749" s="37"/>
      <c r="M749" s="27"/>
      <c r="O749" s="230"/>
      <c r="P749" s="230"/>
    </row>
    <row r="750" spans="1:16" s="385" customFormat="1" ht="15.75">
      <c r="A750" s="29"/>
      <c r="B750" s="29"/>
      <c r="C750" s="37"/>
      <c r="D750" s="183"/>
      <c r="E750" s="29"/>
      <c r="F750" s="37"/>
      <c r="G750" s="37"/>
      <c r="H750" s="37"/>
      <c r="I750" s="310"/>
      <c r="J750" s="37"/>
      <c r="K750" s="310"/>
      <c r="L750" s="37"/>
      <c r="M750" s="27"/>
      <c r="O750" s="230"/>
      <c r="P750" s="230"/>
    </row>
    <row r="751" spans="1:16" s="385" customFormat="1" ht="15.75">
      <c r="A751" s="29"/>
      <c r="B751" s="29"/>
      <c r="C751" s="37"/>
      <c r="D751" s="183"/>
      <c r="E751" s="29"/>
      <c r="F751" s="37"/>
      <c r="G751" s="37"/>
      <c r="H751" s="37"/>
      <c r="I751" s="310"/>
      <c r="J751" s="37"/>
      <c r="K751" s="310"/>
      <c r="L751" s="37"/>
      <c r="M751" s="27"/>
      <c r="O751" s="230"/>
      <c r="P751" s="230"/>
    </row>
    <row r="752" spans="1:16" s="385" customFormat="1" ht="15.75">
      <c r="A752" s="29"/>
      <c r="B752" s="29"/>
      <c r="C752" s="37"/>
      <c r="D752" s="183"/>
      <c r="E752" s="29"/>
      <c r="F752" s="37"/>
      <c r="G752" s="37"/>
      <c r="H752" s="37"/>
      <c r="I752" s="310"/>
      <c r="J752" s="37"/>
      <c r="K752" s="310"/>
      <c r="L752" s="37"/>
      <c r="M752" s="27"/>
      <c r="O752" s="230"/>
      <c r="P752" s="230"/>
    </row>
    <row r="753" spans="1:16" s="385" customFormat="1" ht="15.75">
      <c r="A753" s="29"/>
      <c r="B753" s="29"/>
      <c r="C753" s="37"/>
      <c r="D753" s="183"/>
      <c r="E753" s="29"/>
      <c r="F753" s="37"/>
      <c r="G753" s="37"/>
      <c r="H753" s="37"/>
      <c r="I753" s="310"/>
      <c r="J753" s="37"/>
      <c r="K753" s="310"/>
      <c r="L753" s="37"/>
      <c r="M753" s="27"/>
      <c r="O753" s="230"/>
      <c r="P753" s="230"/>
    </row>
    <row r="754" spans="1:16" s="385" customFormat="1" ht="15.75">
      <c r="A754" s="29"/>
      <c r="B754" s="29"/>
      <c r="C754" s="37"/>
      <c r="D754" s="183"/>
      <c r="E754" s="29"/>
      <c r="F754" s="37"/>
      <c r="G754" s="37"/>
      <c r="H754" s="37"/>
      <c r="I754" s="310"/>
      <c r="J754" s="37"/>
      <c r="K754" s="310"/>
      <c r="L754" s="37"/>
      <c r="M754" s="27"/>
      <c r="O754" s="230"/>
      <c r="P754" s="230"/>
    </row>
    <row r="755" spans="1:16" s="385" customFormat="1" ht="15.75">
      <c r="A755" s="29"/>
      <c r="B755" s="29"/>
      <c r="C755" s="37"/>
      <c r="D755" s="183"/>
      <c r="E755" s="29"/>
      <c r="F755" s="37"/>
      <c r="G755" s="37"/>
      <c r="H755" s="37"/>
      <c r="I755" s="310"/>
      <c r="J755" s="37"/>
      <c r="K755" s="310"/>
      <c r="L755" s="37"/>
      <c r="M755" s="27"/>
      <c r="O755" s="230"/>
      <c r="P755" s="230"/>
    </row>
    <row r="756" spans="1:16" s="385" customFormat="1" ht="15.75">
      <c r="A756" s="29"/>
      <c r="B756" s="29"/>
      <c r="C756" s="37"/>
      <c r="D756" s="183"/>
      <c r="E756" s="29"/>
      <c r="F756" s="37"/>
      <c r="G756" s="37"/>
      <c r="H756" s="37"/>
      <c r="I756" s="310"/>
      <c r="J756" s="37"/>
      <c r="K756" s="310"/>
      <c r="L756" s="37"/>
      <c r="M756" s="27"/>
      <c r="O756" s="230"/>
      <c r="P756" s="230"/>
    </row>
    <row r="757" spans="1:16" s="385" customFormat="1" ht="15.75">
      <c r="A757" s="29"/>
      <c r="B757" s="29"/>
      <c r="C757" s="37"/>
      <c r="D757" s="183"/>
      <c r="E757" s="29"/>
      <c r="F757" s="37"/>
      <c r="G757" s="37"/>
      <c r="H757" s="37"/>
      <c r="I757" s="310"/>
      <c r="J757" s="37"/>
      <c r="K757" s="310"/>
      <c r="L757" s="37"/>
      <c r="M757" s="27"/>
      <c r="O757" s="230"/>
      <c r="P757" s="230"/>
    </row>
    <row r="758" spans="1:16" s="385" customFormat="1" ht="15.75">
      <c r="A758" s="29"/>
      <c r="B758" s="29"/>
      <c r="C758" s="37"/>
      <c r="D758" s="183"/>
      <c r="E758" s="29"/>
      <c r="F758" s="37"/>
      <c r="G758" s="37"/>
      <c r="H758" s="37"/>
      <c r="I758" s="310"/>
      <c r="J758" s="37"/>
      <c r="K758" s="310"/>
      <c r="L758" s="37"/>
      <c r="M758" s="27"/>
      <c r="O758" s="230"/>
      <c r="P758" s="230"/>
    </row>
    <row r="759" spans="1:16" s="385" customFormat="1" ht="15.75">
      <c r="A759" s="29"/>
      <c r="B759" s="29"/>
      <c r="C759" s="37"/>
      <c r="D759" s="183"/>
      <c r="E759" s="29"/>
      <c r="F759" s="37"/>
      <c r="G759" s="37"/>
      <c r="H759" s="37"/>
      <c r="I759" s="310"/>
      <c r="J759" s="37"/>
      <c r="K759" s="310"/>
      <c r="L759" s="37"/>
      <c r="M759" s="27"/>
      <c r="O759" s="230"/>
      <c r="P759" s="230"/>
    </row>
    <row r="760" spans="1:16" s="385" customFormat="1" ht="15.75">
      <c r="A760" s="29"/>
      <c r="B760" s="29"/>
      <c r="C760" s="37"/>
      <c r="D760" s="183"/>
      <c r="E760" s="29"/>
      <c r="F760" s="37"/>
      <c r="G760" s="37"/>
      <c r="H760" s="37"/>
      <c r="I760" s="310"/>
      <c r="J760" s="37"/>
      <c r="K760" s="310"/>
      <c r="L760" s="37"/>
      <c r="M760" s="27"/>
      <c r="O760" s="230"/>
      <c r="P760" s="230"/>
    </row>
    <row r="761" spans="1:16" s="385" customFormat="1" ht="15.75">
      <c r="A761" s="29"/>
      <c r="B761" s="29"/>
      <c r="C761" s="37"/>
      <c r="D761" s="183"/>
      <c r="E761" s="29"/>
      <c r="F761" s="37"/>
      <c r="G761" s="37"/>
      <c r="H761" s="37"/>
      <c r="I761" s="310"/>
      <c r="J761" s="37"/>
      <c r="K761" s="310"/>
      <c r="L761" s="37"/>
      <c r="M761" s="27"/>
      <c r="O761" s="230"/>
      <c r="P761" s="230"/>
    </row>
    <row r="762" spans="1:16" s="385" customFormat="1" ht="15.75">
      <c r="A762" s="29"/>
      <c r="B762" s="29"/>
      <c r="C762" s="37"/>
      <c r="D762" s="183"/>
      <c r="E762" s="29"/>
      <c r="F762" s="37"/>
      <c r="G762" s="37"/>
      <c r="H762" s="37"/>
      <c r="I762" s="310"/>
      <c r="J762" s="37"/>
      <c r="K762" s="310"/>
      <c r="L762" s="37"/>
      <c r="M762" s="27"/>
      <c r="O762" s="230"/>
      <c r="P762" s="230"/>
    </row>
    <row r="763" spans="1:16" s="385" customFormat="1" ht="15.75">
      <c r="A763" s="29"/>
      <c r="B763" s="29"/>
      <c r="C763" s="37"/>
      <c r="D763" s="183"/>
      <c r="E763" s="29"/>
      <c r="F763" s="37"/>
      <c r="G763" s="37"/>
      <c r="H763" s="37"/>
      <c r="I763" s="310"/>
      <c r="J763" s="37"/>
      <c r="K763" s="310"/>
      <c r="L763" s="37"/>
      <c r="M763" s="27"/>
      <c r="O763" s="230"/>
      <c r="P763" s="230"/>
    </row>
    <row r="764" spans="1:16" s="385" customFormat="1" ht="15.75">
      <c r="A764" s="29"/>
      <c r="B764" s="29"/>
      <c r="C764" s="37"/>
      <c r="D764" s="183"/>
      <c r="E764" s="29"/>
      <c r="F764" s="37"/>
      <c r="G764" s="37"/>
      <c r="H764" s="37"/>
      <c r="I764" s="310"/>
      <c r="J764" s="37"/>
      <c r="K764" s="310"/>
      <c r="L764" s="37"/>
      <c r="M764" s="27"/>
      <c r="O764" s="230"/>
      <c r="P764" s="230"/>
    </row>
    <row r="765" spans="1:16" s="385" customFormat="1" ht="15.75">
      <c r="A765" s="29"/>
      <c r="B765" s="29"/>
      <c r="C765" s="37"/>
      <c r="D765" s="183"/>
      <c r="E765" s="29"/>
      <c r="F765" s="37"/>
      <c r="G765" s="37"/>
      <c r="H765" s="37"/>
      <c r="I765" s="310"/>
      <c r="J765" s="37"/>
      <c r="K765" s="310"/>
      <c r="L765" s="37"/>
      <c r="M765" s="27"/>
      <c r="O765" s="230"/>
      <c r="P765" s="230"/>
    </row>
    <row r="766" spans="1:16" s="385" customFormat="1" ht="15.75">
      <c r="A766" s="29"/>
      <c r="B766" s="29"/>
      <c r="C766" s="37"/>
      <c r="D766" s="183"/>
      <c r="E766" s="29"/>
      <c r="F766" s="37"/>
      <c r="G766" s="37"/>
      <c r="H766" s="37"/>
      <c r="I766" s="310"/>
      <c r="J766" s="37"/>
      <c r="K766" s="310"/>
      <c r="L766" s="37"/>
      <c r="M766" s="27"/>
      <c r="O766" s="230"/>
      <c r="P766" s="230"/>
    </row>
    <row r="767" spans="1:16" s="385" customFormat="1" ht="15.75">
      <c r="A767" s="29"/>
      <c r="B767" s="29"/>
      <c r="C767" s="37"/>
      <c r="D767" s="183"/>
      <c r="E767" s="29"/>
      <c r="F767" s="37"/>
      <c r="G767" s="37"/>
      <c r="H767" s="37"/>
      <c r="I767" s="310"/>
      <c r="J767" s="37"/>
      <c r="K767" s="310"/>
      <c r="L767" s="37"/>
      <c r="M767" s="27"/>
      <c r="O767" s="230"/>
      <c r="P767" s="230"/>
    </row>
    <row r="768" spans="1:16" s="385" customFormat="1" ht="15.75">
      <c r="A768" s="29"/>
      <c r="B768" s="29"/>
      <c r="C768" s="37"/>
      <c r="D768" s="183"/>
      <c r="E768" s="29"/>
      <c r="F768" s="37"/>
      <c r="G768" s="37"/>
      <c r="H768" s="37"/>
      <c r="I768" s="310"/>
      <c r="J768" s="37"/>
      <c r="K768" s="310"/>
      <c r="L768" s="37"/>
      <c r="M768" s="27"/>
      <c r="O768" s="230"/>
      <c r="P768" s="230"/>
    </row>
    <row r="769" spans="1:16" s="385" customFormat="1" ht="15.75">
      <c r="A769" s="29"/>
      <c r="B769" s="29"/>
      <c r="C769" s="37"/>
      <c r="D769" s="183"/>
      <c r="E769" s="29"/>
      <c r="F769" s="37"/>
      <c r="G769" s="37"/>
      <c r="H769" s="37"/>
      <c r="I769" s="310"/>
      <c r="J769" s="37"/>
      <c r="K769" s="310"/>
      <c r="L769" s="37"/>
      <c r="M769" s="27"/>
      <c r="O769" s="230"/>
      <c r="P769" s="230"/>
    </row>
    <row r="770" spans="1:16" s="385" customFormat="1" ht="15.75">
      <c r="A770" s="29"/>
      <c r="B770" s="29"/>
      <c r="C770" s="37"/>
      <c r="D770" s="183"/>
      <c r="E770" s="29"/>
      <c r="F770" s="37"/>
      <c r="G770" s="37"/>
      <c r="H770" s="37"/>
      <c r="I770" s="310"/>
      <c r="J770" s="37"/>
      <c r="K770" s="310"/>
      <c r="L770" s="37"/>
      <c r="M770" s="27"/>
      <c r="O770" s="230"/>
      <c r="P770" s="230"/>
    </row>
    <row r="771" spans="1:16" s="385" customFormat="1" ht="15.75">
      <c r="A771" s="29"/>
      <c r="B771" s="29"/>
      <c r="C771" s="37"/>
      <c r="D771" s="183"/>
      <c r="E771" s="29"/>
      <c r="F771" s="37"/>
      <c r="G771" s="37"/>
      <c r="H771" s="37"/>
      <c r="I771" s="310"/>
      <c r="J771" s="37"/>
      <c r="K771" s="310"/>
      <c r="L771" s="37"/>
      <c r="M771" s="27"/>
      <c r="O771" s="230"/>
      <c r="P771" s="230"/>
    </row>
    <row r="772" spans="1:16" s="385" customFormat="1" ht="15.75">
      <c r="A772" s="29"/>
      <c r="B772" s="29"/>
      <c r="C772" s="37"/>
      <c r="D772" s="183"/>
      <c r="E772" s="29"/>
      <c r="F772" s="37"/>
      <c r="G772" s="37"/>
      <c r="H772" s="37"/>
      <c r="I772" s="310"/>
      <c r="J772" s="37"/>
      <c r="K772" s="310"/>
      <c r="L772" s="37"/>
      <c r="M772" s="27"/>
      <c r="O772" s="230"/>
      <c r="P772" s="230"/>
    </row>
    <row r="773" spans="1:16" s="385" customFormat="1" ht="15.75">
      <c r="A773" s="29"/>
      <c r="B773" s="29"/>
      <c r="C773" s="37"/>
      <c r="D773" s="183"/>
      <c r="E773" s="29"/>
      <c r="F773" s="37"/>
      <c r="G773" s="37"/>
      <c r="H773" s="37"/>
      <c r="I773" s="310"/>
      <c r="J773" s="37"/>
      <c r="K773" s="310"/>
      <c r="L773" s="37"/>
      <c r="M773" s="27"/>
      <c r="O773" s="230"/>
      <c r="P773" s="230"/>
    </row>
    <row r="774" spans="1:16" s="385" customFormat="1" ht="15.75">
      <c r="A774" s="29"/>
      <c r="B774" s="29"/>
      <c r="C774" s="37"/>
      <c r="D774" s="183"/>
      <c r="E774" s="29"/>
      <c r="F774" s="37"/>
      <c r="G774" s="37"/>
      <c r="H774" s="37"/>
      <c r="I774" s="310"/>
      <c r="J774" s="37"/>
      <c r="K774" s="310"/>
      <c r="L774" s="37"/>
      <c r="M774" s="27"/>
      <c r="O774" s="230"/>
      <c r="P774" s="230"/>
    </row>
    <row r="775" spans="1:16" s="385" customFormat="1" ht="15.75">
      <c r="A775" s="29"/>
      <c r="B775" s="29"/>
      <c r="C775" s="37"/>
      <c r="D775" s="183"/>
      <c r="E775" s="29"/>
      <c r="F775" s="37"/>
      <c r="G775" s="37"/>
      <c r="H775" s="37"/>
      <c r="I775" s="310"/>
      <c r="J775" s="37"/>
      <c r="K775" s="310"/>
      <c r="L775" s="37"/>
      <c r="M775" s="27"/>
      <c r="O775" s="230"/>
      <c r="P775" s="230"/>
    </row>
    <row r="776" spans="1:16" s="385" customFormat="1" ht="15.75">
      <c r="A776" s="29"/>
      <c r="B776" s="29"/>
      <c r="C776" s="37"/>
      <c r="D776" s="183"/>
      <c r="E776" s="29"/>
      <c r="F776" s="37"/>
      <c r="G776" s="37"/>
      <c r="H776" s="37"/>
      <c r="I776" s="310"/>
      <c r="J776" s="37"/>
      <c r="K776" s="310"/>
      <c r="L776" s="37"/>
      <c r="M776" s="27"/>
      <c r="O776" s="230"/>
      <c r="P776" s="230"/>
    </row>
    <row r="777" spans="1:16" s="385" customFormat="1" ht="15.75">
      <c r="A777" s="29"/>
      <c r="B777" s="29"/>
      <c r="C777" s="37"/>
      <c r="D777" s="183"/>
      <c r="E777" s="29"/>
      <c r="F777" s="37"/>
      <c r="G777" s="37"/>
      <c r="H777" s="37"/>
      <c r="I777" s="310"/>
      <c r="J777" s="37"/>
      <c r="K777" s="310"/>
      <c r="L777" s="37"/>
      <c r="M777" s="27"/>
      <c r="O777" s="230"/>
      <c r="P777" s="230"/>
    </row>
    <row r="778" spans="1:16" s="385" customFormat="1" ht="15.75">
      <c r="A778" s="29"/>
      <c r="B778" s="29"/>
      <c r="C778" s="37"/>
      <c r="D778" s="183"/>
      <c r="E778" s="29"/>
      <c r="F778" s="37"/>
      <c r="G778" s="37"/>
      <c r="H778" s="37"/>
      <c r="I778" s="310"/>
      <c r="J778" s="37"/>
      <c r="K778" s="310"/>
      <c r="L778" s="37"/>
      <c r="M778" s="27"/>
      <c r="O778" s="230"/>
      <c r="P778" s="230"/>
    </row>
    <row r="779" spans="1:16" s="385" customFormat="1" ht="15.75">
      <c r="A779" s="29"/>
      <c r="B779" s="29"/>
      <c r="C779" s="37"/>
      <c r="D779" s="183"/>
      <c r="E779" s="29"/>
      <c r="F779" s="37"/>
      <c r="G779" s="37"/>
      <c r="H779" s="37"/>
      <c r="I779" s="310"/>
      <c r="J779" s="37"/>
      <c r="K779" s="310"/>
      <c r="L779" s="37"/>
      <c r="M779" s="27"/>
      <c r="O779" s="230"/>
      <c r="P779" s="230"/>
    </row>
    <row r="780" spans="1:16" s="385" customFormat="1" ht="15.75">
      <c r="A780" s="29"/>
      <c r="B780" s="29"/>
      <c r="C780" s="37"/>
      <c r="D780" s="183"/>
      <c r="E780" s="29"/>
      <c r="F780" s="37"/>
      <c r="G780" s="37"/>
      <c r="H780" s="37"/>
      <c r="I780" s="310"/>
      <c r="J780" s="37"/>
      <c r="K780" s="310"/>
      <c r="L780" s="37"/>
      <c r="M780" s="27"/>
      <c r="O780" s="230"/>
      <c r="P780" s="230"/>
    </row>
    <row r="781" spans="1:16" s="385" customFormat="1" ht="15.75">
      <c r="A781" s="29"/>
      <c r="B781" s="29"/>
      <c r="C781" s="37"/>
      <c r="D781" s="183"/>
      <c r="E781" s="29"/>
      <c r="F781" s="37"/>
      <c r="G781" s="37"/>
      <c r="H781" s="37"/>
      <c r="I781" s="310"/>
      <c r="J781" s="37"/>
      <c r="K781" s="310"/>
      <c r="L781" s="37"/>
      <c r="M781" s="27"/>
      <c r="O781" s="230"/>
      <c r="P781" s="230"/>
    </row>
    <row r="782" spans="1:16" s="385" customFormat="1" ht="15.75">
      <c r="A782" s="29"/>
      <c r="B782" s="29"/>
      <c r="C782" s="37"/>
      <c r="D782" s="183"/>
      <c r="E782" s="29"/>
      <c r="F782" s="37"/>
      <c r="G782" s="37"/>
      <c r="H782" s="37"/>
      <c r="I782" s="310"/>
      <c r="J782" s="37"/>
      <c r="K782" s="310"/>
      <c r="L782" s="37"/>
      <c r="M782" s="27"/>
      <c r="O782" s="230"/>
      <c r="P782" s="230"/>
    </row>
    <row r="783" spans="1:16" s="385" customFormat="1" ht="15.75">
      <c r="A783" s="29"/>
      <c r="B783" s="29"/>
      <c r="C783" s="37"/>
      <c r="D783" s="183"/>
      <c r="E783" s="29"/>
      <c r="F783" s="37"/>
      <c r="G783" s="37"/>
      <c r="H783" s="37"/>
      <c r="I783" s="310"/>
      <c r="J783" s="37"/>
      <c r="K783" s="310"/>
      <c r="L783" s="37"/>
      <c r="M783" s="27"/>
      <c r="O783" s="230"/>
      <c r="P783" s="230"/>
    </row>
    <row r="784" spans="1:16" s="385" customFormat="1" ht="15.75">
      <c r="A784" s="29"/>
      <c r="B784" s="29"/>
      <c r="C784" s="37"/>
      <c r="D784" s="183"/>
      <c r="E784" s="29"/>
      <c r="F784" s="37"/>
      <c r="G784" s="37"/>
      <c r="H784" s="37"/>
      <c r="I784" s="310"/>
      <c r="J784" s="37"/>
      <c r="K784" s="310"/>
      <c r="L784" s="37"/>
      <c r="M784" s="27"/>
      <c r="O784" s="230"/>
      <c r="P784" s="230"/>
    </row>
    <row r="785" spans="1:16" s="385" customFormat="1" ht="15.75">
      <c r="A785" s="29"/>
      <c r="B785" s="29"/>
      <c r="C785" s="37"/>
      <c r="D785" s="183"/>
      <c r="E785" s="29"/>
      <c r="F785" s="37"/>
      <c r="G785" s="37"/>
      <c r="H785" s="37"/>
      <c r="I785" s="310"/>
      <c r="J785" s="37"/>
      <c r="K785" s="310"/>
      <c r="L785" s="37"/>
      <c r="M785" s="27"/>
      <c r="O785" s="230"/>
      <c r="P785" s="230"/>
    </row>
    <row r="786" spans="1:16" s="385" customFormat="1" ht="15.75">
      <c r="A786" s="29"/>
      <c r="B786" s="29"/>
      <c r="C786" s="37"/>
      <c r="D786" s="183"/>
      <c r="E786" s="29"/>
      <c r="F786" s="37"/>
      <c r="G786" s="37"/>
      <c r="H786" s="37"/>
      <c r="I786" s="310"/>
      <c r="J786" s="37"/>
      <c r="K786" s="310"/>
      <c r="L786" s="37"/>
      <c r="M786" s="27"/>
      <c r="O786" s="230"/>
      <c r="P786" s="230"/>
    </row>
    <row r="787" spans="1:16" s="385" customFormat="1" ht="15.75">
      <c r="A787" s="29"/>
      <c r="B787" s="29"/>
      <c r="C787" s="37"/>
      <c r="D787" s="183"/>
      <c r="E787" s="29"/>
      <c r="F787" s="37"/>
      <c r="G787" s="37"/>
      <c r="H787" s="37"/>
      <c r="I787" s="310"/>
      <c r="J787" s="37"/>
      <c r="K787" s="310"/>
      <c r="L787" s="37"/>
      <c r="M787" s="27"/>
      <c r="O787" s="230"/>
      <c r="P787" s="230"/>
    </row>
    <row r="788" spans="1:16" s="385" customFormat="1" ht="15.75">
      <c r="A788" s="29"/>
      <c r="B788" s="29"/>
      <c r="C788" s="37"/>
      <c r="D788" s="183"/>
      <c r="E788" s="29"/>
      <c r="F788" s="37"/>
      <c r="G788" s="37"/>
      <c r="H788" s="37"/>
      <c r="I788" s="310"/>
      <c r="J788" s="37"/>
      <c r="K788" s="310"/>
      <c r="L788" s="37"/>
      <c r="M788" s="27"/>
      <c r="O788" s="230"/>
      <c r="P788" s="230"/>
    </row>
    <row r="789" spans="1:16" s="385" customFormat="1" ht="15.75">
      <c r="A789" s="29"/>
      <c r="B789" s="29"/>
      <c r="C789" s="37"/>
      <c r="D789" s="183"/>
      <c r="E789" s="29"/>
      <c r="F789" s="37"/>
      <c r="G789" s="37"/>
      <c r="H789" s="37"/>
      <c r="I789" s="310"/>
      <c r="J789" s="37"/>
      <c r="K789" s="310"/>
      <c r="L789" s="37"/>
      <c r="M789" s="27"/>
      <c r="O789" s="230"/>
      <c r="P789" s="230"/>
    </row>
    <row r="790" spans="1:16" s="385" customFormat="1" ht="15.75">
      <c r="A790" s="29"/>
      <c r="B790" s="29"/>
      <c r="C790" s="37"/>
      <c r="D790" s="183"/>
      <c r="E790" s="29"/>
      <c r="F790" s="37"/>
      <c r="G790" s="37"/>
      <c r="H790" s="37"/>
      <c r="I790" s="310"/>
      <c r="J790" s="37"/>
      <c r="K790" s="310"/>
      <c r="L790" s="37"/>
      <c r="M790" s="27"/>
      <c r="O790" s="230"/>
      <c r="P790" s="230"/>
    </row>
    <row r="791" spans="1:16" s="385" customFormat="1" ht="15.75">
      <c r="A791" s="29"/>
      <c r="B791" s="29"/>
      <c r="C791" s="37"/>
      <c r="D791" s="183"/>
      <c r="E791" s="29"/>
      <c r="F791" s="37"/>
      <c r="G791" s="37"/>
      <c r="H791" s="37"/>
      <c r="I791" s="310"/>
      <c r="J791" s="37"/>
      <c r="K791" s="310"/>
      <c r="L791" s="37"/>
      <c r="M791" s="27"/>
      <c r="O791" s="230"/>
      <c r="P791" s="230"/>
    </row>
    <row r="792" spans="1:16" s="385" customFormat="1" ht="15.75">
      <c r="A792" s="29"/>
      <c r="B792" s="29"/>
      <c r="C792" s="37"/>
      <c r="D792" s="183"/>
      <c r="E792" s="29"/>
      <c r="F792" s="37"/>
      <c r="G792" s="37"/>
      <c r="H792" s="37"/>
      <c r="I792" s="310"/>
      <c r="J792" s="37"/>
      <c r="K792" s="310"/>
      <c r="L792" s="37"/>
      <c r="M792" s="27"/>
      <c r="O792" s="230"/>
      <c r="P792" s="230"/>
    </row>
    <row r="793" spans="1:16" s="385" customFormat="1" ht="15.75">
      <c r="A793" s="29"/>
      <c r="B793" s="29"/>
      <c r="C793" s="37"/>
      <c r="D793" s="183"/>
      <c r="E793" s="29"/>
      <c r="F793" s="37"/>
      <c r="G793" s="37"/>
      <c r="H793" s="37"/>
      <c r="I793" s="310"/>
      <c r="J793" s="37"/>
      <c r="K793" s="310"/>
      <c r="L793" s="37"/>
      <c r="M793" s="27"/>
      <c r="O793" s="230"/>
      <c r="P793" s="230"/>
    </row>
    <row r="794" spans="1:16" s="385" customFormat="1" ht="15.75">
      <c r="A794" s="29"/>
      <c r="B794" s="29"/>
      <c r="C794" s="37"/>
      <c r="D794" s="183"/>
      <c r="E794" s="29"/>
      <c r="F794" s="37"/>
      <c r="G794" s="37"/>
      <c r="H794" s="37"/>
      <c r="I794" s="310"/>
      <c r="J794" s="37"/>
      <c r="K794" s="310"/>
      <c r="L794" s="37"/>
      <c r="M794" s="27"/>
      <c r="O794" s="230"/>
      <c r="P794" s="230"/>
    </row>
    <row r="795" spans="1:16" s="385" customFormat="1" ht="15.75">
      <c r="A795" s="29"/>
      <c r="B795" s="29"/>
      <c r="C795" s="37"/>
      <c r="D795" s="183"/>
      <c r="E795" s="29"/>
      <c r="F795" s="37"/>
      <c r="G795" s="37"/>
      <c r="H795" s="37"/>
      <c r="I795" s="310"/>
      <c r="J795" s="37"/>
      <c r="K795" s="310"/>
      <c r="L795" s="37"/>
      <c r="M795" s="27"/>
      <c r="O795" s="230"/>
      <c r="P795" s="230"/>
    </row>
    <row r="796" spans="1:16" s="385" customFormat="1" ht="15.75">
      <c r="A796" s="29"/>
      <c r="B796" s="29"/>
      <c r="C796" s="37"/>
      <c r="D796" s="183"/>
      <c r="E796" s="29"/>
      <c r="F796" s="37"/>
      <c r="G796" s="37"/>
      <c r="H796" s="37"/>
      <c r="I796" s="310"/>
      <c r="J796" s="37"/>
      <c r="K796" s="310"/>
      <c r="L796" s="37"/>
      <c r="M796" s="27"/>
      <c r="O796" s="230"/>
      <c r="P796" s="230"/>
    </row>
    <row r="797" spans="1:16" s="385" customFormat="1" ht="15.75">
      <c r="A797" s="29"/>
      <c r="B797" s="29"/>
      <c r="C797" s="37"/>
      <c r="D797" s="183"/>
      <c r="E797" s="29"/>
      <c r="F797" s="37"/>
      <c r="G797" s="37"/>
      <c r="H797" s="37"/>
      <c r="I797" s="310"/>
      <c r="J797" s="37"/>
      <c r="K797" s="310"/>
      <c r="L797" s="37"/>
      <c r="M797" s="27"/>
      <c r="O797" s="230"/>
      <c r="P797" s="230"/>
    </row>
    <row r="798" spans="1:16" s="385" customFormat="1" ht="15.75">
      <c r="A798" s="29"/>
      <c r="B798" s="29"/>
      <c r="C798" s="37"/>
      <c r="D798" s="183"/>
      <c r="E798" s="29"/>
      <c r="F798" s="37"/>
      <c r="G798" s="37"/>
      <c r="H798" s="37"/>
      <c r="I798" s="310"/>
      <c r="J798" s="37"/>
      <c r="K798" s="310"/>
      <c r="L798" s="37"/>
      <c r="M798" s="27"/>
      <c r="O798" s="230"/>
      <c r="P798" s="230"/>
    </row>
    <row r="799" spans="1:16" s="385" customFormat="1" ht="15.75">
      <c r="A799" s="29"/>
      <c r="B799" s="29"/>
      <c r="C799" s="37"/>
      <c r="D799" s="183"/>
      <c r="E799" s="29"/>
      <c r="F799" s="37"/>
      <c r="G799" s="37"/>
      <c r="H799" s="37"/>
      <c r="I799" s="310"/>
      <c r="J799" s="37"/>
      <c r="K799" s="310"/>
      <c r="L799" s="37"/>
      <c r="M799" s="27"/>
      <c r="O799" s="230"/>
      <c r="P799" s="230"/>
    </row>
    <row r="800" spans="1:16" s="385" customFormat="1" ht="15.75">
      <c r="A800" s="29"/>
      <c r="B800" s="29"/>
      <c r="C800" s="37"/>
      <c r="D800" s="183"/>
      <c r="E800" s="29"/>
      <c r="F800" s="37"/>
      <c r="G800" s="37"/>
      <c r="H800" s="37"/>
      <c r="I800" s="310"/>
      <c r="J800" s="37"/>
      <c r="K800" s="310"/>
      <c r="L800" s="37"/>
      <c r="M800" s="27"/>
      <c r="O800" s="230"/>
      <c r="P800" s="230"/>
    </row>
    <row r="801" spans="1:16" s="385" customFormat="1" ht="15.75">
      <c r="A801" s="29"/>
      <c r="B801" s="29"/>
      <c r="C801" s="37"/>
      <c r="D801" s="183"/>
      <c r="E801" s="29"/>
      <c r="F801" s="37"/>
      <c r="G801" s="37"/>
      <c r="H801" s="37"/>
      <c r="I801" s="310"/>
      <c r="J801" s="37"/>
      <c r="K801" s="310"/>
      <c r="L801" s="37"/>
      <c r="M801" s="27"/>
      <c r="O801" s="230"/>
      <c r="P801" s="230"/>
    </row>
    <row r="802" spans="1:16" s="385" customFormat="1" ht="15.75">
      <c r="A802" s="29"/>
      <c r="B802" s="29"/>
      <c r="C802" s="37"/>
      <c r="D802" s="183"/>
      <c r="E802" s="29"/>
      <c r="F802" s="37"/>
      <c r="G802" s="37"/>
      <c r="H802" s="37"/>
      <c r="I802" s="310"/>
      <c r="J802" s="37"/>
      <c r="K802" s="310"/>
      <c r="L802" s="37"/>
      <c r="M802" s="27"/>
      <c r="O802" s="230"/>
      <c r="P802" s="230"/>
    </row>
    <row r="803" spans="1:16" s="385" customFormat="1" ht="15.75">
      <c r="A803" s="29"/>
      <c r="B803" s="29"/>
      <c r="C803" s="37"/>
      <c r="D803" s="183"/>
      <c r="E803" s="29"/>
      <c r="F803" s="37"/>
      <c r="G803" s="37"/>
      <c r="H803" s="37"/>
      <c r="I803" s="310"/>
      <c r="J803" s="37"/>
      <c r="K803" s="310"/>
      <c r="L803" s="37"/>
      <c r="M803" s="27"/>
      <c r="O803" s="230"/>
      <c r="P803" s="230"/>
    </row>
    <row r="804" spans="1:16" s="385" customFormat="1" ht="15.75">
      <c r="A804" s="29"/>
      <c r="B804" s="29"/>
      <c r="C804" s="37"/>
      <c r="D804" s="183"/>
      <c r="E804" s="29"/>
      <c r="F804" s="37"/>
      <c r="G804" s="37"/>
      <c r="H804" s="37"/>
      <c r="I804" s="310"/>
      <c r="J804" s="37"/>
      <c r="K804" s="310"/>
      <c r="L804" s="37"/>
      <c r="M804" s="27"/>
      <c r="O804" s="230"/>
      <c r="P804" s="230"/>
    </row>
    <row r="805" spans="1:16" s="385" customFormat="1" ht="15.75">
      <c r="A805" s="29"/>
      <c r="B805" s="29"/>
      <c r="C805" s="37"/>
      <c r="D805" s="183"/>
      <c r="E805" s="29"/>
      <c r="F805" s="37"/>
      <c r="G805" s="37"/>
      <c r="H805" s="37"/>
      <c r="I805" s="310"/>
      <c r="J805" s="37"/>
      <c r="K805" s="310"/>
      <c r="L805" s="37"/>
      <c r="M805" s="27"/>
      <c r="O805" s="230"/>
      <c r="P805" s="230"/>
    </row>
    <row r="806" spans="1:16" s="385" customFormat="1" ht="15.75">
      <c r="A806" s="29"/>
      <c r="B806" s="29"/>
      <c r="C806" s="37"/>
      <c r="D806" s="183"/>
      <c r="E806" s="29"/>
      <c r="F806" s="37"/>
      <c r="G806" s="37"/>
      <c r="H806" s="37"/>
      <c r="I806" s="310"/>
      <c r="J806" s="37"/>
      <c r="K806" s="310"/>
      <c r="L806" s="37"/>
      <c r="M806" s="27"/>
      <c r="O806" s="230"/>
      <c r="P806" s="230"/>
    </row>
    <row r="807" spans="1:16" s="385" customFormat="1" ht="15.75">
      <c r="A807" s="29"/>
      <c r="B807" s="29"/>
      <c r="C807" s="37"/>
      <c r="D807" s="183"/>
      <c r="E807" s="29"/>
      <c r="F807" s="37"/>
      <c r="G807" s="37"/>
      <c r="H807" s="37"/>
      <c r="I807" s="310"/>
      <c r="J807" s="37"/>
      <c r="K807" s="310"/>
      <c r="L807" s="37"/>
      <c r="M807" s="27"/>
      <c r="O807" s="230"/>
      <c r="P807" s="230"/>
    </row>
    <row r="808" spans="1:16" s="385" customFormat="1" ht="15.75">
      <c r="A808" s="29"/>
      <c r="B808" s="29"/>
      <c r="C808" s="37"/>
      <c r="D808" s="183"/>
      <c r="E808" s="29"/>
      <c r="F808" s="37"/>
      <c r="G808" s="37"/>
      <c r="H808" s="37"/>
      <c r="I808" s="310"/>
      <c r="J808" s="37"/>
      <c r="K808" s="310"/>
      <c r="L808" s="37"/>
      <c r="M808" s="27"/>
      <c r="O808" s="230"/>
      <c r="P808" s="230"/>
    </row>
    <row r="809" spans="1:16" s="385" customFormat="1" ht="15.75">
      <c r="A809" s="29"/>
      <c r="B809" s="29"/>
      <c r="C809" s="37"/>
      <c r="D809" s="183"/>
      <c r="E809" s="29"/>
      <c r="F809" s="37"/>
      <c r="G809" s="37"/>
      <c r="H809" s="37"/>
      <c r="I809" s="310"/>
      <c r="J809" s="37"/>
      <c r="K809" s="310"/>
      <c r="L809" s="37"/>
      <c r="M809" s="27"/>
      <c r="O809" s="230"/>
      <c r="P809" s="230"/>
    </row>
    <row r="810" spans="1:16" s="385" customFormat="1" ht="15.75">
      <c r="A810" s="29"/>
      <c r="B810" s="29"/>
      <c r="C810" s="37"/>
      <c r="D810" s="183"/>
      <c r="E810" s="29"/>
      <c r="F810" s="37"/>
      <c r="G810" s="37"/>
      <c r="H810" s="37"/>
      <c r="I810" s="310"/>
      <c r="J810" s="37"/>
      <c r="K810" s="310"/>
      <c r="L810" s="37"/>
      <c r="M810" s="27"/>
      <c r="O810" s="230"/>
      <c r="P810" s="230"/>
    </row>
    <row r="811" spans="1:16" s="385" customFormat="1" ht="15.75">
      <c r="A811" s="29"/>
      <c r="B811" s="29"/>
      <c r="C811" s="37"/>
      <c r="D811" s="183"/>
      <c r="E811" s="29"/>
      <c r="F811" s="37"/>
      <c r="G811" s="37"/>
      <c r="H811" s="37"/>
      <c r="I811" s="310"/>
      <c r="J811" s="37"/>
      <c r="K811" s="310"/>
      <c r="L811" s="37"/>
      <c r="M811" s="27"/>
      <c r="O811" s="230"/>
      <c r="P811" s="230"/>
    </row>
    <row r="812" spans="1:16" s="385" customFormat="1" ht="15.75">
      <c r="A812" s="29"/>
      <c r="B812" s="29"/>
      <c r="C812" s="37"/>
      <c r="D812" s="183"/>
      <c r="E812" s="29"/>
      <c r="F812" s="37"/>
      <c r="G812" s="37"/>
      <c r="H812" s="37"/>
      <c r="I812" s="310"/>
      <c r="J812" s="37"/>
      <c r="K812" s="310"/>
      <c r="L812" s="37"/>
      <c r="M812" s="27"/>
      <c r="O812" s="230"/>
      <c r="P812" s="230"/>
    </row>
    <row r="813" spans="1:16" s="385" customFormat="1" ht="15.75">
      <c r="A813" s="29"/>
      <c r="B813" s="29"/>
      <c r="C813" s="37"/>
      <c r="D813" s="183"/>
      <c r="E813" s="29"/>
      <c r="F813" s="37"/>
      <c r="G813" s="37"/>
      <c r="H813" s="37"/>
      <c r="I813" s="310"/>
      <c r="J813" s="37"/>
      <c r="K813" s="310"/>
      <c r="L813" s="37"/>
      <c r="M813" s="27"/>
      <c r="O813" s="230"/>
      <c r="P813" s="230"/>
    </row>
    <row r="814" spans="1:16" s="385" customFormat="1" ht="15.75">
      <c r="A814" s="29"/>
      <c r="B814" s="29"/>
      <c r="C814" s="37"/>
      <c r="D814" s="183"/>
      <c r="E814" s="29"/>
      <c r="F814" s="37"/>
      <c r="G814" s="37"/>
      <c r="H814" s="37"/>
      <c r="I814" s="310"/>
      <c r="J814" s="37"/>
      <c r="K814" s="310"/>
      <c r="L814" s="37"/>
      <c r="M814" s="27"/>
      <c r="O814" s="230"/>
      <c r="P814" s="230"/>
    </row>
    <row r="815" spans="1:16" s="385" customFormat="1" ht="15.75">
      <c r="A815" s="29"/>
      <c r="B815" s="29"/>
      <c r="C815" s="37"/>
      <c r="D815" s="183"/>
      <c r="E815" s="29"/>
      <c r="F815" s="37"/>
      <c r="G815" s="37"/>
      <c r="H815" s="37"/>
      <c r="I815" s="310"/>
      <c r="J815" s="37"/>
      <c r="K815" s="310"/>
      <c r="L815" s="37"/>
      <c r="M815" s="27"/>
      <c r="O815" s="230"/>
      <c r="P815" s="230"/>
    </row>
    <row r="816" spans="1:16" s="385" customFormat="1" ht="15.75">
      <c r="A816" s="29"/>
      <c r="B816" s="29"/>
      <c r="C816" s="37"/>
      <c r="D816" s="183"/>
      <c r="E816" s="29"/>
      <c r="F816" s="37"/>
      <c r="G816" s="37"/>
      <c r="H816" s="37"/>
      <c r="I816" s="310"/>
      <c r="J816" s="37"/>
      <c r="K816" s="310"/>
      <c r="L816" s="37"/>
      <c r="M816" s="27"/>
      <c r="O816" s="230"/>
      <c r="P816" s="230"/>
    </row>
    <row r="817" spans="1:16" s="385" customFormat="1" ht="15.75">
      <c r="A817" s="29"/>
      <c r="B817" s="29"/>
      <c r="C817" s="37"/>
      <c r="D817" s="183"/>
      <c r="E817" s="29"/>
      <c r="F817" s="37"/>
      <c r="G817" s="37"/>
      <c r="H817" s="37"/>
      <c r="I817" s="310"/>
      <c r="J817" s="37"/>
      <c r="K817" s="310"/>
      <c r="L817" s="37"/>
      <c r="M817" s="27"/>
      <c r="O817" s="230"/>
      <c r="P817" s="230"/>
    </row>
    <row r="818" spans="1:16" s="385" customFormat="1" ht="15.75">
      <c r="A818" s="29"/>
      <c r="B818" s="29"/>
      <c r="C818" s="37"/>
      <c r="D818" s="183"/>
      <c r="E818" s="29"/>
      <c r="F818" s="37"/>
      <c r="G818" s="37"/>
      <c r="H818" s="37"/>
      <c r="I818" s="310"/>
      <c r="J818" s="37"/>
      <c r="K818" s="310"/>
      <c r="L818" s="37"/>
      <c r="M818" s="27"/>
      <c r="O818" s="230"/>
      <c r="P818" s="230"/>
    </row>
    <row r="819" spans="1:16" s="385" customFormat="1" ht="15.75">
      <c r="A819" s="29"/>
      <c r="B819" s="29"/>
      <c r="C819" s="37"/>
      <c r="D819" s="183"/>
      <c r="E819" s="29"/>
      <c r="F819" s="37"/>
      <c r="G819" s="37"/>
      <c r="H819" s="37"/>
      <c r="I819" s="310"/>
      <c r="J819" s="37"/>
      <c r="K819" s="310"/>
      <c r="L819" s="37"/>
      <c r="M819" s="27"/>
      <c r="O819" s="230"/>
      <c r="P819" s="230"/>
    </row>
    <row r="820" spans="1:16" s="385" customFormat="1" ht="15.75">
      <c r="A820" s="29"/>
      <c r="B820" s="29"/>
      <c r="C820" s="37"/>
      <c r="D820" s="183"/>
      <c r="E820" s="29"/>
      <c r="F820" s="37"/>
      <c r="G820" s="37"/>
      <c r="H820" s="37"/>
      <c r="I820" s="310"/>
      <c r="J820" s="37"/>
      <c r="K820" s="310"/>
      <c r="L820" s="37"/>
      <c r="M820" s="27"/>
      <c r="O820" s="230"/>
      <c r="P820" s="230"/>
    </row>
    <row r="821" spans="1:16" s="385" customFormat="1" ht="15.75">
      <c r="A821" s="29"/>
      <c r="B821" s="29"/>
      <c r="C821" s="37"/>
      <c r="D821" s="183"/>
      <c r="E821" s="29"/>
      <c r="F821" s="37"/>
      <c r="G821" s="37"/>
      <c r="H821" s="37"/>
      <c r="I821" s="310"/>
      <c r="J821" s="37"/>
      <c r="K821" s="310"/>
      <c r="L821" s="37"/>
      <c r="M821" s="27"/>
      <c r="O821" s="230"/>
      <c r="P821" s="230"/>
    </row>
    <row r="822" spans="1:16" s="385" customFormat="1" ht="15.75">
      <c r="A822" s="29"/>
      <c r="B822" s="29"/>
      <c r="C822" s="37"/>
      <c r="D822" s="183"/>
      <c r="E822" s="29"/>
      <c r="F822" s="37"/>
      <c r="G822" s="37"/>
      <c r="H822" s="37"/>
      <c r="I822" s="310"/>
      <c r="J822" s="37"/>
      <c r="K822" s="310"/>
      <c r="L822" s="37"/>
      <c r="M822" s="27"/>
      <c r="O822" s="230"/>
      <c r="P822" s="230"/>
    </row>
    <row r="823" spans="1:16" s="385" customFormat="1" ht="15.75">
      <c r="A823" s="29"/>
      <c r="B823" s="29"/>
      <c r="C823" s="37"/>
      <c r="D823" s="183"/>
      <c r="E823" s="29"/>
      <c r="F823" s="37"/>
      <c r="G823" s="37"/>
      <c r="H823" s="37"/>
      <c r="I823" s="310"/>
      <c r="J823" s="37"/>
      <c r="K823" s="310"/>
      <c r="L823" s="37"/>
      <c r="M823" s="27"/>
      <c r="O823" s="230"/>
      <c r="P823" s="230"/>
    </row>
    <row r="824" spans="1:16" s="385" customFormat="1" ht="15.75">
      <c r="A824" s="29"/>
      <c r="B824" s="29"/>
      <c r="C824" s="37"/>
      <c r="D824" s="183"/>
      <c r="E824" s="29"/>
      <c r="F824" s="37"/>
      <c r="G824" s="37"/>
      <c r="H824" s="37"/>
      <c r="I824" s="310"/>
      <c r="J824" s="37"/>
      <c r="K824" s="310"/>
      <c r="L824" s="37"/>
      <c r="M824" s="27"/>
      <c r="O824" s="230"/>
      <c r="P824" s="230"/>
    </row>
    <row r="825" spans="1:16" s="385" customFormat="1" ht="15.75">
      <c r="A825" s="29"/>
      <c r="B825" s="29"/>
      <c r="C825" s="37"/>
      <c r="D825" s="183"/>
      <c r="E825" s="29"/>
      <c r="F825" s="37"/>
      <c r="G825" s="37"/>
      <c r="H825" s="37"/>
      <c r="I825" s="310"/>
      <c r="J825" s="37"/>
      <c r="K825" s="310"/>
      <c r="L825" s="37"/>
      <c r="M825" s="27"/>
      <c r="O825" s="230"/>
      <c r="P825" s="230"/>
    </row>
    <row r="826" spans="1:16" s="385" customFormat="1" ht="15.75">
      <c r="A826" s="29"/>
      <c r="B826" s="29"/>
      <c r="C826" s="37"/>
      <c r="D826" s="183"/>
      <c r="E826" s="29"/>
      <c r="F826" s="37"/>
      <c r="G826" s="37"/>
      <c r="H826" s="37"/>
      <c r="I826" s="310"/>
      <c r="J826" s="37"/>
      <c r="K826" s="310"/>
      <c r="L826" s="37"/>
      <c r="M826" s="27"/>
      <c r="O826" s="230"/>
      <c r="P826" s="230"/>
    </row>
    <row r="827" spans="1:16" s="385" customFormat="1" ht="15.75">
      <c r="A827" s="29"/>
      <c r="B827" s="29"/>
      <c r="C827" s="37"/>
      <c r="D827" s="183"/>
      <c r="E827" s="29"/>
      <c r="F827" s="37"/>
      <c r="G827" s="37"/>
      <c r="H827" s="37"/>
      <c r="I827" s="310"/>
      <c r="J827" s="37"/>
      <c r="K827" s="310"/>
      <c r="L827" s="37"/>
      <c r="M827" s="27"/>
      <c r="O827" s="230"/>
      <c r="P827" s="230"/>
    </row>
    <row r="828" spans="1:16" s="385" customFormat="1" ht="15.75">
      <c r="A828" s="29"/>
      <c r="B828" s="29"/>
      <c r="C828" s="37"/>
      <c r="D828" s="183"/>
      <c r="E828" s="29"/>
      <c r="F828" s="37"/>
      <c r="G828" s="37"/>
      <c r="H828" s="37"/>
      <c r="I828" s="310"/>
      <c r="J828" s="37"/>
      <c r="K828" s="310"/>
      <c r="L828" s="37"/>
      <c r="M828" s="27"/>
      <c r="O828" s="230"/>
      <c r="P828" s="230"/>
    </row>
    <row r="829" spans="1:16" s="385" customFormat="1" ht="15.75">
      <c r="A829" s="29"/>
      <c r="B829" s="29"/>
      <c r="C829" s="37"/>
      <c r="D829" s="183"/>
      <c r="E829" s="29"/>
      <c r="F829" s="37"/>
      <c r="G829" s="37"/>
      <c r="H829" s="37"/>
      <c r="I829" s="310"/>
      <c r="J829" s="37"/>
      <c r="K829" s="310"/>
      <c r="L829" s="37"/>
      <c r="M829" s="27"/>
      <c r="O829" s="230"/>
      <c r="P829" s="230"/>
    </row>
    <row r="830" spans="1:16" s="385" customFormat="1" ht="15.75">
      <c r="A830" s="29"/>
      <c r="B830" s="29"/>
      <c r="C830" s="37"/>
      <c r="D830" s="183"/>
      <c r="E830" s="29"/>
      <c r="F830" s="37"/>
      <c r="G830" s="37"/>
      <c r="H830" s="37"/>
      <c r="I830" s="310"/>
      <c r="J830" s="37"/>
      <c r="K830" s="310"/>
      <c r="L830" s="37"/>
      <c r="M830" s="27"/>
      <c r="O830" s="230"/>
      <c r="P830" s="230"/>
    </row>
    <row r="831" spans="1:16" s="385" customFormat="1" ht="15.75">
      <c r="A831" s="29"/>
      <c r="B831" s="29"/>
      <c r="C831" s="37"/>
      <c r="D831" s="183"/>
      <c r="E831" s="29"/>
      <c r="F831" s="37"/>
      <c r="G831" s="37"/>
      <c r="H831" s="37"/>
      <c r="I831" s="310"/>
      <c r="J831" s="37"/>
      <c r="K831" s="310"/>
      <c r="L831" s="37"/>
      <c r="M831" s="27"/>
      <c r="O831" s="230"/>
      <c r="P831" s="230"/>
    </row>
  </sheetData>
  <sheetProtection/>
  <mergeCells count="14">
    <mergeCell ref="I7:J7"/>
    <mergeCell ref="K7:L7"/>
    <mergeCell ref="M7:M8"/>
    <mergeCell ref="G242:I242"/>
    <mergeCell ref="A1:M1"/>
    <mergeCell ref="A3:M3"/>
    <mergeCell ref="A5:M5"/>
    <mergeCell ref="A7:A8"/>
    <mergeCell ref="B7:B8"/>
    <mergeCell ref="C7:C8"/>
    <mergeCell ref="D7:D8"/>
    <mergeCell ref="E7:E8"/>
    <mergeCell ref="F7:F8"/>
    <mergeCell ref="G7:H7"/>
  </mergeCells>
  <printOptions horizontalCentered="1"/>
  <pageMargins left="0.2" right="0.2" top="0.5" bottom="0.5" header="0.3" footer="0.3"/>
  <pageSetup horizontalDpi="600" verticalDpi="600" orientation="landscape" scale="83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820"/>
  <sheetViews>
    <sheetView view="pageBreakPreview" zoomScaleSheetLayoutView="100" zoomScalePageLayoutView="0" workbookViewId="0" topLeftCell="A1">
      <selection activeCell="C242" sqref="C242"/>
    </sheetView>
  </sheetViews>
  <sheetFormatPr defaultColWidth="9.140625" defaultRowHeight="12.75"/>
  <cols>
    <col min="1" max="1" width="3.28125" style="29" customWidth="1"/>
    <col min="2" max="2" width="10.57421875" style="271" customWidth="1"/>
    <col min="3" max="3" width="53.7109375" style="272" customWidth="1"/>
    <col min="4" max="4" width="7.8515625" style="272" customWidth="1"/>
    <col min="5" max="5" width="8.7109375" style="271" customWidth="1"/>
    <col min="6" max="6" width="9.28125" style="231" customWidth="1"/>
    <col min="7" max="7" width="8.8515625" style="231" customWidth="1"/>
    <col min="8" max="8" width="11.57421875" style="231" bestFit="1" customWidth="1"/>
    <col min="9" max="9" width="7.8515625" style="307" customWidth="1"/>
    <col min="10" max="10" width="11.00390625" style="231" customWidth="1"/>
    <col min="11" max="11" width="7.8515625" style="307" customWidth="1"/>
    <col min="12" max="12" width="9.7109375" style="231" customWidth="1"/>
    <col min="13" max="13" width="11.7109375" style="231" bestFit="1" customWidth="1"/>
    <col min="14" max="14" width="19.8515625" style="272" customWidth="1"/>
    <col min="15" max="15" width="12.8515625" style="272" customWidth="1"/>
    <col min="16" max="16" width="31.421875" style="272" customWidth="1"/>
    <col min="17" max="16384" width="9.140625" style="272" customWidth="1"/>
  </cols>
  <sheetData>
    <row r="1" spans="1:13" s="236" customFormat="1" ht="42" customHeight="1">
      <c r="A1" s="801" t="str">
        <f>კრებსიტი!A1</f>
        <v>სსიპ წიაღის ეროვნული სააგენტოსთვის დავით აღმაშენებლის გამზირზე #150 მდებარე შენობის მე-8 სართულის (საერთო ფართი 889.32 კვ.მ.) სარემონტო-სამონტაჟო სამუშაოებისთვის საჭირო საპროექტო-სახარჯთაღრიცხვო დოკუმენტაციის შედგენა. 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</row>
    <row r="2" spans="1:13" s="236" customFormat="1" ht="9" customHeight="1">
      <c r="A2" s="737"/>
      <c r="B2" s="113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 s="265" customFormat="1" ht="19.5" customHeight="1">
      <c r="A3" s="802" t="s">
        <v>376</v>
      </c>
      <c r="B3" s="802"/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</row>
    <row r="4" spans="1:13" s="265" customFormat="1" ht="9" customHeight="1">
      <c r="A4" s="738"/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</row>
    <row r="5" spans="1:13" s="266" customFormat="1" ht="18.75" customHeight="1">
      <c r="A5" s="790" t="s">
        <v>25</v>
      </c>
      <c r="B5" s="790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</row>
    <row r="6" spans="1:13" s="265" customFormat="1" ht="14.25" customHeight="1" thickBot="1">
      <c r="A6" s="13"/>
      <c r="B6" s="13"/>
      <c r="C6" s="51"/>
      <c r="D6" s="13"/>
      <c r="E6" s="13"/>
      <c r="F6" s="299"/>
      <c r="G6" s="299"/>
      <c r="H6" s="299"/>
      <c r="I6" s="300"/>
      <c r="J6" s="299"/>
      <c r="K6" s="300"/>
      <c r="L6" s="299"/>
      <c r="M6" s="299"/>
    </row>
    <row r="7" spans="1:13" s="265" customFormat="1" ht="36" customHeight="1" thickBot="1" thickTop="1">
      <c r="A7" s="791" t="s">
        <v>4</v>
      </c>
      <c r="B7" s="791" t="s">
        <v>5</v>
      </c>
      <c r="C7" s="792" t="s">
        <v>2</v>
      </c>
      <c r="D7" s="791" t="s">
        <v>0</v>
      </c>
      <c r="E7" s="791" t="s">
        <v>35</v>
      </c>
      <c r="F7" s="792" t="s">
        <v>1</v>
      </c>
      <c r="G7" s="792" t="s">
        <v>34</v>
      </c>
      <c r="H7" s="792"/>
      <c r="I7" s="792" t="s">
        <v>31</v>
      </c>
      <c r="J7" s="792"/>
      <c r="K7" s="792" t="s">
        <v>36</v>
      </c>
      <c r="L7" s="792"/>
      <c r="M7" s="792" t="s">
        <v>32</v>
      </c>
    </row>
    <row r="8" spans="1:14" s="265" customFormat="1" ht="29.25" customHeight="1" thickBot="1" thickTop="1">
      <c r="A8" s="791"/>
      <c r="B8" s="791"/>
      <c r="C8" s="792"/>
      <c r="D8" s="791"/>
      <c r="E8" s="791"/>
      <c r="F8" s="792"/>
      <c r="G8" s="399" t="s">
        <v>33</v>
      </c>
      <c r="H8" s="736" t="s">
        <v>26</v>
      </c>
      <c r="I8" s="399" t="s">
        <v>33</v>
      </c>
      <c r="J8" s="736" t="s">
        <v>26</v>
      </c>
      <c r="K8" s="399" t="s">
        <v>33</v>
      </c>
      <c r="L8" s="736" t="s">
        <v>26</v>
      </c>
      <c r="M8" s="792"/>
      <c r="N8" s="267"/>
    </row>
    <row r="9" spans="1:13" s="301" customFormat="1" ht="14.25" customHeight="1" thickBot="1" thickTop="1">
      <c r="A9" s="342">
        <v>1</v>
      </c>
      <c r="B9" s="239">
        <v>2</v>
      </c>
      <c r="C9" s="239">
        <v>3</v>
      </c>
      <c r="D9" s="239">
        <v>4</v>
      </c>
      <c r="E9" s="239">
        <v>5</v>
      </c>
      <c r="F9" s="239">
        <v>6</v>
      </c>
      <c r="G9" s="239">
        <v>7</v>
      </c>
      <c r="H9" s="239">
        <v>8</v>
      </c>
      <c r="I9" s="239">
        <v>9</v>
      </c>
      <c r="J9" s="239">
        <v>10</v>
      </c>
      <c r="K9" s="239">
        <v>11</v>
      </c>
      <c r="L9" s="239">
        <v>12</v>
      </c>
      <c r="M9" s="239">
        <v>13</v>
      </c>
    </row>
    <row r="10" spans="1:15" s="510" customFormat="1" ht="18" customHeight="1" thickTop="1">
      <c r="A10" s="497"/>
      <c r="B10" s="498"/>
      <c r="C10" s="509" t="s">
        <v>54</v>
      </c>
      <c r="D10" s="499"/>
      <c r="E10" s="138"/>
      <c r="F10" s="227"/>
      <c r="G10" s="283"/>
      <c r="H10" s="82"/>
      <c r="I10" s="82"/>
      <c r="J10" s="84"/>
      <c r="K10" s="82"/>
      <c r="L10" s="82"/>
      <c r="M10" s="82"/>
      <c r="O10" s="511"/>
    </row>
    <row r="11" spans="1:16" s="372" customFormat="1" ht="18" customHeight="1">
      <c r="A11" s="32">
        <v>1</v>
      </c>
      <c r="B11" s="33" t="s">
        <v>150</v>
      </c>
      <c r="C11" s="42" t="s">
        <v>79</v>
      </c>
      <c r="D11" s="41" t="s">
        <v>7</v>
      </c>
      <c r="E11" s="41"/>
      <c r="F11" s="24">
        <v>1895</v>
      </c>
      <c r="G11" s="143"/>
      <c r="H11" s="195"/>
      <c r="I11" s="143"/>
      <c r="J11" s="195"/>
      <c r="K11" s="143"/>
      <c r="L11" s="143"/>
      <c r="M11" s="143"/>
      <c r="N11" s="58"/>
      <c r="O11" s="56"/>
      <c r="P11" s="734"/>
    </row>
    <row r="12" spans="1:16" s="27" customFormat="1" ht="18" customHeight="1">
      <c r="A12" s="32"/>
      <c r="B12" s="33"/>
      <c r="C12" s="10" t="s">
        <v>13</v>
      </c>
      <c r="D12" s="6" t="s">
        <v>139</v>
      </c>
      <c r="E12" s="40">
        <f>5/100</f>
        <v>0.05</v>
      </c>
      <c r="F12" s="2">
        <f>E12*F11</f>
        <v>94.75</v>
      </c>
      <c r="G12" s="143"/>
      <c r="H12" s="195"/>
      <c r="I12" s="143"/>
      <c r="J12" s="195">
        <f>I12*F12</f>
        <v>0</v>
      </c>
      <c r="K12" s="143"/>
      <c r="L12" s="143"/>
      <c r="M12" s="143">
        <f>H12+J12+L12</f>
        <v>0</v>
      </c>
      <c r="N12" s="121"/>
      <c r="O12" s="60"/>
      <c r="P12" s="738"/>
    </row>
    <row r="13" spans="1:16" s="27" customFormat="1" ht="18" customHeight="1">
      <c r="A13" s="32"/>
      <c r="B13" s="243"/>
      <c r="C13" s="244" t="s">
        <v>102</v>
      </c>
      <c r="D13" s="245" t="s">
        <v>55</v>
      </c>
      <c r="E13" s="246">
        <v>1</v>
      </c>
      <c r="F13" s="2">
        <f>F11*E13</f>
        <v>1895</v>
      </c>
      <c r="G13" s="143"/>
      <c r="H13" s="195">
        <f>G13*F13</f>
        <v>0</v>
      </c>
      <c r="I13" s="143"/>
      <c r="J13" s="195"/>
      <c r="K13" s="143"/>
      <c r="L13" s="143"/>
      <c r="M13" s="143">
        <f>H13+J13+L13</f>
        <v>0</v>
      </c>
      <c r="N13" s="88"/>
      <c r="O13" s="738"/>
      <c r="P13" s="738"/>
    </row>
    <row r="14" spans="1:16" s="27" customFormat="1" ht="18" customHeight="1">
      <c r="A14" s="32"/>
      <c r="B14" s="243"/>
      <c r="C14" s="10" t="s">
        <v>70</v>
      </c>
      <c r="D14" s="104" t="s">
        <v>6</v>
      </c>
      <c r="E14" s="268">
        <f>2.85/100</f>
        <v>0.0285</v>
      </c>
      <c r="F14" s="2">
        <f>E14*F11</f>
        <v>54.0075</v>
      </c>
      <c r="G14" s="143"/>
      <c r="H14" s="195"/>
      <c r="I14" s="143"/>
      <c r="J14" s="195"/>
      <c r="K14" s="143"/>
      <c r="L14" s="143">
        <f>K14*F14</f>
        <v>0</v>
      </c>
      <c r="M14" s="143">
        <f>H14+J14+L14</f>
        <v>0</v>
      </c>
      <c r="N14" s="88"/>
      <c r="O14" s="738"/>
      <c r="P14" s="738"/>
    </row>
    <row r="15" spans="1:16" s="27" customFormat="1" ht="18" customHeight="1">
      <c r="A15" s="32"/>
      <c r="B15" s="33"/>
      <c r="C15" s="10" t="s">
        <v>69</v>
      </c>
      <c r="D15" s="6" t="s">
        <v>6</v>
      </c>
      <c r="E15" s="40">
        <f>0.27/100</f>
        <v>0.0027</v>
      </c>
      <c r="F15" s="2">
        <f>E15*F11</f>
        <v>5.1165</v>
      </c>
      <c r="G15" s="143"/>
      <c r="H15" s="195">
        <f>G15*F15</f>
        <v>0</v>
      </c>
      <c r="I15" s="143"/>
      <c r="J15" s="195"/>
      <c r="K15" s="143"/>
      <c r="L15" s="143"/>
      <c r="M15" s="143">
        <f>H15+J15+L15</f>
        <v>0</v>
      </c>
      <c r="N15" s="55"/>
      <c r="O15" s="60"/>
      <c r="P15" s="738"/>
    </row>
    <row r="16" spans="1:16" s="372" customFormat="1" ht="18" customHeight="1">
      <c r="A16" s="32">
        <v>2</v>
      </c>
      <c r="B16" s="33" t="s">
        <v>151</v>
      </c>
      <c r="C16" s="42" t="s">
        <v>79</v>
      </c>
      <c r="D16" s="41" t="s">
        <v>7</v>
      </c>
      <c r="E16" s="41"/>
      <c r="F16" s="24">
        <v>3940</v>
      </c>
      <c r="G16" s="143"/>
      <c r="H16" s="195"/>
      <c r="I16" s="143"/>
      <c r="J16" s="195"/>
      <c r="K16" s="143"/>
      <c r="L16" s="143"/>
      <c r="M16" s="143"/>
      <c r="N16" s="58"/>
      <c r="O16" s="56"/>
      <c r="P16" s="734"/>
    </row>
    <row r="17" spans="1:16" s="27" customFormat="1" ht="18" customHeight="1">
      <c r="A17" s="32"/>
      <c r="B17" s="33"/>
      <c r="C17" s="10" t="s">
        <v>13</v>
      </c>
      <c r="D17" s="6" t="s">
        <v>139</v>
      </c>
      <c r="E17" s="40">
        <f>7/100</f>
        <v>0.07</v>
      </c>
      <c r="F17" s="2">
        <f>E17*F16</f>
        <v>275.8</v>
      </c>
      <c r="G17" s="143"/>
      <c r="H17" s="195"/>
      <c r="I17" s="143"/>
      <c r="J17" s="195">
        <f>I17*F17</f>
        <v>0</v>
      </c>
      <c r="K17" s="143"/>
      <c r="L17" s="143"/>
      <c r="M17" s="143">
        <f>H17+J17+L17</f>
        <v>0</v>
      </c>
      <c r="N17" s="55"/>
      <c r="O17" s="60"/>
      <c r="P17" s="738"/>
    </row>
    <row r="18" spans="1:16" s="27" customFormat="1" ht="18" customHeight="1">
      <c r="A18" s="32"/>
      <c r="B18" s="243"/>
      <c r="C18" s="244" t="s">
        <v>260</v>
      </c>
      <c r="D18" s="245" t="s">
        <v>55</v>
      </c>
      <c r="E18" s="246">
        <v>1</v>
      </c>
      <c r="F18" s="2">
        <f>F16*E18</f>
        <v>3940</v>
      </c>
      <c r="G18" s="143"/>
      <c r="H18" s="195">
        <f>G18*F18</f>
        <v>0</v>
      </c>
      <c r="I18" s="143"/>
      <c r="J18" s="195"/>
      <c r="K18" s="143"/>
      <c r="L18" s="143"/>
      <c r="M18" s="143">
        <f>H18+J18+L18</f>
        <v>0</v>
      </c>
      <c r="N18" s="88"/>
      <c r="O18" s="738"/>
      <c r="P18" s="738"/>
    </row>
    <row r="19" spans="1:16" s="27" customFormat="1" ht="18" customHeight="1">
      <c r="A19" s="32"/>
      <c r="B19" s="243"/>
      <c r="C19" s="10" t="s">
        <v>70</v>
      </c>
      <c r="D19" s="104" t="s">
        <v>6</v>
      </c>
      <c r="E19" s="268">
        <f>4.84/100</f>
        <v>0.0484</v>
      </c>
      <c r="F19" s="2">
        <f>E19*F16</f>
        <v>190.696</v>
      </c>
      <c r="G19" s="143"/>
      <c r="H19" s="195"/>
      <c r="I19" s="143"/>
      <c r="J19" s="195"/>
      <c r="K19" s="143"/>
      <c r="L19" s="143">
        <f>K19*F19</f>
        <v>0</v>
      </c>
      <c r="M19" s="143">
        <f>H19+J19+L19</f>
        <v>0</v>
      </c>
      <c r="N19" s="88"/>
      <c r="O19" s="738"/>
      <c r="P19" s="738"/>
    </row>
    <row r="20" spans="1:13" s="27" customFormat="1" ht="18" customHeight="1">
      <c r="A20" s="32"/>
      <c r="B20" s="33"/>
      <c r="C20" s="10" t="s">
        <v>69</v>
      </c>
      <c r="D20" s="6" t="s">
        <v>6</v>
      </c>
      <c r="E20" s="40">
        <f>0.35/100</f>
        <v>0.0034999999999999996</v>
      </c>
      <c r="F20" s="2">
        <f>E20*F16</f>
        <v>13.79</v>
      </c>
      <c r="G20" s="143"/>
      <c r="H20" s="195">
        <f>G20*F20</f>
        <v>0</v>
      </c>
      <c r="I20" s="143"/>
      <c r="J20" s="195"/>
      <c r="K20" s="143"/>
      <c r="L20" s="143"/>
      <c r="M20" s="143">
        <f>H20+J20+L20</f>
        <v>0</v>
      </c>
    </row>
    <row r="21" spans="1:13" s="27" customFormat="1" ht="18" customHeight="1">
      <c r="A21" s="35">
        <f>A16+1</f>
        <v>3</v>
      </c>
      <c r="B21" s="59" t="s">
        <v>151</v>
      </c>
      <c r="C21" s="42" t="s">
        <v>79</v>
      </c>
      <c r="D21" s="41" t="s">
        <v>7</v>
      </c>
      <c r="E21" s="41"/>
      <c r="F21" s="24">
        <v>30</v>
      </c>
      <c r="G21" s="143"/>
      <c r="H21" s="195"/>
      <c r="I21" s="143"/>
      <c r="J21" s="195"/>
      <c r="K21" s="143"/>
      <c r="L21" s="143"/>
      <c r="M21" s="143"/>
    </row>
    <row r="22" spans="1:13" s="27" customFormat="1" ht="18" customHeight="1">
      <c r="A22" s="35"/>
      <c r="B22" s="59"/>
      <c r="C22" s="10" t="s">
        <v>13</v>
      </c>
      <c r="D22" s="6" t="s">
        <v>139</v>
      </c>
      <c r="E22" s="40">
        <f>7/100</f>
        <v>0.07</v>
      </c>
      <c r="F22" s="2">
        <f>E22*F21</f>
        <v>2.1</v>
      </c>
      <c r="G22" s="143"/>
      <c r="H22" s="195"/>
      <c r="I22" s="143"/>
      <c r="J22" s="195">
        <f>I22*F22</f>
        <v>0</v>
      </c>
      <c r="K22" s="143"/>
      <c r="L22" s="143"/>
      <c r="M22" s="143">
        <f>H22+J22+L22</f>
        <v>0</v>
      </c>
    </row>
    <row r="23" spans="1:16" s="27" customFormat="1" ht="18" customHeight="1">
      <c r="A23" s="32"/>
      <c r="B23" s="243"/>
      <c r="C23" s="244" t="s">
        <v>395</v>
      </c>
      <c r="D23" s="245" t="s">
        <v>55</v>
      </c>
      <c r="E23" s="246">
        <v>1</v>
      </c>
      <c r="F23" s="2">
        <f>F21*E23</f>
        <v>30</v>
      </c>
      <c r="G23" s="143"/>
      <c r="H23" s="195">
        <f>G23*F23</f>
        <v>0</v>
      </c>
      <c r="I23" s="143"/>
      <c r="J23" s="195"/>
      <c r="K23" s="143"/>
      <c r="L23" s="143"/>
      <c r="M23" s="143">
        <f>H23+J23+L23</f>
        <v>0</v>
      </c>
      <c r="N23" s="55"/>
      <c r="O23" s="60"/>
      <c r="P23" s="738"/>
    </row>
    <row r="24" spans="1:16" s="27" customFormat="1" ht="18" customHeight="1">
      <c r="A24" s="35"/>
      <c r="B24" s="269"/>
      <c r="C24" s="10" t="s">
        <v>70</v>
      </c>
      <c r="D24" s="104" t="s">
        <v>6</v>
      </c>
      <c r="E24" s="268">
        <f>4.84/100</f>
        <v>0.0484</v>
      </c>
      <c r="F24" s="2">
        <f>E24*F21</f>
        <v>1.452</v>
      </c>
      <c r="G24" s="143"/>
      <c r="H24" s="195"/>
      <c r="I24" s="143"/>
      <c r="J24" s="195"/>
      <c r="K24" s="143"/>
      <c r="L24" s="143">
        <f>K24*F24</f>
        <v>0</v>
      </c>
      <c r="M24" s="143">
        <f>H24+J24+L24</f>
        <v>0</v>
      </c>
      <c r="N24" s="55"/>
      <c r="O24" s="60"/>
      <c r="P24" s="738"/>
    </row>
    <row r="25" spans="1:14" s="27" customFormat="1" ht="18" customHeight="1">
      <c r="A25" s="35"/>
      <c r="B25" s="59"/>
      <c r="C25" s="10" t="s">
        <v>69</v>
      </c>
      <c r="D25" s="6" t="s">
        <v>6</v>
      </c>
      <c r="E25" s="40">
        <f>0.35/100</f>
        <v>0.0034999999999999996</v>
      </c>
      <c r="F25" s="2">
        <f>E25*F21</f>
        <v>0.10499999999999998</v>
      </c>
      <c r="G25" s="143"/>
      <c r="H25" s="195">
        <f>G25*F25</f>
        <v>0</v>
      </c>
      <c r="I25" s="143"/>
      <c r="J25" s="195"/>
      <c r="K25" s="143"/>
      <c r="L25" s="143"/>
      <c r="M25" s="143">
        <f>H25+J25+L25</f>
        <v>0</v>
      </c>
      <c r="N25" s="372"/>
    </row>
    <row r="26" spans="1:13" s="27" customFormat="1" ht="18" customHeight="1">
      <c r="A26" s="35">
        <f>A21+1</f>
        <v>4</v>
      </c>
      <c r="B26" s="59" t="s">
        <v>151</v>
      </c>
      <c r="C26" s="42" t="s">
        <v>79</v>
      </c>
      <c r="D26" s="41" t="s">
        <v>7</v>
      </c>
      <c r="E26" s="41"/>
      <c r="F26" s="24">
        <v>10</v>
      </c>
      <c r="G26" s="143"/>
      <c r="H26" s="195"/>
      <c r="I26" s="143"/>
      <c r="J26" s="195"/>
      <c r="K26" s="143"/>
      <c r="L26" s="143"/>
      <c r="M26" s="143"/>
    </row>
    <row r="27" spans="1:13" s="27" customFormat="1" ht="18" customHeight="1">
      <c r="A27" s="35"/>
      <c r="B27" s="59"/>
      <c r="C27" s="10" t="s">
        <v>13</v>
      </c>
      <c r="D27" s="6" t="s">
        <v>139</v>
      </c>
      <c r="E27" s="40">
        <f>7/100</f>
        <v>0.07</v>
      </c>
      <c r="F27" s="2">
        <f>E27*F26</f>
        <v>0.7000000000000001</v>
      </c>
      <c r="G27" s="143"/>
      <c r="H27" s="195"/>
      <c r="I27" s="143"/>
      <c r="J27" s="195">
        <f>I27*F27</f>
        <v>0</v>
      </c>
      <c r="K27" s="143"/>
      <c r="L27" s="143"/>
      <c r="M27" s="143">
        <f>H27+J27+L27</f>
        <v>0</v>
      </c>
    </row>
    <row r="28" spans="1:16" s="27" customFormat="1" ht="18" customHeight="1">
      <c r="A28" s="32"/>
      <c r="B28" s="243"/>
      <c r="C28" s="244" t="s">
        <v>103</v>
      </c>
      <c r="D28" s="245" t="s">
        <v>55</v>
      </c>
      <c r="E28" s="246">
        <v>1</v>
      </c>
      <c r="F28" s="2">
        <f>F26*E28</f>
        <v>10</v>
      </c>
      <c r="G28" s="143"/>
      <c r="H28" s="195">
        <f>G28*F28</f>
        <v>0</v>
      </c>
      <c r="I28" s="143"/>
      <c r="J28" s="195"/>
      <c r="K28" s="143"/>
      <c r="L28" s="143"/>
      <c r="M28" s="143">
        <f>H28+J28+L28</f>
        <v>0</v>
      </c>
      <c r="N28" s="55"/>
      <c r="O28" s="60"/>
      <c r="P28" s="738"/>
    </row>
    <row r="29" spans="1:16" s="27" customFormat="1" ht="18" customHeight="1">
      <c r="A29" s="35"/>
      <c r="B29" s="269"/>
      <c r="C29" s="10" t="s">
        <v>70</v>
      </c>
      <c r="D29" s="104" t="s">
        <v>6</v>
      </c>
      <c r="E29" s="268">
        <f>4.84/100</f>
        <v>0.0484</v>
      </c>
      <c r="F29" s="2">
        <f>E29*F26</f>
        <v>0.484</v>
      </c>
      <c r="G29" s="143"/>
      <c r="H29" s="195"/>
      <c r="I29" s="143"/>
      <c r="J29" s="195"/>
      <c r="K29" s="143"/>
      <c r="L29" s="143">
        <f>K29*F29</f>
        <v>0</v>
      </c>
      <c r="M29" s="143">
        <f>H29+J29+L29</f>
        <v>0</v>
      </c>
      <c r="N29" s="55"/>
      <c r="O29" s="60"/>
      <c r="P29" s="738"/>
    </row>
    <row r="30" spans="1:14" s="27" customFormat="1" ht="18" customHeight="1">
      <c r="A30" s="35"/>
      <c r="B30" s="59"/>
      <c r="C30" s="10" t="s">
        <v>69</v>
      </c>
      <c r="D30" s="6" t="s">
        <v>6</v>
      </c>
      <c r="E30" s="40">
        <f>0.35/100</f>
        <v>0.0034999999999999996</v>
      </c>
      <c r="F30" s="2">
        <f>E30*F26</f>
        <v>0.034999999999999996</v>
      </c>
      <c r="G30" s="143"/>
      <c r="H30" s="195">
        <f>G30*F30</f>
        <v>0</v>
      </c>
      <c r="I30" s="143"/>
      <c r="J30" s="195"/>
      <c r="K30" s="143"/>
      <c r="L30" s="143"/>
      <c r="M30" s="143">
        <f>H30+J30+L30</f>
        <v>0</v>
      </c>
      <c r="N30" s="372"/>
    </row>
    <row r="31" spans="1:16" s="372" customFormat="1" ht="18" customHeight="1">
      <c r="A31" s="35">
        <f>A26+1</f>
        <v>5</v>
      </c>
      <c r="B31" s="59" t="s">
        <v>152</v>
      </c>
      <c r="C31" s="42" t="s">
        <v>79</v>
      </c>
      <c r="D31" s="41" t="s">
        <v>7</v>
      </c>
      <c r="E31" s="41"/>
      <c r="F31" s="24">
        <v>10</v>
      </c>
      <c r="G31" s="143"/>
      <c r="H31" s="195"/>
      <c r="I31" s="143"/>
      <c r="J31" s="195"/>
      <c r="K31" s="143"/>
      <c r="L31" s="143"/>
      <c r="M31" s="143"/>
      <c r="N31" s="58"/>
      <c r="O31" s="56"/>
      <c r="P31" s="734"/>
    </row>
    <row r="32" spans="1:16" s="27" customFormat="1" ht="18" customHeight="1">
      <c r="A32" s="35"/>
      <c r="B32" s="59"/>
      <c r="C32" s="10" t="s">
        <v>13</v>
      </c>
      <c r="D32" s="6" t="s">
        <v>139</v>
      </c>
      <c r="E32" s="40">
        <f>10/100</f>
        <v>0.1</v>
      </c>
      <c r="F32" s="2">
        <f>E32*F31</f>
        <v>1</v>
      </c>
      <c r="G32" s="143"/>
      <c r="H32" s="195"/>
      <c r="I32" s="143"/>
      <c r="J32" s="195">
        <f>I32*F32</f>
        <v>0</v>
      </c>
      <c r="K32" s="143"/>
      <c r="L32" s="143"/>
      <c r="M32" s="143">
        <f>H32+J32+L32</f>
        <v>0</v>
      </c>
      <c r="N32" s="55"/>
      <c r="O32" s="60"/>
      <c r="P32" s="738"/>
    </row>
    <row r="33" spans="1:13" s="27" customFormat="1" ht="18" customHeight="1">
      <c r="A33" s="32"/>
      <c r="B33" s="243"/>
      <c r="C33" s="244" t="s">
        <v>104</v>
      </c>
      <c r="D33" s="245" t="s">
        <v>55</v>
      </c>
      <c r="E33" s="246">
        <v>1</v>
      </c>
      <c r="F33" s="2">
        <f>F31*E33</f>
        <v>10</v>
      </c>
      <c r="G33" s="143"/>
      <c r="H33" s="195">
        <f>G33*F33</f>
        <v>0</v>
      </c>
      <c r="I33" s="143"/>
      <c r="J33" s="195"/>
      <c r="K33" s="143"/>
      <c r="L33" s="143"/>
      <c r="M33" s="143">
        <f>H33+J33+L33</f>
        <v>0</v>
      </c>
    </row>
    <row r="34" spans="1:13" s="27" customFormat="1" ht="18" customHeight="1">
      <c r="A34" s="35"/>
      <c r="B34" s="269"/>
      <c r="C34" s="10" t="s">
        <v>70</v>
      </c>
      <c r="D34" s="104" t="s">
        <v>6</v>
      </c>
      <c r="E34" s="268">
        <f>6.3/100</f>
        <v>0.063</v>
      </c>
      <c r="F34" s="2">
        <f>E34*F31</f>
        <v>0.63</v>
      </c>
      <c r="G34" s="143"/>
      <c r="H34" s="195"/>
      <c r="I34" s="143"/>
      <c r="J34" s="195"/>
      <c r="K34" s="143"/>
      <c r="L34" s="143">
        <f>K34*F34</f>
        <v>0</v>
      </c>
      <c r="M34" s="143">
        <f>H34+J34+L34</f>
        <v>0</v>
      </c>
    </row>
    <row r="35" spans="1:13" s="27" customFormat="1" ht="18" customHeight="1">
      <c r="A35" s="35"/>
      <c r="B35" s="59"/>
      <c r="C35" s="10" t="s">
        <v>69</v>
      </c>
      <c r="D35" s="6" t="s">
        <v>6</v>
      </c>
      <c r="E35" s="40">
        <f>0.49/100</f>
        <v>0.0049</v>
      </c>
      <c r="F35" s="2">
        <f>E35*F31</f>
        <v>0.049</v>
      </c>
      <c r="G35" s="143"/>
      <c r="H35" s="195">
        <f>G35*F35</f>
        <v>0</v>
      </c>
      <c r="I35" s="143"/>
      <c r="J35" s="195"/>
      <c r="K35" s="143"/>
      <c r="L35" s="143"/>
      <c r="M35" s="143">
        <f>H35+J35+L35</f>
        <v>0</v>
      </c>
    </row>
    <row r="36" spans="1:13" s="27" customFormat="1" ht="18" customHeight="1">
      <c r="A36" s="35">
        <f>A31+1</f>
        <v>6</v>
      </c>
      <c r="B36" s="59" t="s">
        <v>333</v>
      </c>
      <c r="C36" s="42" t="s">
        <v>79</v>
      </c>
      <c r="D36" s="41" t="s">
        <v>7</v>
      </c>
      <c r="E36" s="41"/>
      <c r="F36" s="24">
        <v>60</v>
      </c>
      <c r="G36" s="143"/>
      <c r="H36" s="195"/>
      <c r="I36" s="143"/>
      <c r="J36" s="195"/>
      <c r="K36" s="143"/>
      <c r="L36" s="143"/>
      <c r="M36" s="143"/>
    </row>
    <row r="37" spans="1:16" s="27" customFormat="1" ht="18" customHeight="1">
      <c r="A37" s="35"/>
      <c r="B37" s="59"/>
      <c r="C37" s="10" t="s">
        <v>13</v>
      </c>
      <c r="D37" s="6" t="s">
        <v>139</v>
      </c>
      <c r="E37" s="40">
        <f>10/100</f>
        <v>0.1</v>
      </c>
      <c r="F37" s="2">
        <f>E37*F36</f>
        <v>6</v>
      </c>
      <c r="G37" s="143"/>
      <c r="H37" s="195"/>
      <c r="I37" s="143"/>
      <c r="J37" s="195">
        <f>I37*F37</f>
        <v>0</v>
      </c>
      <c r="K37" s="143"/>
      <c r="L37" s="143"/>
      <c r="M37" s="143">
        <f>H37+J37+L37</f>
        <v>0</v>
      </c>
      <c r="N37" s="55"/>
      <c r="O37" s="60"/>
      <c r="P37" s="738"/>
    </row>
    <row r="38" spans="1:14" s="27" customFormat="1" ht="18" customHeight="1">
      <c r="A38" s="32"/>
      <c r="B38" s="243"/>
      <c r="C38" s="244" t="s">
        <v>332</v>
      </c>
      <c r="D38" s="245" t="s">
        <v>55</v>
      </c>
      <c r="E38" s="246">
        <v>1</v>
      </c>
      <c r="F38" s="2">
        <f>F36*E38</f>
        <v>60</v>
      </c>
      <c r="G38" s="143"/>
      <c r="H38" s="195">
        <f>G38*F38</f>
        <v>0</v>
      </c>
      <c r="I38" s="143"/>
      <c r="J38" s="195"/>
      <c r="K38" s="143"/>
      <c r="L38" s="143"/>
      <c r="M38" s="143">
        <f>H38+J38+L38</f>
        <v>0</v>
      </c>
      <c r="N38" s="372"/>
    </row>
    <row r="39" spans="1:16" s="372" customFormat="1" ht="18" customHeight="1">
      <c r="A39" s="35"/>
      <c r="B39" s="269"/>
      <c r="C39" s="10" t="s">
        <v>70</v>
      </c>
      <c r="D39" s="104" t="s">
        <v>6</v>
      </c>
      <c r="E39" s="268">
        <f>7.87/100</f>
        <v>0.0787</v>
      </c>
      <c r="F39" s="2">
        <f>E39*F36</f>
        <v>4.722</v>
      </c>
      <c r="G39" s="143"/>
      <c r="H39" s="195"/>
      <c r="I39" s="143"/>
      <c r="J39" s="195"/>
      <c r="K39" s="143"/>
      <c r="L39" s="143">
        <f>K39*F39</f>
        <v>0</v>
      </c>
      <c r="M39" s="143">
        <f>H39+J39+L39</f>
        <v>0</v>
      </c>
      <c r="N39" s="58"/>
      <c r="O39" s="56"/>
      <c r="P39" s="734"/>
    </row>
    <row r="40" spans="1:16" s="27" customFormat="1" ht="18" customHeight="1">
      <c r="A40" s="35"/>
      <c r="B40" s="59"/>
      <c r="C40" s="10" t="s">
        <v>69</v>
      </c>
      <c r="D40" s="6" t="s">
        <v>6</v>
      </c>
      <c r="E40" s="40">
        <f>0.55/100</f>
        <v>0.0055000000000000005</v>
      </c>
      <c r="F40" s="2">
        <f>E40*F36</f>
        <v>0.33</v>
      </c>
      <c r="G40" s="143"/>
      <c r="H40" s="195">
        <f>G40*F40</f>
        <v>0</v>
      </c>
      <c r="I40" s="143"/>
      <c r="J40" s="195"/>
      <c r="K40" s="143"/>
      <c r="L40" s="143"/>
      <c r="M40" s="143">
        <f>H40+J40+L40</f>
        <v>0</v>
      </c>
      <c r="N40" s="55"/>
      <c r="O40" s="60"/>
      <c r="P40" s="738"/>
    </row>
    <row r="41" spans="1:13" s="27" customFormat="1" ht="24" customHeight="1">
      <c r="A41" s="35">
        <f>A36+1</f>
        <v>7</v>
      </c>
      <c r="B41" s="59" t="s">
        <v>472</v>
      </c>
      <c r="C41" s="42" t="s">
        <v>79</v>
      </c>
      <c r="D41" s="41" t="s">
        <v>7</v>
      </c>
      <c r="E41" s="41"/>
      <c r="F41" s="24">
        <v>30</v>
      </c>
      <c r="G41" s="34"/>
      <c r="H41" s="24"/>
      <c r="I41" s="4"/>
      <c r="J41" s="8"/>
      <c r="K41" s="25"/>
      <c r="L41" s="8"/>
      <c r="M41" s="25"/>
    </row>
    <row r="42" spans="1:16" s="27" customFormat="1" ht="18" customHeight="1">
      <c r="A42" s="35"/>
      <c r="B42" s="59"/>
      <c r="C42" s="10" t="s">
        <v>13</v>
      </c>
      <c r="D42" s="6" t="s">
        <v>139</v>
      </c>
      <c r="E42" s="40">
        <f>19/100</f>
        <v>0.19</v>
      </c>
      <c r="F42" s="2">
        <f>E42*F41</f>
        <v>5.7</v>
      </c>
      <c r="G42" s="1"/>
      <c r="H42" s="14"/>
      <c r="I42" s="14"/>
      <c r="J42" s="14">
        <f>I42*F42</f>
        <v>0</v>
      </c>
      <c r="K42" s="14"/>
      <c r="L42" s="14"/>
      <c r="M42" s="14">
        <f>H42+J42+L42</f>
        <v>0</v>
      </c>
      <c r="N42" s="55"/>
      <c r="O42" s="60"/>
      <c r="P42" s="738"/>
    </row>
    <row r="43" spans="1:14" s="27" customFormat="1" ht="18" customHeight="1">
      <c r="A43" s="405"/>
      <c r="B43" s="243"/>
      <c r="C43" s="406" t="s">
        <v>308</v>
      </c>
      <c r="D43" s="6" t="s">
        <v>7</v>
      </c>
      <c r="E43" s="407">
        <v>1.02</v>
      </c>
      <c r="F43" s="2">
        <f>F41*E43</f>
        <v>30.6</v>
      </c>
      <c r="G43" s="1"/>
      <c r="H43" s="14">
        <f>G43*F43</f>
        <v>0</v>
      </c>
      <c r="I43" s="14"/>
      <c r="J43" s="14"/>
      <c r="K43" s="14"/>
      <c r="L43" s="14"/>
      <c r="M43" s="14">
        <f>H43+J43+L43</f>
        <v>0</v>
      </c>
      <c r="N43" s="372"/>
    </row>
    <row r="44" spans="1:14" s="27" customFormat="1" ht="18" customHeight="1">
      <c r="A44" s="341"/>
      <c r="B44" s="35"/>
      <c r="C44" s="776" t="s">
        <v>641</v>
      </c>
      <c r="D44" s="6" t="s">
        <v>12</v>
      </c>
      <c r="E44" s="777">
        <v>1</v>
      </c>
      <c r="F44" s="2">
        <v>120</v>
      </c>
      <c r="G44" s="1"/>
      <c r="H44" s="14">
        <f>G44*F44</f>
        <v>0</v>
      </c>
      <c r="I44" s="14"/>
      <c r="J44" s="14"/>
      <c r="K44" s="14"/>
      <c r="L44" s="14"/>
      <c r="M44" s="14">
        <f>H44+J44+L44</f>
        <v>0</v>
      </c>
      <c r="N44" s="372"/>
    </row>
    <row r="45" spans="1:16" s="372" customFormat="1" ht="18" customHeight="1">
      <c r="A45" s="341"/>
      <c r="B45" s="341"/>
      <c r="C45" s="10" t="s">
        <v>70</v>
      </c>
      <c r="D45" s="6" t="s">
        <v>6</v>
      </c>
      <c r="E45" s="408">
        <f>12/100</f>
        <v>0.12</v>
      </c>
      <c r="F45" s="2">
        <f>E45*F41</f>
        <v>3.5999999999999996</v>
      </c>
      <c r="G45" s="1"/>
      <c r="H45" s="14"/>
      <c r="I45" s="14"/>
      <c r="J45" s="14"/>
      <c r="K45" s="14"/>
      <c r="L45" s="14">
        <f>K45*F45</f>
        <v>0</v>
      </c>
      <c r="M45" s="14">
        <f>H45+J45+L45</f>
        <v>0</v>
      </c>
      <c r="N45" s="58"/>
      <c r="O45" s="56"/>
      <c r="P45" s="734"/>
    </row>
    <row r="46" spans="1:16" s="27" customFormat="1" ht="18" customHeight="1">
      <c r="A46" s="35"/>
      <c r="B46" s="59"/>
      <c r="C46" s="10" t="s">
        <v>69</v>
      </c>
      <c r="D46" s="6" t="s">
        <v>6</v>
      </c>
      <c r="E46" s="407">
        <f>0.9/100</f>
        <v>0.009000000000000001</v>
      </c>
      <c r="F46" s="2">
        <f>E46*F41</f>
        <v>0.27</v>
      </c>
      <c r="G46" s="1"/>
      <c r="H46" s="14">
        <f>G46*F46</f>
        <v>0</v>
      </c>
      <c r="I46" s="14"/>
      <c r="J46" s="14"/>
      <c r="K46" s="14"/>
      <c r="L46" s="14"/>
      <c r="M46" s="14">
        <f>H46+J46+L46</f>
        <v>0</v>
      </c>
      <c r="N46" s="55"/>
      <c r="O46" s="60"/>
      <c r="P46" s="738"/>
    </row>
    <row r="47" spans="1:13" s="27" customFormat="1" ht="24" customHeight="1">
      <c r="A47" s="35">
        <f>A41+1</f>
        <v>8</v>
      </c>
      <c r="B47" s="59" t="s">
        <v>334</v>
      </c>
      <c r="C47" s="42" t="s">
        <v>79</v>
      </c>
      <c r="D47" s="41" t="s">
        <v>7</v>
      </c>
      <c r="E47" s="41"/>
      <c r="F47" s="24">
        <v>170</v>
      </c>
      <c r="G47" s="34"/>
      <c r="H47" s="24"/>
      <c r="I47" s="4"/>
      <c r="J47" s="8"/>
      <c r="K47" s="25"/>
      <c r="L47" s="8"/>
      <c r="M47" s="25"/>
    </row>
    <row r="48" spans="1:16" s="27" customFormat="1" ht="18" customHeight="1">
      <c r="A48" s="35"/>
      <c r="B48" s="59"/>
      <c r="C48" s="10" t="s">
        <v>13</v>
      </c>
      <c r="D48" s="6" t="s">
        <v>139</v>
      </c>
      <c r="E48" s="40">
        <f>29/100</f>
        <v>0.29</v>
      </c>
      <c r="F48" s="2">
        <f>E48*F47</f>
        <v>49.3</v>
      </c>
      <c r="G48" s="1"/>
      <c r="H48" s="14"/>
      <c r="I48" s="14"/>
      <c r="J48" s="14">
        <f>I48*F48</f>
        <v>0</v>
      </c>
      <c r="K48" s="14"/>
      <c r="L48" s="14"/>
      <c r="M48" s="14">
        <f>H48+J48+L48</f>
        <v>0</v>
      </c>
      <c r="N48" s="55"/>
      <c r="O48" s="60"/>
      <c r="P48" s="738"/>
    </row>
    <row r="49" spans="1:14" s="27" customFormat="1" ht="18" customHeight="1">
      <c r="A49" s="405"/>
      <c r="B49" s="32"/>
      <c r="C49" s="406" t="s">
        <v>335</v>
      </c>
      <c r="D49" s="6" t="s">
        <v>7</v>
      </c>
      <c r="E49" s="407">
        <v>1.02</v>
      </c>
      <c r="F49" s="2">
        <f>F47*E49</f>
        <v>173.4</v>
      </c>
      <c r="G49" s="1"/>
      <c r="H49" s="14">
        <f>G49*F49</f>
        <v>0</v>
      </c>
      <c r="I49" s="14"/>
      <c r="J49" s="14"/>
      <c r="K49" s="14"/>
      <c r="L49" s="14"/>
      <c r="M49" s="14">
        <f>H49+J49+L49</f>
        <v>0</v>
      </c>
      <c r="N49" s="372"/>
    </row>
    <row r="50" spans="1:14" s="27" customFormat="1" ht="18" customHeight="1">
      <c r="A50" s="341"/>
      <c r="B50" s="35"/>
      <c r="C50" s="776" t="s">
        <v>640</v>
      </c>
      <c r="D50" s="6" t="s">
        <v>12</v>
      </c>
      <c r="E50" s="777">
        <v>1</v>
      </c>
      <c r="F50" s="2">
        <v>120</v>
      </c>
      <c r="G50" s="1"/>
      <c r="H50" s="14">
        <f>G50*F50</f>
        <v>0</v>
      </c>
      <c r="I50" s="14"/>
      <c r="J50" s="14"/>
      <c r="K50" s="14"/>
      <c r="L50" s="14"/>
      <c r="M50" s="14">
        <f>H50+J50+L50</f>
        <v>0</v>
      </c>
      <c r="N50" s="372"/>
    </row>
    <row r="51" spans="1:16" s="372" customFormat="1" ht="18" customHeight="1">
      <c r="A51" s="341"/>
      <c r="B51" s="341"/>
      <c r="C51" s="10" t="s">
        <v>70</v>
      </c>
      <c r="D51" s="6" t="s">
        <v>6</v>
      </c>
      <c r="E51" s="408">
        <f>15.8/100</f>
        <v>0.158</v>
      </c>
      <c r="F51" s="2">
        <f>E51*F47</f>
        <v>26.86</v>
      </c>
      <c r="G51" s="1"/>
      <c r="H51" s="14"/>
      <c r="I51" s="14"/>
      <c r="J51" s="14"/>
      <c r="K51" s="14"/>
      <c r="L51" s="14">
        <f>K51*F51</f>
        <v>0</v>
      </c>
      <c r="M51" s="14">
        <f>H51+J51+L51</f>
        <v>0</v>
      </c>
      <c r="N51" s="58"/>
      <c r="O51" s="56"/>
      <c r="P51" s="734"/>
    </row>
    <row r="52" spans="1:16" s="27" customFormat="1" ht="18" customHeight="1">
      <c r="A52" s="35"/>
      <c r="B52" s="59"/>
      <c r="C52" s="10" t="s">
        <v>69</v>
      </c>
      <c r="D52" s="6" t="s">
        <v>6</v>
      </c>
      <c r="E52" s="407">
        <v>0.011</v>
      </c>
      <c r="F52" s="2">
        <f>E52*F47</f>
        <v>1.8699999999999999</v>
      </c>
      <c r="G52" s="1"/>
      <c r="H52" s="14">
        <f>G52*F52</f>
        <v>0</v>
      </c>
      <c r="I52" s="14"/>
      <c r="J52" s="14"/>
      <c r="K52" s="14"/>
      <c r="L52" s="14"/>
      <c r="M52" s="14">
        <f>H52+J52+L52</f>
        <v>0</v>
      </c>
      <c r="N52" s="55"/>
      <c r="O52" s="60"/>
      <c r="P52" s="738"/>
    </row>
    <row r="53" spans="1:13" s="27" customFormat="1" ht="21" customHeight="1">
      <c r="A53" s="35">
        <f>A47+1</f>
        <v>9</v>
      </c>
      <c r="B53" s="59" t="s">
        <v>336</v>
      </c>
      <c r="C53" s="42" t="s">
        <v>79</v>
      </c>
      <c r="D53" s="41" t="s">
        <v>7</v>
      </c>
      <c r="E53" s="41"/>
      <c r="F53" s="24">
        <v>50</v>
      </c>
      <c r="G53" s="34"/>
      <c r="H53" s="24"/>
      <c r="I53" s="4"/>
      <c r="J53" s="8"/>
      <c r="K53" s="25"/>
      <c r="L53" s="8"/>
      <c r="M53" s="25"/>
    </row>
    <row r="54" spans="1:13" s="27" customFormat="1" ht="18" customHeight="1">
      <c r="A54" s="35"/>
      <c r="B54" s="59"/>
      <c r="C54" s="10" t="s">
        <v>13</v>
      </c>
      <c r="D54" s="6" t="s">
        <v>139</v>
      </c>
      <c r="E54" s="40">
        <f>16/100</f>
        <v>0.16</v>
      </c>
      <c r="F54" s="2">
        <f>E54*F53</f>
        <v>8</v>
      </c>
      <c r="G54" s="1"/>
      <c r="H54" s="14"/>
      <c r="I54" s="14"/>
      <c r="J54" s="14">
        <f>I54*F54</f>
        <v>0</v>
      </c>
      <c r="K54" s="14"/>
      <c r="L54" s="14"/>
      <c r="M54" s="14">
        <f>H54+J54+L54</f>
        <v>0</v>
      </c>
    </row>
    <row r="55" spans="1:13" s="27" customFormat="1" ht="18" customHeight="1">
      <c r="A55" s="405"/>
      <c r="B55" s="32"/>
      <c r="C55" s="406" t="s">
        <v>337</v>
      </c>
      <c r="D55" s="6" t="s">
        <v>7</v>
      </c>
      <c r="E55" s="407">
        <v>1.02</v>
      </c>
      <c r="F55" s="2">
        <f>F53*E55</f>
        <v>51</v>
      </c>
      <c r="G55" s="1"/>
      <c r="H55" s="14">
        <f>G55*F55</f>
        <v>0</v>
      </c>
      <c r="I55" s="14"/>
      <c r="J55" s="14"/>
      <c r="K55" s="14"/>
      <c r="L55" s="14"/>
      <c r="M55" s="14">
        <f>H55+J55+L55</f>
        <v>0</v>
      </c>
    </row>
    <row r="56" spans="1:13" s="27" customFormat="1" ht="18" customHeight="1">
      <c r="A56" s="341"/>
      <c r="B56" s="341"/>
      <c r="C56" s="10" t="s">
        <v>70</v>
      </c>
      <c r="D56" s="6" t="s">
        <v>6</v>
      </c>
      <c r="E56" s="408">
        <f>0.16/100</f>
        <v>0.0016</v>
      </c>
      <c r="F56" s="2">
        <f>E56*F53</f>
        <v>0.08</v>
      </c>
      <c r="G56" s="1"/>
      <c r="H56" s="14"/>
      <c r="I56" s="143"/>
      <c r="J56" s="195"/>
      <c r="K56" s="143"/>
      <c r="L56" s="143">
        <f>K56*F56</f>
        <v>0</v>
      </c>
      <c r="M56" s="143">
        <f>H56+J56+L56</f>
        <v>0</v>
      </c>
    </row>
    <row r="57" spans="1:13" s="27" customFormat="1" ht="18" customHeight="1">
      <c r="A57" s="35"/>
      <c r="B57" s="59"/>
      <c r="C57" s="10" t="s">
        <v>69</v>
      </c>
      <c r="D57" s="6" t="s">
        <v>6</v>
      </c>
      <c r="E57" s="40">
        <f>2.06/100</f>
        <v>0.0206</v>
      </c>
      <c r="F57" s="2">
        <f>E57*F53</f>
        <v>1.03</v>
      </c>
      <c r="G57" s="1"/>
      <c r="H57" s="14">
        <f>G57*F57</f>
        <v>0</v>
      </c>
      <c r="I57" s="143"/>
      <c r="J57" s="195"/>
      <c r="K57" s="143"/>
      <c r="L57" s="143"/>
      <c r="M57" s="143">
        <f>H57+J57+L57</f>
        <v>0</v>
      </c>
    </row>
    <row r="58" spans="1:13" s="27" customFormat="1" ht="21" customHeight="1">
      <c r="A58" s="35">
        <f>A53+1</f>
        <v>10</v>
      </c>
      <c r="B58" s="59" t="s">
        <v>309</v>
      </c>
      <c r="C58" s="42" t="s">
        <v>79</v>
      </c>
      <c r="D58" s="41" t="s">
        <v>7</v>
      </c>
      <c r="E58" s="41"/>
      <c r="F58" s="24">
        <v>50</v>
      </c>
      <c r="G58" s="34"/>
      <c r="H58" s="24"/>
      <c r="I58" s="143"/>
      <c r="J58" s="195"/>
      <c r="K58" s="143"/>
      <c r="L58" s="143"/>
      <c r="M58" s="143"/>
    </row>
    <row r="59" spans="1:13" s="27" customFormat="1" ht="18" customHeight="1">
      <c r="A59" s="35"/>
      <c r="B59" s="59"/>
      <c r="C59" s="10" t="s">
        <v>13</v>
      </c>
      <c r="D59" s="6" t="s">
        <v>139</v>
      </c>
      <c r="E59" s="40">
        <f>18/100</f>
        <v>0.18</v>
      </c>
      <c r="F59" s="2">
        <f>E59*F58</f>
        <v>9</v>
      </c>
      <c r="G59" s="1"/>
      <c r="H59" s="14"/>
      <c r="I59" s="14"/>
      <c r="J59" s="195">
        <f>I59*F59</f>
        <v>0</v>
      </c>
      <c r="K59" s="143"/>
      <c r="L59" s="143"/>
      <c r="M59" s="143">
        <f>H59+J59+L59</f>
        <v>0</v>
      </c>
    </row>
    <row r="60" spans="1:13" s="27" customFormat="1" ht="18" customHeight="1">
      <c r="A60" s="405"/>
      <c r="B60" s="405"/>
      <c r="C60" s="406" t="s">
        <v>310</v>
      </c>
      <c r="D60" s="6" t="s">
        <v>7</v>
      </c>
      <c r="E60" s="407">
        <v>1.02</v>
      </c>
      <c r="F60" s="2">
        <f>F58*E60</f>
        <v>51</v>
      </c>
      <c r="G60" s="1"/>
      <c r="H60" s="14">
        <f>G60*F60</f>
        <v>0</v>
      </c>
      <c r="I60" s="143"/>
      <c r="J60" s="195"/>
      <c r="K60" s="143"/>
      <c r="L60" s="143"/>
      <c r="M60" s="143">
        <f>H60+J60+L60</f>
        <v>0</v>
      </c>
    </row>
    <row r="61" spans="1:13" s="27" customFormat="1" ht="18" customHeight="1">
      <c r="A61" s="341"/>
      <c r="B61" s="341"/>
      <c r="C61" s="10" t="s">
        <v>70</v>
      </c>
      <c r="D61" s="6" t="s">
        <v>6</v>
      </c>
      <c r="E61" s="408">
        <f>0.32/100</f>
        <v>0.0032</v>
      </c>
      <c r="F61" s="2">
        <f>E61*F58</f>
        <v>0.16</v>
      </c>
      <c r="G61" s="1"/>
      <c r="H61" s="14"/>
      <c r="I61" s="143"/>
      <c r="J61" s="195"/>
      <c r="K61" s="143"/>
      <c r="L61" s="143">
        <f>K61*F61</f>
        <v>0</v>
      </c>
      <c r="M61" s="143">
        <f>H61+J61+L61</f>
        <v>0</v>
      </c>
    </row>
    <row r="62" spans="1:13" s="27" customFormat="1" ht="18" customHeight="1">
      <c r="A62" s="35"/>
      <c r="B62" s="59"/>
      <c r="C62" s="10" t="s">
        <v>69</v>
      </c>
      <c r="D62" s="6" t="s">
        <v>6</v>
      </c>
      <c r="E62" s="40">
        <f>2.18/100</f>
        <v>0.0218</v>
      </c>
      <c r="F62" s="2">
        <f>E62*F58</f>
        <v>1.09</v>
      </c>
      <c r="G62" s="1"/>
      <c r="H62" s="14">
        <f>G62*F62</f>
        <v>0</v>
      </c>
      <c r="I62" s="143"/>
      <c r="J62" s="195"/>
      <c r="K62" s="143"/>
      <c r="L62" s="143"/>
      <c r="M62" s="143">
        <f>H62+J62+L62</f>
        <v>0</v>
      </c>
    </row>
    <row r="63" spans="1:13" s="27" customFormat="1" ht="21" customHeight="1">
      <c r="A63" s="35">
        <f>A58+1</f>
        <v>11</v>
      </c>
      <c r="B63" s="59" t="s">
        <v>396</v>
      </c>
      <c r="C63" s="42" t="s">
        <v>79</v>
      </c>
      <c r="D63" s="41" t="s">
        <v>7</v>
      </c>
      <c r="E63" s="41"/>
      <c r="F63" s="24">
        <v>50</v>
      </c>
      <c r="G63" s="34"/>
      <c r="H63" s="24"/>
      <c r="I63" s="143"/>
      <c r="J63" s="195"/>
      <c r="K63" s="143"/>
      <c r="L63" s="143"/>
      <c r="M63" s="143"/>
    </row>
    <row r="64" spans="1:13" s="27" customFormat="1" ht="18" customHeight="1">
      <c r="A64" s="35"/>
      <c r="B64" s="59"/>
      <c r="C64" s="10" t="s">
        <v>13</v>
      </c>
      <c r="D64" s="6" t="s">
        <v>139</v>
      </c>
      <c r="E64" s="40">
        <f>23/100</f>
        <v>0.23</v>
      </c>
      <c r="F64" s="2">
        <f>E64*F63</f>
        <v>11.5</v>
      </c>
      <c r="G64" s="1"/>
      <c r="H64" s="14"/>
      <c r="I64" s="14"/>
      <c r="J64" s="195">
        <f>I64*F64</f>
        <v>0</v>
      </c>
      <c r="K64" s="143"/>
      <c r="L64" s="143"/>
      <c r="M64" s="143">
        <f>H64+J64+L64</f>
        <v>0</v>
      </c>
    </row>
    <row r="65" spans="1:13" s="27" customFormat="1" ht="18" customHeight="1">
      <c r="A65" s="405"/>
      <c r="B65" s="405"/>
      <c r="C65" s="406" t="s">
        <v>397</v>
      </c>
      <c r="D65" s="6" t="s">
        <v>7</v>
      </c>
      <c r="E65" s="407">
        <v>1.02</v>
      </c>
      <c r="F65" s="2">
        <f>F63*E65</f>
        <v>51</v>
      </c>
      <c r="G65" s="1"/>
      <c r="H65" s="14">
        <f>G65*F65</f>
        <v>0</v>
      </c>
      <c r="I65" s="143"/>
      <c r="J65" s="195"/>
      <c r="K65" s="143"/>
      <c r="L65" s="143"/>
      <c r="M65" s="143">
        <f>H65+J65+L65</f>
        <v>0</v>
      </c>
    </row>
    <row r="66" spans="1:13" s="27" customFormat="1" ht="18" customHeight="1">
      <c r="A66" s="341"/>
      <c r="B66" s="341"/>
      <c r="C66" s="10" t="s">
        <v>70</v>
      </c>
      <c r="D66" s="6" t="s">
        <v>6</v>
      </c>
      <c r="E66" s="408">
        <f>0.32/100</f>
        <v>0.0032</v>
      </c>
      <c r="F66" s="2">
        <f>E66*F63</f>
        <v>0.16</v>
      </c>
      <c r="G66" s="1"/>
      <c r="H66" s="14"/>
      <c r="I66" s="143"/>
      <c r="J66" s="195"/>
      <c r="K66" s="143"/>
      <c r="L66" s="143">
        <f>K66*F66</f>
        <v>0</v>
      </c>
      <c r="M66" s="143">
        <f>H66+J66+L66</f>
        <v>0</v>
      </c>
    </row>
    <row r="67" spans="1:13" s="27" customFormat="1" ht="18" customHeight="1">
      <c r="A67" s="35"/>
      <c r="B67" s="59"/>
      <c r="C67" s="10" t="s">
        <v>69</v>
      </c>
      <c r="D67" s="6" t="s">
        <v>6</v>
      </c>
      <c r="E67" s="40">
        <f>2.18/100</f>
        <v>0.0218</v>
      </c>
      <c r="F67" s="2">
        <f>E67*F63</f>
        <v>1.09</v>
      </c>
      <c r="G67" s="1"/>
      <c r="H67" s="14">
        <f>G67*F67</f>
        <v>0</v>
      </c>
      <c r="I67" s="143"/>
      <c r="J67" s="195"/>
      <c r="K67" s="143"/>
      <c r="L67" s="143"/>
      <c r="M67" s="143">
        <f>H67+J67+L67</f>
        <v>0</v>
      </c>
    </row>
    <row r="68" spans="1:15" s="510" customFormat="1" ht="18" customHeight="1">
      <c r="A68" s="497"/>
      <c r="B68" s="498"/>
      <c r="C68" s="509" t="s">
        <v>109</v>
      </c>
      <c r="D68" s="499"/>
      <c r="E68" s="138"/>
      <c r="F68" s="227"/>
      <c r="G68" s="283"/>
      <c r="H68" s="82"/>
      <c r="I68" s="82"/>
      <c r="J68" s="84"/>
      <c r="K68" s="82"/>
      <c r="L68" s="82"/>
      <c r="M68" s="82"/>
      <c r="O68" s="511"/>
    </row>
    <row r="69" spans="1:16" s="372" customFormat="1" ht="21" customHeight="1">
      <c r="A69" s="35">
        <f>A63+1</f>
        <v>12</v>
      </c>
      <c r="B69" s="6" t="s">
        <v>207</v>
      </c>
      <c r="C69" s="42" t="s">
        <v>208</v>
      </c>
      <c r="D69" s="41" t="s">
        <v>7</v>
      </c>
      <c r="E69" s="41"/>
      <c r="F69" s="24">
        <f>F72+F74+F76</f>
        <v>119</v>
      </c>
      <c r="G69" s="34"/>
      <c r="H69" s="24"/>
      <c r="I69" s="143"/>
      <c r="J69" s="195"/>
      <c r="K69" s="143"/>
      <c r="L69" s="143"/>
      <c r="M69" s="143"/>
      <c r="N69" s="58"/>
      <c r="O69" s="56"/>
      <c r="P69" s="734"/>
    </row>
    <row r="70" spans="1:16" s="27" customFormat="1" ht="18" customHeight="1">
      <c r="A70" s="35"/>
      <c r="B70" s="59"/>
      <c r="C70" s="10" t="s">
        <v>13</v>
      </c>
      <c r="D70" s="6" t="s">
        <v>139</v>
      </c>
      <c r="E70" s="339">
        <f>19/100</f>
        <v>0.19</v>
      </c>
      <c r="F70" s="2">
        <f>E70*F69</f>
        <v>22.61</v>
      </c>
      <c r="G70" s="1"/>
      <c r="H70" s="1"/>
      <c r="I70" s="143"/>
      <c r="J70" s="195">
        <f>I70*F70</f>
        <v>0</v>
      </c>
      <c r="K70" s="143"/>
      <c r="L70" s="143"/>
      <c r="M70" s="143">
        <f aca="true" t="shared" si="0" ref="M70:M76">H70+J70+L70</f>
        <v>0</v>
      </c>
      <c r="N70" s="55"/>
      <c r="O70" s="60">
        <f>M70+K70+I70</f>
        <v>0</v>
      </c>
      <c r="P70" s="738"/>
    </row>
    <row r="71" spans="1:13" s="27" customFormat="1" ht="18" customHeight="1">
      <c r="A71" s="35"/>
      <c r="B71" s="59"/>
      <c r="C71" s="10" t="s">
        <v>70</v>
      </c>
      <c r="D71" s="6" t="s">
        <v>6</v>
      </c>
      <c r="E71" s="493">
        <v>0.706</v>
      </c>
      <c r="F71" s="2">
        <f>F69*E71</f>
        <v>84.014</v>
      </c>
      <c r="G71" s="1"/>
      <c r="H71" s="1"/>
      <c r="I71" s="143"/>
      <c r="J71" s="195"/>
      <c r="K71" s="143"/>
      <c r="L71" s="143">
        <f>K71*F71</f>
        <v>0</v>
      </c>
      <c r="M71" s="143">
        <f t="shared" si="0"/>
        <v>0</v>
      </c>
    </row>
    <row r="72" spans="1:13" s="27" customFormat="1" ht="18" customHeight="1">
      <c r="A72" s="341"/>
      <c r="B72" s="35"/>
      <c r="C72" s="406" t="s">
        <v>321</v>
      </c>
      <c r="D72" s="104" t="s">
        <v>55</v>
      </c>
      <c r="E72" s="375"/>
      <c r="F72" s="2">
        <v>60</v>
      </c>
      <c r="G72" s="1"/>
      <c r="H72" s="1">
        <f aca="true" t="shared" si="1" ref="H72:H79">G72*F72</f>
        <v>0</v>
      </c>
      <c r="I72" s="143"/>
      <c r="J72" s="195"/>
      <c r="K72" s="143"/>
      <c r="L72" s="143"/>
      <c r="M72" s="143">
        <f>H72+J72+L72</f>
        <v>0</v>
      </c>
    </row>
    <row r="73" spans="1:13" s="27" customFormat="1" ht="33" customHeight="1">
      <c r="A73" s="341"/>
      <c r="B73" s="341"/>
      <c r="C73" s="406" t="s">
        <v>209</v>
      </c>
      <c r="D73" s="104" t="s">
        <v>57</v>
      </c>
      <c r="E73" s="375"/>
      <c r="F73" s="2">
        <v>85</v>
      </c>
      <c r="G73" s="1"/>
      <c r="H73" s="1">
        <f t="shared" si="1"/>
        <v>0</v>
      </c>
      <c r="I73" s="143"/>
      <c r="J73" s="195"/>
      <c r="K73" s="143"/>
      <c r="L73" s="143"/>
      <c r="M73" s="143">
        <f>H73+J73+L73</f>
        <v>0</v>
      </c>
    </row>
    <row r="74" spans="1:13" s="27" customFormat="1" ht="18" customHeight="1">
      <c r="A74" s="341"/>
      <c r="B74" s="341" t="s">
        <v>584</v>
      </c>
      <c r="C74" s="406" t="s">
        <v>339</v>
      </c>
      <c r="D74" s="104" t="s">
        <v>55</v>
      </c>
      <c r="E74" s="375"/>
      <c r="F74" s="2">
        <v>35</v>
      </c>
      <c r="G74" s="1"/>
      <c r="H74" s="1">
        <f t="shared" si="1"/>
        <v>0</v>
      </c>
      <c r="I74" s="143"/>
      <c r="J74" s="195"/>
      <c r="K74" s="143"/>
      <c r="L74" s="143"/>
      <c r="M74" s="143">
        <f>H74+J74+L74</f>
        <v>0</v>
      </c>
    </row>
    <row r="75" spans="1:13" s="27" customFormat="1" ht="33" customHeight="1">
      <c r="A75" s="341"/>
      <c r="B75" s="341"/>
      <c r="C75" s="406" t="s">
        <v>209</v>
      </c>
      <c r="D75" s="104" t="s">
        <v>57</v>
      </c>
      <c r="E75" s="375"/>
      <c r="F75" s="2">
        <v>50</v>
      </c>
      <c r="G75" s="1"/>
      <c r="H75" s="1">
        <f t="shared" si="1"/>
        <v>0</v>
      </c>
      <c r="I75" s="143"/>
      <c r="J75" s="195"/>
      <c r="K75" s="143"/>
      <c r="L75" s="143"/>
      <c r="M75" s="143">
        <f>H75+J75+L75</f>
        <v>0</v>
      </c>
    </row>
    <row r="76" spans="1:13" s="27" customFormat="1" ht="18" customHeight="1">
      <c r="A76" s="341"/>
      <c r="B76" s="341"/>
      <c r="C76" s="406" t="s">
        <v>210</v>
      </c>
      <c r="D76" s="104" t="s">
        <v>55</v>
      </c>
      <c r="E76" s="375"/>
      <c r="F76" s="2">
        <v>24</v>
      </c>
      <c r="G76" s="1"/>
      <c r="H76" s="1">
        <f t="shared" si="1"/>
        <v>0</v>
      </c>
      <c r="I76" s="143"/>
      <c r="J76" s="195"/>
      <c r="K76" s="143"/>
      <c r="L76" s="143"/>
      <c r="M76" s="143">
        <f t="shared" si="0"/>
        <v>0</v>
      </c>
    </row>
    <row r="77" spans="1:13" s="27" customFormat="1" ht="33" customHeight="1">
      <c r="A77" s="341"/>
      <c r="B77" s="341"/>
      <c r="C77" s="406" t="s">
        <v>211</v>
      </c>
      <c r="D77" s="104" t="s">
        <v>57</v>
      </c>
      <c r="E77" s="375"/>
      <c r="F77" s="2">
        <v>35</v>
      </c>
      <c r="G77" s="1"/>
      <c r="H77" s="1">
        <f t="shared" si="1"/>
        <v>0</v>
      </c>
      <c r="I77" s="143"/>
      <c r="J77" s="195"/>
      <c r="K77" s="143"/>
      <c r="L77" s="143"/>
      <c r="M77" s="143">
        <f>H77+J77+L77</f>
        <v>0</v>
      </c>
    </row>
    <row r="78" spans="1:13" s="27" customFormat="1" ht="18" customHeight="1">
      <c r="A78" s="341"/>
      <c r="B78" s="35" t="s">
        <v>46</v>
      </c>
      <c r="C78" s="526" t="s">
        <v>212</v>
      </c>
      <c r="D78" s="104" t="s">
        <v>65</v>
      </c>
      <c r="E78" s="375"/>
      <c r="F78" s="2">
        <v>3</v>
      </c>
      <c r="G78" s="1"/>
      <c r="H78" s="1">
        <f t="shared" si="1"/>
        <v>0</v>
      </c>
      <c r="I78" s="143"/>
      <c r="J78" s="195"/>
      <c r="K78" s="143"/>
      <c r="L78" s="143"/>
      <c r="M78" s="143">
        <f>H78+J78+L78</f>
        <v>0</v>
      </c>
    </row>
    <row r="79" spans="1:16" s="27" customFormat="1" ht="18" customHeight="1">
      <c r="A79" s="35"/>
      <c r="B79" s="59"/>
      <c r="C79" s="10" t="s">
        <v>69</v>
      </c>
      <c r="D79" s="6" t="s">
        <v>6</v>
      </c>
      <c r="E79" s="133">
        <v>0.1</v>
      </c>
      <c r="F79" s="375">
        <f>E79*F69</f>
        <v>11.9</v>
      </c>
      <c r="G79" s="1"/>
      <c r="H79" s="1">
        <f t="shared" si="1"/>
        <v>0</v>
      </c>
      <c r="I79" s="143"/>
      <c r="J79" s="195"/>
      <c r="K79" s="143"/>
      <c r="L79" s="143"/>
      <c r="M79" s="143">
        <f>H79+J79+L79</f>
        <v>0</v>
      </c>
      <c r="N79" s="55"/>
      <c r="O79" s="60">
        <f>M79+K79+I79</f>
        <v>0</v>
      </c>
      <c r="P79" s="738"/>
    </row>
    <row r="80" spans="1:16" s="372" customFormat="1" ht="21" customHeight="1">
      <c r="A80" s="32">
        <f>A69+1</f>
        <v>13</v>
      </c>
      <c r="B80" s="6" t="s">
        <v>157</v>
      </c>
      <c r="C80" s="42" t="s">
        <v>83</v>
      </c>
      <c r="D80" s="41" t="s">
        <v>7</v>
      </c>
      <c r="E80" s="41"/>
      <c r="F80" s="24">
        <f>SUM(F83:F84)</f>
        <v>2100</v>
      </c>
      <c r="G80" s="143"/>
      <c r="H80" s="195"/>
      <c r="I80" s="143"/>
      <c r="J80" s="195"/>
      <c r="K80" s="143"/>
      <c r="L80" s="143"/>
      <c r="M80" s="143"/>
      <c r="N80" s="109"/>
      <c r="O80" s="56"/>
      <c r="P80" s="734"/>
    </row>
    <row r="81" spans="1:16" s="27" customFormat="1" ht="18" customHeight="1">
      <c r="A81" s="32"/>
      <c r="B81" s="33"/>
      <c r="C81" s="10" t="s">
        <v>13</v>
      </c>
      <c r="D81" s="6" t="s">
        <v>139</v>
      </c>
      <c r="E81" s="755">
        <v>0.14</v>
      </c>
      <c r="F81" s="2">
        <f>E81*F80</f>
        <v>294</v>
      </c>
      <c r="G81" s="143"/>
      <c r="H81" s="195"/>
      <c r="I81" s="143"/>
      <c r="J81" s="195">
        <f>I81*F81</f>
        <v>0</v>
      </c>
      <c r="K81" s="143"/>
      <c r="L81" s="143"/>
      <c r="M81" s="143">
        <f>H81+J81+L81</f>
        <v>0</v>
      </c>
      <c r="N81" s="55"/>
      <c r="O81" s="60"/>
      <c r="P81" s="738"/>
    </row>
    <row r="82" spans="1:16" s="27" customFormat="1" ht="18" customHeight="1">
      <c r="A82" s="32"/>
      <c r="B82" s="33"/>
      <c r="C82" s="10" t="s">
        <v>70</v>
      </c>
      <c r="D82" s="6" t="s">
        <v>6</v>
      </c>
      <c r="E82" s="408">
        <v>0.0022</v>
      </c>
      <c r="F82" s="2">
        <f>E82*F80</f>
        <v>4.62</v>
      </c>
      <c r="G82" s="1"/>
      <c r="H82" s="14"/>
      <c r="I82" s="143"/>
      <c r="J82" s="195"/>
      <c r="K82" s="143"/>
      <c r="L82" s="143">
        <f>K82*F82</f>
        <v>0</v>
      </c>
      <c r="M82" s="143">
        <f>H82+J82+L82</f>
        <v>0</v>
      </c>
      <c r="N82" s="60"/>
      <c r="O82" s="60"/>
      <c r="P82" s="738"/>
    </row>
    <row r="83" spans="1:13" s="27" customFormat="1" ht="18" customHeight="1">
      <c r="A83" s="243"/>
      <c r="B83" s="243"/>
      <c r="C83" s="406" t="s">
        <v>398</v>
      </c>
      <c r="D83" s="245" t="s">
        <v>55</v>
      </c>
      <c r="E83" s="86"/>
      <c r="F83" s="2">
        <v>600</v>
      </c>
      <c r="G83" s="143"/>
      <c r="H83" s="195">
        <f>G83*F83</f>
        <v>0</v>
      </c>
      <c r="I83" s="143"/>
      <c r="J83" s="195"/>
      <c r="K83" s="143"/>
      <c r="L83" s="143"/>
      <c r="M83" s="143">
        <f>H83+J83+L83</f>
        <v>0</v>
      </c>
    </row>
    <row r="84" spans="1:13" s="27" customFormat="1" ht="18" customHeight="1">
      <c r="A84" s="243"/>
      <c r="B84" s="243"/>
      <c r="C84" s="406" t="s">
        <v>399</v>
      </c>
      <c r="D84" s="245" t="s">
        <v>55</v>
      </c>
      <c r="E84" s="86"/>
      <c r="F84" s="2">
        <v>1500</v>
      </c>
      <c r="G84" s="143"/>
      <c r="H84" s="195">
        <f>G84*F84</f>
        <v>0</v>
      </c>
      <c r="I84" s="143"/>
      <c r="J84" s="195"/>
      <c r="K84" s="143"/>
      <c r="L84" s="143"/>
      <c r="M84" s="143">
        <f>H84+J84+L84</f>
        <v>0</v>
      </c>
    </row>
    <row r="85" spans="1:16" s="27" customFormat="1" ht="18" customHeight="1">
      <c r="A85" s="32"/>
      <c r="B85" s="33"/>
      <c r="C85" s="10" t="s">
        <v>69</v>
      </c>
      <c r="D85" s="6" t="s">
        <v>6</v>
      </c>
      <c r="E85" s="40">
        <f>8.03/100</f>
        <v>0.0803</v>
      </c>
      <c r="F85" s="2">
        <f>E85*F80</f>
        <v>168.63</v>
      </c>
      <c r="G85" s="143"/>
      <c r="H85" s="195">
        <f>G85*F85</f>
        <v>0</v>
      </c>
      <c r="I85" s="143"/>
      <c r="J85" s="195"/>
      <c r="K85" s="143"/>
      <c r="L85" s="143"/>
      <c r="M85" s="143">
        <f>H85+J85+L85</f>
        <v>0</v>
      </c>
      <c r="N85" s="55"/>
      <c r="O85" s="60"/>
      <c r="P85" s="738"/>
    </row>
    <row r="86" spans="1:15" s="510" customFormat="1" ht="18" customHeight="1">
      <c r="A86" s="497"/>
      <c r="B86" s="498"/>
      <c r="C86" s="509" t="s">
        <v>66</v>
      </c>
      <c r="D86" s="499"/>
      <c r="E86" s="138"/>
      <c r="F86" s="227"/>
      <c r="G86" s="283"/>
      <c r="H86" s="82"/>
      <c r="I86" s="82"/>
      <c r="J86" s="84"/>
      <c r="K86" s="82"/>
      <c r="L86" s="82"/>
      <c r="M86" s="82"/>
      <c r="O86" s="511"/>
    </row>
    <row r="87" spans="1:16" s="372" customFormat="1" ht="21" customHeight="1">
      <c r="A87" s="32">
        <f>A80+1</f>
        <v>14</v>
      </c>
      <c r="B87" s="33" t="s">
        <v>185</v>
      </c>
      <c r="C87" s="42" t="s">
        <v>186</v>
      </c>
      <c r="D87" s="41" t="s">
        <v>12</v>
      </c>
      <c r="E87" s="41"/>
      <c r="F87" s="24">
        <f>SUM(F90:F90)</f>
        <v>26</v>
      </c>
      <c r="G87" s="143"/>
      <c r="H87" s="195"/>
      <c r="I87" s="143"/>
      <c r="J87" s="195"/>
      <c r="K87" s="143"/>
      <c r="L87" s="143"/>
      <c r="M87" s="143"/>
      <c r="N87" s="58"/>
      <c r="O87" s="56"/>
      <c r="P87" s="734"/>
    </row>
    <row r="88" spans="1:16" s="27" customFormat="1" ht="17.25" customHeight="1">
      <c r="A88" s="32"/>
      <c r="B88" s="33"/>
      <c r="C88" s="10" t="s">
        <v>13</v>
      </c>
      <c r="D88" s="6" t="s">
        <v>139</v>
      </c>
      <c r="E88" s="224">
        <v>0.68</v>
      </c>
      <c r="F88" s="2">
        <f>E88*F87</f>
        <v>17.68</v>
      </c>
      <c r="G88" s="143"/>
      <c r="H88" s="195"/>
      <c r="I88" s="143"/>
      <c r="J88" s="195">
        <f>I88*F88</f>
        <v>0</v>
      </c>
      <c r="K88" s="143"/>
      <c r="L88" s="143"/>
      <c r="M88" s="143">
        <f>H88+J88+L88</f>
        <v>0</v>
      </c>
      <c r="N88" s="55"/>
      <c r="O88" s="60">
        <f>M88+K88+I88</f>
        <v>0</v>
      </c>
      <c r="P88" s="738"/>
    </row>
    <row r="89" spans="1:13" s="27" customFormat="1" ht="17.25" customHeight="1">
      <c r="A89" s="243"/>
      <c r="B89" s="243"/>
      <c r="C89" s="79" t="s">
        <v>187</v>
      </c>
      <c r="D89" s="104" t="s">
        <v>188</v>
      </c>
      <c r="E89" s="221">
        <f>1.1/100</f>
        <v>0.011000000000000001</v>
      </c>
      <c r="F89" s="2">
        <f>F87*E89</f>
        <v>0.28600000000000003</v>
      </c>
      <c r="G89" s="143"/>
      <c r="H89" s="195"/>
      <c r="I89" s="143"/>
      <c r="J89" s="195"/>
      <c r="K89" s="143"/>
      <c r="L89" s="143">
        <f>K89*F89</f>
        <v>0</v>
      </c>
      <c r="M89" s="143">
        <f>H89+J89+L89</f>
        <v>0</v>
      </c>
    </row>
    <row r="90" spans="1:13" s="27" customFormat="1" ht="17.25" customHeight="1">
      <c r="A90" s="243"/>
      <c r="B90" s="243"/>
      <c r="C90" s="253" t="s">
        <v>189</v>
      </c>
      <c r="D90" s="104" t="s">
        <v>65</v>
      </c>
      <c r="E90" s="222"/>
      <c r="F90" s="2">
        <v>26</v>
      </c>
      <c r="G90" s="143"/>
      <c r="H90" s="195">
        <f>G90*F90</f>
        <v>0</v>
      </c>
      <c r="I90" s="143"/>
      <c r="J90" s="195"/>
      <c r="K90" s="143"/>
      <c r="L90" s="143"/>
      <c r="M90" s="143">
        <f>H90+J90+L90</f>
        <v>0</v>
      </c>
    </row>
    <row r="91" spans="1:13" s="27" customFormat="1" ht="17.25" customHeight="1">
      <c r="A91" s="243"/>
      <c r="B91" s="243"/>
      <c r="C91" s="250" t="s">
        <v>97</v>
      </c>
      <c r="D91" s="104" t="s">
        <v>65</v>
      </c>
      <c r="E91" s="222"/>
      <c r="F91" s="2">
        <f>F87</f>
        <v>26</v>
      </c>
      <c r="G91" s="143"/>
      <c r="H91" s="195">
        <f>G91*F91</f>
        <v>0</v>
      </c>
      <c r="I91" s="143"/>
      <c r="J91" s="195"/>
      <c r="K91" s="143"/>
      <c r="L91" s="143"/>
      <c r="M91" s="143">
        <f>H91+J91+L91</f>
        <v>0</v>
      </c>
    </row>
    <row r="92" spans="1:16" s="27" customFormat="1" ht="17.25" customHeight="1">
      <c r="A92" s="35"/>
      <c r="B92" s="59"/>
      <c r="C92" s="10" t="s">
        <v>69</v>
      </c>
      <c r="D92" s="6" t="s">
        <v>6</v>
      </c>
      <c r="E92" s="40">
        <v>0.103</v>
      </c>
      <c r="F92" s="2">
        <f>F87*E92</f>
        <v>2.678</v>
      </c>
      <c r="G92" s="143"/>
      <c r="H92" s="195">
        <f>G92*F92</f>
        <v>0</v>
      </c>
      <c r="I92" s="143"/>
      <c r="J92" s="195"/>
      <c r="K92" s="143"/>
      <c r="L92" s="143"/>
      <c r="M92" s="143">
        <f>H92+J92+L92</f>
        <v>0</v>
      </c>
      <c r="N92" s="55"/>
      <c r="O92" s="60">
        <f>M92+K92+I92</f>
        <v>0</v>
      </c>
      <c r="P92" s="738"/>
    </row>
    <row r="93" spans="1:16" s="372" customFormat="1" ht="36" customHeight="1">
      <c r="A93" s="35">
        <f>A87+1</f>
        <v>15</v>
      </c>
      <c r="B93" s="59" t="s">
        <v>190</v>
      </c>
      <c r="C93" s="42" t="s">
        <v>322</v>
      </c>
      <c r="D93" s="41" t="s">
        <v>12</v>
      </c>
      <c r="E93" s="41"/>
      <c r="F93" s="24">
        <f>SUM(F96:F97)</f>
        <v>23</v>
      </c>
      <c r="G93" s="143"/>
      <c r="H93" s="195"/>
      <c r="I93" s="143"/>
      <c r="J93" s="195"/>
      <c r="K93" s="143"/>
      <c r="L93" s="143"/>
      <c r="M93" s="143"/>
      <c r="N93" s="58"/>
      <c r="O93" s="56"/>
      <c r="P93" s="734"/>
    </row>
    <row r="94" spans="1:16" s="27" customFormat="1" ht="17.25" customHeight="1">
      <c r="A94" s="35"/>
      <c r="B94" s="59"/>
      <c r="C94" s="10" t="s">
        <v>13</v>
      </c>
      <c r="D94" s="6" t="s">
        <v>139</v>
      </c>
      <c r="E94" s="224">
        <v>0.27</v>
      </c>
      <c r="F94" s="2">
        <f>E94*F93</f>
        <v>6.210000000000001</v>
      </c>
      <c r="G94" s="143"/>
      <c r="H94" s="195"/>
      <c r="I94" s="143"/>
      <c r="J94" s="195">
        <f>I94*F94</f>
        <v>0</v>
      </c>
      <c r="K94" s="143"/>
      <c r="L94" s="143"/>
      <c r="M94" s="143">
        <f aca="true" t="shared" si="2" ref="M94:M99">H94+J94+L94</f>
        <v>0</v>
      </c>
      <c r="N94" s="55"/>
      <c r="O94" s="60">
        <f>M94+K94+I94</f>
        <v>0</v>
      </c>
      <c r="P94" s="738"/>
    </row>
    <row r="95" spans="1:13" s="27" customFormat="1" ht="17.25" customHeight="1">
      <c r="A95" s="243"/>
      <c r="B95" s="243"/>
      <c r="C95" s="79" t="s">
        <v>187</v>
      </c>
      <c r="D95" s="104" t="s">
        <v>188</v>
      </c>
      <c r="E95" s="223">
        <f>0.04/100</f>
        <v>0.0004</v>
      </c>
      <c r="F95" s="2">
        <f>F93*E95</f>
        <v>0.0092</v>
      </c>
      <c r="G95" s="143"/>
      <c r="H95" s="195"/>
      <c r="I95" s="143"/>
      <c r="J95" s="195"/>
      <c r="K95" s="143"/>
      <c r="L95" s="143">
        <f>K95*F95</f>
        <v>0</v>
      </c>
      <c r="M95" s="143">
        <f t="shared" si="2"/>
        <v>0</v>
      </c>
    </row>
    <row r="96" spans="1:13" s="27" customFormat="1" ht="17.25" customHeight="1">
      <c r="A96" s="243"/>
      <c r="B96" s="243"/>
      <c r="C96" s="253" t="s">
        <v>191</v>
      </c>
      <c r="D96" s="104" t="s">
        <v>65</v>
      </c>
      <c r="E96" s="222"/>
      <c r="F96" s="2">
        <v>19</v>
      </c>
      <c r="G96" s="143"/>
      <c r="H96" s="195">
        <f>G96*F96</f>
        <v>0</v>
      </c>
      <c r="I96" s="143"/>
      <c r="J96" s="195"/>
      <c r="K96" s="143"/>
      <c r="L96" s="143"/>
      <c r="M96" s="143">
        <f t="shared" si="2"/>
        <v>0</v>
      </c>
    </row>
    <row r="97" spans="1:13" s="27" customFormat="1" ht="17.25" customHeight="1">
      <c r="A97" s="243"/>
      <c r="B97" s="243"/>
      <c r="C97" s="253" t="s">
        <v>323</v>
      </c>
      <c r="D97" s="104" t="s">
        <v>65</v>
      </c>
      <c r="E97" s="222"/>
      <c r="F97" s="2">
        <v>4</v>
      </c>
      <c r="G97" s="143"/>
      <c r="H97" s="195">
        <f>G97*F97</f>
        <v>0</v>
      </c>
      <c r="I97" s="143"/>
      <c r="J97" s="195"/>
      <c r="K97" s="143"/>
      <c r="L97" s="143"/>
      <c r="M97" s="143">
        <f t="shared" si="2"/>
        <v>0</v>
      </c>
    </row>
    <row r="98" spans="1:13" s="27" customFormat="1" ht="17.25" customHeight="1">
      <c r="A98" s="243"/>
      <c r="B98" s="243"/>
      <c r="C98" s="250" t="s">
        <v>97</v>
      </c>
      <c r="D98" s="104" t="s">
        <v>65</v>
      </c>
      <c r="E98" s="222"/>
      <c r="F98" s="2">
        <f>F93</f>
        <v>23</v>
      </c>
      <c r="G98" s="143"/>
      <c r="H98" s="195">
        <f>G98*F98</f>
        <v>0</v>
      </c>
      <c r="I98" s="143"/>
      <c r="J98" s="195"/>
      <c r="K98" s="143"/>
      <c r="L98" s="143"/>
      <c r="M98" s="143">
        <f t="shared" si="2"/>
        <v>0</v>
      </c>
    </row>
    <row r="99" spans="1:16" s="27" customFormat="1" ht="17.25" customHeight="1">
      <c r="A99" s="35"/>
      <c r="B99" s="59"/>
      <c r="C99" s="10" t="s">
        <v>69</v>
      </c>
      <c r="D99" s="6" t="s">
        <v>6</v>
      </c>
      <c r="E99" s="40">
        <f>7.46/100</f>
        <v>0.0746</v>
      </c>
      <c r="F99" s="2">
        <f>F93*E99</f>
        <v>1.7158</v>
      </c>
      <c r="G99" s="143"/>
      <c r="H99" s="195">
        <f>G99*F99</f>
        <v>0</v>
      </c>
      <c r="I99" s="143"/>
      <c r="J99" s="195"/>
      <c r="K99" s="143"/>
      <c r="L99" s="143"/>
      <c r="M99" s="143">
        <f t="shared" si="2"/>
        <v>0</v>
      </c>
      <c r="N99" s="55"/>
      <c r="O99" s="60">
        <f>M99+K99+I99</f>
        <v>0</v>
      </c>
      <c r="P99" s="738"/>
    </row>
    <row r="100" spans="1:16" s="372" customFormat="1" ht="21" customHeight="1">
      <c r="A100" s="35">
        <f>A93+1</f>
        <v>16</v>
      </c>
      <c r="B100" s="59" t="s">
        <v>192</v>
      </c>
      <c r="C100" s="42" t="s">
        <v>105</v>
      </c>
      <c r="D100" s="41" t="s">
        <v>12</v>
      </c>
      <c r="E100" s="41"/>
      <c r="F100" s="24">
        <f>SUM(F103:F103)</f>
        <v>247</v>
      </c>
      <c r="G100" s="143"/>
      <c r="H100" s="195"/>
      <c r="I100" s="143"/>
      <c r="J100" s="195"/>
      <c r="K100" s="143"/>
      <c r="L100" s="143"/>
      <c r="M100" s="143"/>
      <c r="N100" s="58"/>
      <c r="O100" s="56"/>
      <c r="P100" s="734"/>
    </row>
    <row r="101" spans="1:16" s="27" customFormat="1" ht="17.25" customHeight="1">
      <c r="A101" s="35"/>
      <c r="B101" s="59"/>
      <c r="C101" s="10" t="s">
        <v>13</v>
      </c>
      <c r="D101" s="6" t="s">
        <v>139</v>
      </c>
      <c r="E101" s="224">
        <v>0.22</v>
      </c>
      <c r="F101" s="2">
        <f>E101*F100</f>
        <v>54.34</v>
      </c>
      <c r="G101" s="143"/>
      <c r="H101" s="195"/>
      <c r="I101" s="143"/>
      <c r="J101" s="195">
        <f>I101*F101</f>
        <v>0</v>
      </c>
      <c r="K101" s="143"/>
      <c r="L101" s="143"/>
      <c r="M101" s="143">
        <f>H101+J101+L101</f>
        <v>0</v>
      </c>
      <c r="N101" s="55"/>
      <c r="O101" s="60">
        <f>M101+K101+I101</f>
        <v>0</v>
      </c>
      <c r="P101" s="738"/>
    </row>
    <row r="102" spans="1:13" s="27" customFormat="1" ht="17.25" customHeight="1">
      <c r="A102" s="243"/>
      <c r="B102" s="243"/>
      <c r="C102" s="79" t="s">
        <v>187</v>
      </c>
      <c r="D102" s="104" t="s">
        <v>188</v>
      </c>
      <c r="E102" s="223">
        <v>0.0002</v>
      </c>
      <c r="F102" s="2">
        <f>F100*E102</f>
        <v>0.0494</v>
      </c>
      <c r="G102" s="143"/>
      <c r="H102" s="195"/>
      <c r="I102" s="143"/>
      <c r="J102" s="195"/>
      <c r="K102" s="143"/>
      <c r="L102" s="143">
        <f>K102*F102</f>
        <v>0</v>
      </c>
      <c r="M102" s="143">
        <f>H102+J102+L102</f>
        <v>0</v>
      </c>
    </row>
    <row r="103" spans="1:13" s="27" customFormat="1" ht="36" customHeight="1">
      <c r="A103" s="243"/>
      <c r="B103" s="32"/>
      <c r="C103" s="253" t="s">
        <v>215</v>
      </c>
      <c r="D103" s="104" t="s">
        <v>65</v>
      </c>
      <c r="E103" s="222">
        <v>1</v>
      </c>
      <c r="F103" s="2">
        <v>247</v>
      </c>
      <c r="G103" s="143"/>
      <c r="H103" s="195">
        <f>G103*F103</f>
        <v>0</v>
      </c>
      <c r="I103" s="143"/>
      <c r="J103" s="195"/>
      <c r="K103" s="143"/>
      <c r="L103" s="143"/>
      <c r="M103" s="143">
        <f>H103+J103+L103</f>
        <v>0</v>
      </c>
    </row>
    <row r="104" spans="1:14" s="27" customFormat="1" ht="17.25" customHeight="1">
      <c r="A104" s="243"/>
      <c r="B104" s="243"/>
      <c r="C104" s="250" t="s">
        <v>97</v>
      </c>
      <c r="D104" s="104" t="s">
        <v>65</v>
      </c>
      <c r="E104" s="222"/>
      <c r="F104" s="2">
        <f>F100</f>
        <v>247</v>
      </c>
      <c r="G104" s="143"/>
      <c r="H104" s="195">
        <f>G104*F104</f>
        <v>0</v>
      </c>
      <c r="I104" s="143"/>
      <c r="J104" s="195"/>
      <c r="K104" s="143"/>
      <c r="L104" s="143"/>
      <c r="M104" s="143">
        <f>H104+J104+L104</f>
        <v>0</v>
      </c>
      <c r="N104" s="225"/>
    </row>
    <row r="105" spans="1:16" s="27" customFormat="1" ht="17.25" customHeight="1">
      <c r="A105" s="35"/>
      <c r="B105" s="59"/>
      <c r="C105" s="10" t="s">
        <v>69</v>
      </c>
      <c r="D105" s="6" t="s">
        <v>6</v>
      </c>
      <c r="E105" s="223">
        <f>8.28/100</f>
        <v>0.0828</v>
      </c>
      <c r="F105" s="2">
        <f>E105*F100</f>
        <v>20.4516</v>
      </c>
      <c r="G105" s="143"/>
      <c r="H105" s="195">
        <f>G105*F105</f>
        <v>0</v>
      </c>
      <c r="I105" s="143"/>
      <c r="J105" s="195"/>
      <c r="K105" s="143"/>
      <c r="L105" s="143"/>
      <c r="M105" s="143">
        <f>H105+J105+L105</f>
        <v>0</v>
      </c>
      <c r="N105" s="55"/>
      <c r="O105" s="60">
        <f>M105+K105+I105</f>
        <v>0</v>
      </c>
      <c r="P105" s="738"/>
    </row>
    <row r="106" spans="1:16" s="372" customFormat="1" ht="36" customHeight="1">
      <c r="A106" s="35">
        <f>A100+1</f>
        <v>17</v>
      </c>
      <c r="B106" s="59" t="s">
        <v>193</v>
      </c>
      <c r="C106" s="79" t="s">
        <v>107</v>
      </c>
      <c r="D106" s="41" t="s">
        <v>12</v>
      </c>
      <c r="E106" s="41"/>
      <c r="F106" s="24">
        <f>SUM(F109:F111)</f>
        <v>99</v>
      </c>
      <c r="G106" s="143"/>
      <c r="H106" s="195"/>
      <c r="I106" s="143"/>
      <c r="J106" s="195"/>
      <c r="K106" s="143"/>
      <c r="L106" s="143"/>
      <c r="M106" s="143"/>
      <c r="N106" s="58"/>
      <c r="O106" s="56"/>
      <c r="P106" s="734"/>
    </row>
    <row r="107" spans="1:16" s="27" customFormat="1" ht="17.25" customHeight="1">
      <c r="A107" s="35"/>
      <c r="B107" s="59"/>
      <c r="C107" s="10" t="s">
        <v>13</v>
      </c>
      <c r="D107" s="6" t="s">
        <v>139</v>
      </c>
      <c r="E107" s="224">
        <v>0.34</v>
      </c>
      <c r="F107" s="2">
        <f>E107*F106</f>
        <v>33.660000000000004</v>
      </c>
      <c r="G107" s="143"/>
      <c r="H107" s="195"/>
      <c r="I107" s="143"/>
      <c r="J107" s="195">
        <f>I107*F107</f>
        <v>0</v>
      </c>
      <c r="K107" s="143"/>
      <c r="L107" s="143"/>
      <c r="M107" s="143">
        <f aca="true" t="shared" si="3" ref="M107:M114">H107+J107+L107</f>
        <v>0</v>
      </c>
      <c r="N107" s="55"/>
      <c r="O107" s="60">
        <f>M107+K107+I107</f>
        <v>0</v>
      </c>
      <c r="P107" s="738"/>
    </row>
    <row r="108" spans="1:13" s="27" customFormat="1" ht="17.25" customHeight="1">
      <c r="A108" s="243"/>
      <c r="B108" s="243"/>
      <c r="C108" s="79" t="s">
        <v>187</v>
      </c>
      <c r="D108" s="104" t="s">
        <v>188</v>
      </c>
      <c r="E108" s="223">
        <v>0.0113</v>
      </c>
      <c r="F108" s="2">
        <f>F106*E108</f>
        <v>1.1187</v>
      </c>
      <c r="G108" s="143"/>
      <c r="H108" s="195"/>
      <c r="I108" s="143"/>
      <c r="J108" s="195"/>
      <c r="K108" s="143"/>
      <c r="L108" s="143">
        <f>K108*F108</f>
        <v>0</v>
      </c>
      <c r="M108" s="143">
        <f t="shared" si="3"/>
        <v>0</v>
      </c>
    </row>
    <row r="109" spans="1:13" s="27" customFormat="1" ht="33" customHeight="1">
      <c r="A109" s="32"/>
      <c r="B109" s="32"/>
      <c r="C109" s="253" t="s">
        <v>106</v>
      </c>
      <c r="D109" s="245" t="s">
        <v>65</v>
      </c>
      <c r="E109" s="246"/>
      <c r="F109" s="2">
        <v>3</v>
      </c>
      <c r="G109" s="143"/>
      <c r="H109" s="195">
        <f aca="true" t="shared" si="4" ref="H109:H114">G109*F109</f>
        <v>0</v>
      </c>
      <c r="I109" s="143"/>
      <c r="J109" s="195"/>
      <c r="K109" s="143"/>
      <c r="L109" s="143"/>
      <c r="M109" s="143">
        <f>H109+J109+L109</f>
        <v>0</v>
      </c>
    </row>
    <row r="110" spans="1:13" s="27" customFormat="1" ht="33" customHeight="1">
      <c r="A110" s="32"/>
      <c r="B110" s="32"/>
      <c r="C110" s="253" t="s">
        <v>400</v>
      </c>
      <c r="D110" s="245" t="s">
        <v>65</v>
      </c>
      <c r="E110" s="246"/>
      <c r="F110" s="2">
        <v>2</v>
      </c>
      <c r="G110" s="143"/>
      <c r="H110" s="195">
        <f t="shared" si="4"/>
        <v>0</v>
      </c>
      <c r="I110" s="143"/>
      <c r="J110" s="195"/>
      <c r="K110" s="143"/>
      <c r="L110" s="143"/>
      <c r="M110" s="143">
        <f>H110+J110+L110</f>
        <v>0</v>
      </c>
    </row>
    <row r="111" spans="1:13" s="27" customFormat="1" ht="33" customHeight="1">
      <c r="A111" s="35"/>
      <c r="B111" s="32"/>
      <c r="C111" s="526" t="s">
        <v>218</v>
      </c>
      <c r="D111" s="245" t="s">
        <v>65</v>
      </c>
      <c r="E111" s="246"/>
      <c r="F111" s="2">
        <v>94</v>
      </c>
      <c r="G111" s="143"/>
      <c r="H111" s="195">
        <f t="shared" si="4"/>
        <v>0</v>
      </c>
      <c r="I111" s="143"/>
      <c r="J111" s="195"/>
      <c r="K111" s="143"/>
      <c r="L111" s="143"/>
      <c r="M111" s="143">
        <f>H111+J111+L111</f>
        <v>0</v>
      </c>
    </row>
    <row r="112" spans="1:13" s="27" customFormat="1" ht="17.25" customHeight="1">
      <c r="A112" s="243"/>
      <c r="B112" s="243"/>
      <c r="C112" s="250" t="s">
        <v>97</v>
      </c>
      <c r="D112" s="104" t="s">
        <v>65</v>
      </c>
      <c r="E112" s="222"/>
      <c r="F112" s="2">
        <f>F106</f>
        <v>99</v>
      </c>
      <c r="G112" s="143"/>
      <c r="H112" s="195">
        <f t="shared" si="4"/>
        <v>0</v>
      </c>
      <c r="I112" s="143"/>
      <c r="J112" s="195"/>
      <c r="K112" s="143"/>
      <c r="L112" s="143"/>
      <c r="M112" s="143">
        <f t="shared" si="3"/>
        <v>0</v>
      </c>
    </row>
    <row r="113" spans="1:16" s="27" customFormat="1" ht="17.25" customHeight="1">
      <c r="A113" s="35"/>
      <c r="B113" s="59"/>
      <c r="C113" s="10" t="s">
        <v>69</v>
      </c>
      <c r="D113" s="6" t="s">
        <v>6</v>
      </c>
      <c r="E113" s="40">
        <v>0.0937</v>
      </c>
      <c r="F113" s="2">
        <f>E113*F106</f>
        <v>9.2763</v>
      </c>
      <c r="G113" s="143"/>
      <c r="H113" s="195">
        <f t="shared" si="4"/>
        <v>0</v>
      </c>
      <c r="I113" s="143"/>
      <c r="J113" s="195"/>
      <c r="K113" s="143"/>
      <c r="L113" s="143"/>
      <c r="M113" s="143">
        <f t="shared" si="3"/>
        <v>0</v>
      </c>
      <c r="N113" s="55"/>
      <c r="O113" s="60">
        <f>M113+K113+I113</f>
        <v>0</v>
      </c>
      <c r="P113" s="738"/>
    </row>
    <row r="114" spans="1:16" s="27" customFormat="1" ht="17.25" customHeight="1">
      <c r="A114" s="35"/>
      <c r="B114" s="59"/>
      <c r="C114" s="10" t="s">
        <v>98</v>
      </c>
      <c r="D114" s="104" t="s">
        <v>65</v>
      </c>
      <c r="E114" s="40"/>
      <c r="F114" s="2">
        <v>300</v>
      </c>
      <c r="G114" s="143"/>
      <c r="H114" s="195">
        <f t="shared" si="4"/>
        <v>0</v>
      </c>
      <c r="I114" s="143"/>
      <c r="J114" s="195"/>
      <c r="K114" s="143"/>
      <c r="L114" s="143"/>
      <c r="M114" s="143">
        <f t="shared" si="3"/>
        <v>0</v>
      </c>
      <c r="N114" s="60"/>
      <c r="O114" s="60"/>
      <c r="P114" s="738"/>
    </row>
    <row r="115" spans="1:16" s="27" customFormat="1" ht="33.75" customHeight="1">
      <c r="A115" s="35">
        <f>A106+1</f>
        <v>18</v>
      </c>
      <c r="B115" s="527" t="s">
        <v>216</v>
      </c>
      <c r="C115" s="42" t="s">
        <v>217</v>
      </c>
      <c r="D115" s="41" t="s">
        <v>12</v>
      </c>
      <c r="E115" s="41"/>
      <c r="F115" s="24">
        <f>SUM(F117:F117)</f>
        <v>25</v>
      </c>
      <c r="G115" s="1"/>
      <c r="H115" s="1"/>
      <c r="I115" s="1"/>
      <c r="J115" s="1"/>
      <c r="K115" s="1"/>
      <c r="L115" s="1"/>
      <c r="M115" s="1"/>
      <c r="N115" s="60"/>
      <c r="O115" s="60"/>
      <c r="P115" s="738"/>
    </row>
    <row r="116" spans="1:16" s="27" customFormat="1" ht="18" customHeight="1">
      <c r="A116" s="35"/>
      <c r="B116" s="527"/>
      <c r="C116" s="10" t="s">
        <v>13</v>
      </c>
      <c r="D116" s="6" t="s">
        <v>139</v>
      </c>
      <c r="E116" s="493">
        <f>37.6/100</f>
        <v>0.376</v>
      </c>
      <c r="F116" s="2">
        <f>E116*F115</f>
        <v>9.4</v>
      </c>
      <c r="G116" s="1"/>
      <c r="H116" s="1"/>
      <c r="I116" s="1"/>
      <c r="J116" s="1">
        <f>I116*F116</f>
        <v>0</v>
      </c>
      <c r="K116" s="1"/>
      <c r="L116" s="1"/>
      <c r="M116" s="1">
        <f>H116+J116+L116</f>
        <v>0</v>
      </c>
      <c r="N116" s="60"/>
      <c r="O116" s="60"/>
      <c r="P116" s="738"/>
    </row>
    <row r="117" spans="1:16" s="27" customFormat="1" ht="21" customHeight="1">
      <c r="A117" s="35"/>
      <c r="B117" s="59"/>
      <c r="C117" s="526" t="s">
        <v>401</v>
      </c>
      <c r="D117" s="104" t="s">
        <v>65</v>
      </c>
      <c r="E117" s="340">
        <v>1</v>
      </c>
      <c r="F117" s="2">
        <v>25</v>
      </c>
      <c r="G117" s="1"/>
      <c r="H117" s="1">
        <f>G117*F117</f>
        <v>0</v>
      </c>
      <c r="I117" s="1"/>
      <c r="J117" s="1"/>
      <c r="K117" s="1"/>
      <c r="L117" s="1"/>
      <c r="M117" s="1">
        <f>H117+J117+L117</f>
        <v>0</v>
      </c>
      <c r="N117" s="60"/>
      <c r="O117" s="60"/>
      <c r="P117" s="738"/>
    </row>
    <row r="118" spans="1:16" s="27" customFormat="1" ht="18" customHeight="1">
      <c r="A118" s="35"/>
      <c r="B118" s="527"/>
      <c r="C118" s="10" t="s">
        <v>69</v>
      </c>
      <c r="D118" s="6" t="s">
        <v>6</v>
      </c>
      <c r="E118" s="40">
        <f>6.41/100</f>
        <v>0.0641</v>
      </c>
      <c r="F118" s="2">
        <f>E118*F115</f>
        <v>1.6025</v>
      </c>
      <c r="G118" s="1"/>
      <c r="H118" s="1">
        <f>G118*F118</f>
        <v>0</v>
      </c>
      <c r="I118" s="1"/>
      <c r="J118" s="1"/>
      <c r="K118" s="1"/>
      <c r="L118" s="1"/>
      <c r="M118" s="1">
        <f>H118+J118+L118</f>
        <v>0</v>
      </c>
      <c r="N118" s="60"/>
      <c r="O118" s="60"/>
      <c r="P118" s="738"/>
    </row>
    <row r="119" spans="1:16" s="372" customFormat="1" ht="39" customHeight="1">
      <c r="A119" s="35">
        <f>A115+1</f>
        <v>19</v>
      </c>
      <c r="B119" s="59" t="s">
        <v>551</v>
      </c>
      <c r="C119" s="528" t="s">
        <v>214</v>
      </c>
      <c r="D119" s="41" t="s">
        <v>12</v>
      </c>
      <c r="E119" s="41"/>
      <c r="F119" s="24">
        <v>1</v>
      </c>
      <c r="G119" s="143"/>
      <c r="H119" s="195"/>
      <c r="I119" s="143"/>
      <c r="J119" s="195"/>
      <c r="K119" s="143"/>
      <c r="L119" s="143"/>
      <c r="M119" s="143"/>
      <c r="N119" s="58"/>
      <c r="O119" s="56"/>
      <c r="P119" s="734"/>
    </row>
    <row r="120" spans="1:16" s="27" customFormat="1" ht="17.25" customHeight="1">
      <c r="A120" s="35"/>
      <c r="B120" s="59"/>
      <c r="C120" s="10" t="s">
        <v>13</v>
      </c>
      <c r="D120" s="6" t="s">
        <v>139</v>
      </c>
      <c r="E120" s="224">
        <v>1</v>
      </c>
      <c r="F120" s="2">
        <f>E120*F119</f>
        <v>1</v>
      </c>
      <c r="G120" s="143"/>
      <c r="H120" s="195"/>
      <c r="I120" s="143"/>
      <c r="J120" s="195">
        <f>I120*F120</f>
        <v>0</v>
      </c>
      <c r="K120" s="143"/>
      <c r="L120" s="143"/>
      <c r="M120" s="143">
        <f>H120+J120+L120</f>
        <v>0</v>
      </c>
      <c r="N120" s="55"/>
      <c r="O120" s="60">
        <f>M120+K120+I120</f>
        <v>0</v>
      </c>
      <c r="P120" s="738"/>
    </row>
    <row r="121" spans="1:13" s="27" customFormat="1" ht="17.25" customHeight="1">
      <c r="A121" s="32"/>
      <c r="B121" s="59"/>
      <c r="C121" s="79" t="s">
        <v>213</v>
      </c>
      <c r="D121" s="245" t="s">
        <v>65</v>
      </c>
      <c r="E121" s="246">
        <v>1</v>
      </c>
      <c r="F121" s="2">
        <f>E121*F119</f>
        <v>1</v>
      </c>
      <c r="G121" s="143"/>
      <c r="H121" s="195">
        <f>G121*F121</f>
        <v>0</v>
      </c>
      <c r="I121" s="143"/>
      <c r="J121" s="195"/>
      <c r="K121" s="143"/>
      <c r="L121" s="143"/>
      <c r="M121" s="143">
        <f>H121+J121+L121</f>
        <v>0</v>
      </c>
    </row>
    <row r="122" spans="1:16" s="27" customFormat="1" ht="17.25" customHeight="1">
      <c r="A122" s="35"/>
      <c r="B122" s="59"/>
      <c r="C122" s="10" t="s">
        <v>69</v>
      </c>
      <c r="D122" s="6" t="s">
        <v>6</v>
      </c>
      <c r="E122" s="40">
        <v>0.09</v>
      </c>
      <c r="F122" s="2">
        <f>E122*F119</f>
        <v>0.09</v>
      </c>
      <c r="G122" s="143"/>
      <c r="H122" s="195">
        <f>G122*F122</f>
        <v>0</v>
      </c>
      <c r="I122" s="143"/>
      <c r="J122" s="195"/>
      <c r="K122" s="143"/>
      <c r="L122" s="143"/>
      <c r="M122" s="143">
        <f>H122+J122+L122</f>
        <v>0</v>
      </c>
      <c r="N122" s="55"/>
      <c r="O122" s="60">
        <f>M122+K122+I122</f>
        <v>0</v>
      </c>
      <c r="P122" s="738"/>
    </row>
    <row r="123" spans="1:16" s="372" customFormat="1" ht="21" customHeight="1">
      <c r="A123" s="35">
        <f>A119+1</f>
        <v>20</v>
      </c>
      <c r="B123" s="59"/>
      <c r="C123" s="42" t="s">
        <v>124</v>
      </c>
      <c r="D123" s="41" t="s">
        <v>12</v>
      </c>
      <c r="E123" s="41"/>
      <c r="F123" s="24">
        <f>SUM(F124:F125)</f>
        <v>201</v>
      </c>
      <c r="G123" s="143"/>
      <c r="H123" s="195"/>
      <c r="I123" s="143"/>
      <c r="J123" s="195"/>
      <c r="K123" s="143"/>
      <c r="L123" s="143"/>
      <c r="M123" s="143"/>
      <c r="N123" s="58"/>
      <c r="O123" s="56"/>
      <c r="P123" s="734"/>
    </row>
    <row r="124" spans="1:13" s="27" customFormat="1" ht="18" customHeight="1">
      <c r="A124" s="32"/>
      <c r="B124" s="32"/>
      <c r="C124" s="250" t="s">
        <v>168</v>
      </c>
      <c r="D124" s="245" t="s">
        <v>65</v>
      </c>
      <c r="E124" s="246"/>
      <c r="F124" s="2">
        <v>1</v>
      </c>
      <c r="G124" s="143"/>
      <c r="H124" s="195">
        <f>G124*F124</f>
        <v>0</v>
      </c>
      <c r="I124" s="143"/>
      <c r="J124" s="195"/>
      <c r="K124" s="143"/>
      <c r="L124" s="143"/>
      <c r="M124" s="143">
        <f>H124+J124+L124</f>
        <v>0</v>
      </c>
    </row>
    <row r="125" spans="1:13" s="27" customFormat="1" ht="21" customHeight="1">
      <c r="A125" s="32"/>
      <c r="B125" s="32"/>
      <c r="C125" s="250" t="s">
        <v>338</v>
      </c>
      <c r="D125" s="245" t="s">
        <v>65</v>
      </c>
      <c r="E125" s="246"/>
      <c r="F125" s="2">
        <v>200</v>
      </c>
      <c r="G125" s="143"/>
      <c r="H125" s="195">
        <f>G125*F125</f>
        <v>0</v>
      </c>
      <c r="I125" s="143"/>
      <c r="J125" s="195"/>
      <c r="K125" s="143"/>
      <c r="L125" s="143"/>
      <c r="M125" s="143">
        <f>H125+J125+L125</f>
        <v>0</v>
      </c>
    </row>
    <row r="126" spans="1:15" s="510" customFormat="1" ht="18" customHeight="1">
      <c r="A126" s="497"/>
      <c r="B126" s="498"/>
      <c r="C126" s="509" t="s">
        <v>56</v>
      </c>
      <c r="D126" s="499"/>
      <c r="E126" s="138"/>
      <c r="F126" s="227"/>
      <c r="G126" s="283"/>
      <c r="H126" s="82"/>
      <c r="I126" s="82"/>
      <c r="J126" s="84"/>
      <c r="K126" s="82"/>
      <c r="L126" s="82"/>
      <c r="M126" s="82"/>
      <c r="O126" s="511"/>
    </row>
    <row r="127" spans="1:13" s="27" customFormat="1" ht="21" customHeight="1">
      <c r="A127" s="35">
        <f>A123+1</f>
        <v>21</v>
      </c>
      <c r="B127" s="59" t="s">
        <v>153</v>
      </c>
      <c r="C127" s="42" t="s">
        <v>154</v>
      </c>
      <c r="D127" s="41" t="s">
        <v>12</v>
      </c>
      <c r="E127" s="41"/>
      <c r="F127" s="24">
        <v>91</v>
      </c>
      <c r="G127" s="143"/>
      <c r="H127" s="195"/>
      <c r="I127" s="143"/>
      <c r="J127" s="195"/>
      <c r="K127" s="143"/>
      <c r="L127" s="143"/>
      <c r="M127" s="143"/>
    </row>
    <row r="128" spans="1:14" s="27" customFormat="1" ht="18" customHeight="1">
      <c r="A128" s="35"/>
      <c r="B128" s="59"/>
      <c r="C128" s="10" t="s">
        <v>13</v>
      </c>
      <c r="D128" s="6" t="s">
        <v>139</v>
      </c>
      <c r="E128" s="40">
        <f>182/100</f>
        <v>1.82</v>
      </c>
      <c r="F128" s="2">
        <f>E128*F127</f>
        <v>165.62</v>
      </c>
      <c r="G128" s="143"/>
      <c r="H128" s="195"/>
      <c r="I128" s="143"/>
      <c r="J128" s="195">
        <f>I128*F128</f>
        <v>0</v>
      </c>
      <c r="K128" s="143"/>
      <c r="L128" s="143"/>
      <c r="M128" s="143">
        <f>H128+J128+L128</f>
        <v>0</v>
      </c>
      <c r="N128" s="103"/>
    </row>
    <row r="129" spans="1:14" s="27" customFormat="1" ht="18" customHeight="1">
      <c r="A129" s="35"/>
      <c r="B129" s="59"/>
      <c r="C129" s="10" t="s">
        <v>162</v>
      </c>
      <c r="D129" s="6" t="s">
        <v>163</v>
      </c>
      <c r="E129" s="40">
        <f>6.5*0.01</f>
        <v>0.065</v>
      </c>
      <c r="F129" s="2">
        <f>E129*F127</f>
        <v>5.915</v>
      </c>
      <c r="G129" s="143"/>
      <c r="H129" s="195"/>
      <c r="I129" s="143"/>
      <c r="J129" s="195"/>
      <c r="K129" s="143"/>
      <c r="L129" s="143">
        <f>K129*F129</f>
        <v>0</v>
      </c>
      <c r="M129" s="143">
        <f>H129+J129+L129</f>
        <v>0</v>
      </c>
      <c r="N129" s="103"/>
    </row>
    <row r="130" spans="1:14" s="27" customFormat="1" ht="18" customHeight="1">
      <c r="A130" s="35"/>
      <c r="B130" s="59"/>
      <c r="C130" s="10" t="s">
        <v>164</v>
      </c>
      <c r="D130" s="6" t="s">
        <v>163</v>
      </c>
      <c r="E130" s="40">
        <f>17.8*0.01</f>
        <v>0.17800000000000002</v>
      </c>
      <c r="F130" s="2">
        <f>E130*F127</f>
        <v>16.198</v>
      </c>
      <c r="G130" s="143"/>
      <c r="H130" s="195"/>
      <c r="I130" s="143"/>
      <c r="J130" s="195"/>
      <c r="K130" s="143"/>
      <c r="L130" s="143">
        <f>K130*F130</f>
        <v>0</v>
      </c>
      <c r="M130" s="143">
        <f>H130+J130+L130</f>
        <v>0</v>
      </c>
      <c r="N130" s="103"/>
    </row>
    <row r="131" spans="1:13" s="27" customFormat="1" ht="33" customHeight="1">
      <c r="A131" s="32"/>
      <c r="B131" s="35"/>
      <c r="C131" s="526" t="s">
        <v>349</v>
      </c>
      <c r="D131" s="245" t="s">
        <v>57</v>
      </c>
      <c r="E131" s="246">
        <v>1</v>
      </c>
      <c r="F131" s="2">
        <f>E131*F127</f>
        <v>91</v>
      </c>
      <c r="G131" s="143"/>
      <c r="H131" s="195">
        <f>G131*F131</f>
        <v>0</v>
      </c>
      <c r="I131" s="143"/>
      <c r="J131" s="195"/>
      <c r="K131" s="143"/>
      <c r="L131" s="143"/>
      <c r="M131" s="143">
        <f>H131+J131+L131</f>
        <v>0</v>
      </c>
    </row>
    <row r="132" spans="1:16" s="27" customFormat="1" ht="18" customHeight="1">
      <c r="A132" s="35"/>
      <c r="B132" s="59"/>
      <c r="C132" s="10" t="s">
        <v>69</v>
      </c>
      <c r="D132" s="6" t="s">
        <v>6</v>
      </c>
      <c r="E132" s="40">
        <f>13.2/100</f>
        <v>0.132</v>
      </c>
      <c r="F132" s="2">
        <f>E132*F127</f>
        <v>12.012</v>
      </c>
      <c r="G132" s="143"/>
      <c r="H132" s="195">
        <f>G132*F132</f>
        <v>0</v>
      </c>
      <c r="I132" s="143"/>
      <c r="J132" s="195"/>
      <c r="K132" s="143"/>
      <c r="L132" s="143"/>
      <c r="M132" s="143">
        <f>H132+J132+L132</f>
        <v>0</v>
      </c>
      <c r="N132" s="55"/>
      <c r="O132" s="60"/>
      <c r="P132" s="738"/>
    </row>
    <row r="133" spans="1:13" s="27" customFormat="1" ht="21" customHeight="1">
      <c r="A133" s="35">
        <f>A127+1</f>
        <v>22</v>
      </c>
      <c r="B133" s="59" t="s">
        <v>155</v>
      </c>
      <c r="C133" s="42" t="s">
        <v>154</v>
      </c>
      <c r="D133" s="41" t="s">
        <v>12</v>
      </c>
      <c r="E133" s="41"/>
      <c r="F133" s="24">
        <v>2</v>
      </c>
      <c r="G133" s="143"/>
      <c r="H133" s="195"/>
      <c r="I133" s="143"/>
      <c r="J133" s="195"/>
      <c r="K133" s="143"/>
      <c r="L133" s="143"/>
      <c r="M133" s="143"/>
    </row>
    <row r="134" spans="1:14" s="27" customFormat="1" ht="18" customHeight="1">
      <c r="A134" s="35"/>
      <c r="B134" s="59"/>
      <c r="C134" s="10" t="s">
        <v>13</v>
      </c>
      <c r="D134" s="6" t="s">
        <v>139</v>
      </c>
      <c r="E134" s="40">
        <v>1.32</v>
      </c>
      <c r="F134" s="2">
        <f>E134*F133</f>
        <v>2.64</v>
      </c>
      <c r="G134" s="143"/>
      <c r="H134" s="195"/>
      <c r="I134" s="143"/>
      <c r="J134" s="195">
        <f>I134*F134</f>
        <v>0</v>
      </c>
      <c r="K134" s="143"/>
      <c r="L134" s="143"/>
      <c r="M134" s="143">
        <f>H134+J134+L134</f>
        <v>0</v>
      </c>
      <c r="N134" s="103"/>
    </row>
    <row r="135" spans="1:14" s="27" customFormat="1" ht="18" customHeight="1">
      <c r="A135" s="35"/>
      <c r="B135" s="59"/>
      <c r="C135" s="10" t="s">
        <v>162</v>
      </c>
      <c r="D135" s="6" t="s">
        <v>163</v>
      </c>
      <c r="E135" s="40">
        <f>2.8*0.01</f>
        <v>0.027999999999999997</v>
      </c>
      <c r="F135" s="2">
        <f>E135*F133</f>
        <v>0.055999999999999994</v>
      </c>
      <c r="G135" s="143"/>
      <c r="H135" s="195"/>
      <c r="I135" s="143"/>
      <c r="J135" s="195"/>
      <c r="K135" s="143"/>
      <c r="L135" s="143">
        <f>K135*F135</f>
        <v>0</v>
      </c>
      <c r="M135" s="143">
        <f>H135+J135+L135</f>
        <v>0</v>
      </c>
      <c r="N135" s="103"/>
    </row>
    <row r="136" spans="1:14" s="27" customFormat="1" ht="18" customHeight="1">
      <c r="A136" s="35"/>
      <c r="B136" s="59"/>
      <c r="C136" s="10" t="s">
        <v>164</v>
      </c>
      <c r="D136" s="6" t="s">
        <v>163</v>
      </c>
      <c r="E136" s="40">
        <f>11.9*0.01</f>
        <v>0.11900000000000001</v>
      </c>
      <c r="F136" s="2">
        <f>E136*F133</f>
        <v>0.23800000000000002</v>
      </c>
      <c r="G136" s="143"/>
      <c r="H136" s="195"/>
      <c r="I136" s="143"/>
      <c r="J136" s="195"/>
      <c r="K136" s="143"/>
      <c r="L136" s="143">
        <f>K136*F136</f>
        <v>0</v>
      </c>
      <c r="M136" s="143">
        <f>H136+J136+L136</f>
        <v>0</v>
      </c>
      <c r="N136" s="103"/>
    </row>
    <row r="137" spans="1:13" s="27" customFormat="1" ht="18" customHeight="1">
      <c r="A137" s="35"/>
      <c r="B137" s="35"/>
      <c r="C137" s="526" t="s">
        <v>350</v>
      </c>
      <c r="D137" s="245" t="s">
        <v>57</v>
      </c>
      <c r="E137" s="246">
        <v>1</v>
      </c>
      <c r="F137" s="2">
        <f>E137*F133</f>
        <v>2</v>
      </c>
      <c r="G137" s="143"/>
      <c r="H137" s="195">
        <f>G137*F137</f>
        <v>0</v>
      </c>
      <c r="I137" s="143"/>
      <c r="J137" s="195"/>
      <c r="K137" s="143"/>
      <c r="L137" s="143"/>
      <c r="M137" s="143">
        <f>H137+J137+L137</f>
        <v>0</v>
      </c>
    </row>
    <row r="138" spans="1:16" s="27" customFormat="1" ht="18" customHeight="1">
      <c r="A138" s="35"/>
      <c r="B138" s="59"/>
      <c r="C138" s="10" t="s">
        <v>69</v>
      </c>
      <c r="D138" s="6" t="s">
        <v>6</v>
      </c>
      <c r="E138" s="40">
        <v>0.126</v>
      </c>
      <c r="F138" s="2">
        <f>E138*F133</f>
        <v>0.252</v>
      </c>
      <c r="G138" s="143"/>
      <c r="H138" s="195">
        <f>G138*F138</f>
        <v>0</v>
      </c>
      <c r="I138" s="143"/>
      <c r="J138" s="195"/>
      <c r="K138" s="143"/>
      <c r="L138" s="143"/>
      <c r="M138" s="143">
        <f>H138+J138+L138</f>
        <v>0</v>
      </c>
      <c r="N138" s="55"/>
      <c r="O138" s="60"/>
      <c r="P138" s="738"/>
    </row>
    <row r="139" spans="1:13" s="27" customFormat="1" ht="21" customHeight="1">
      <c r="A139" s="35">
        <f>A133+1</f>
        <v>23</v>
      </c>
      <c r="B139" s="59" t="s">
        <v>153</v>
      </c>
      <c r="C139" s="42" t="s">
        <v>154</v>
      </c>
      <c r="D139" s="41" t="s">
        <v>12</v>
      </c>
      <c r="E139" s="41"/>
      <c r="F139" s="24">
        <v>2</v>
      </c>
      <c r="G139" s="143"/>
      <c r="H139" s="195"/>
      <c r="I139" s="143"/>
      <c r="J139" s="195"/>
      <c r="K139" s="143"/>
      <c r="L139" s="143"/>
      <c r="M139" s="143"/>
    </row>
    <row r="140" spans="1:14" s="27" customFormat="1" ht="18" customHeight="1">
      <c r="A140" s="35"/>
      <c r="B140" s="59"/>
      <c r="C140" s="10" t="s">
        <v>13</v>
      </c>
      <c r="D140" s="6" t="s">
        <v>139</v>
      </c>
      <c r="E140" s="40">
        <f>182/100</f>
        <v>1.82</v>
      </c>
      <c r="F140" s="2">
        <f>E140*F139</f>
        <v>3.64</v>
      </c>
      <c r="G140" s="143"/>
      <c r="H140" s="195"/>
      <c r="I140" s="143"/>
      <c r="J140" s="195">
        <f>I140*F140</f>
        <v>0</v>
      </c>
      <c r="K140" s="143"/>
      <c r="L140" s="143"/>
      <c r="M140" s="143">
        <f>H140+J140+L140</f>
        <v>0</v>
      </c>
      <c r="N140" s="103"/>
    </row>
    <row r="141" spans="1:14" s="27" customFormat="1" ht="18" customHeight="1">
      <c r="A141" s="35"/>
      <c r="B141" s="59"/>
      <c r="C141" s="10" t="s">
        <v>162</v>
      </c>
      <c r="D141" s="6" t="s">
        <v>163</v>
      </c>
      <c r="E141" s="40">
        <f>6.5*0.01</f>
        <v>0.065</v>
      </c>
      <c r="F141" s="2">
        <f>E141*F139</f>
        <v>0.13</v>
      </c>
      <c r="G141" s="143"/>
      <c r="H141" s="195"/>
      <c r="I141" s="143"/>
      <c r="J141" s="195"/>
      <c r="K141" s="143"/>
      <c r="L141" s="143">
        <f>K141*F141</f>
        <v>0</v>
      </c>
      <c r="M141" s="143">
        <f>H141+J141+L141</f>
        <v>0</v>
      </c>
      <c r="N141" s="103"/>
    </row>
    <row r="142" spans="1:14" s="27" customFormat="1" ht="18" customHeight="1">
      <c r="A142" s="35"/>
      <c r="B142" s="59"/>
      <c r="C142" s="10" t="s">
        <v>164</v>
      </c>
      <c r="D142" s="6" t="s">
        <v>163</v>
      </c>
      <c r="E142" s="40">
        <f>17.8*0.01</f>
        <v>0.17800000000000002</v>
      </c>
      <c r="F142" s="2">
        <f>E142*F139</f>
        <v>0.35600000000000004</v>
      </c>
      <c r="G142" s="143"/>
      <c r="H142" s="195"/>
      <c r="I142" s="143"/>
      <c r="J142" s="195"/>
      <c r="K142" s="143"/>
      <c r="L142" s="143">
        <f>K142*F142</f>
        <v>0</v>
      </c>
      <c r="M142" s="143">
        <f>H142+J142+L142</f>
        <v>0</v>
      </c>
      <c r="N142" s="103"/>
    </row>
    <row r="143" spans="1:13" s="27" customFormat="1" ht="18" customHeight="1">
      <c r="A143" s="32"/>
      <c r="B143" s="35"/>
      <c r="C143" s="526" t="s">
        <v>351</v>
      </c>
      <c r="D143" s="245" t="s">
        <v>57</v>
      </c>
      <c r="E143" s="246">
        <v>1</v>
      </c>
      <c r="F143" s="2">
        <f>E143*F139</f>
        <v>2</v>
      </c>
      <c r="G143" s="143"/>
      <c r="H143" s="195">
        <f>G143*F143</f>
        <v>0</v>
      </c>
      <c r="I143" s="143"/>
      <c r="J143" s="195"/>
      <c r="K143" s="143"/>
      <c r="L143" s="143"/>
      <c r="M143" s="143">
        <f>H143+J143+L143</f>
        <v>0</v>
      </c>
    </row>
    <row r="144" spans="1:16" s="27" customFormat="1" ht="18" customHeight="1">
      <c r="A144" s="35"/>
      <c r="B144" s="59"/>
      <c r="C144" s="10" t="s">
        <v>69</v>
      </c>
      <c r="D144" s="6" t="s">
        <v>6</v>
      </c>
      <c r="E144" s="40">
        <f>13.2/100</f>
        <v>0.132</v>
      </c>
      <c r="F144" s="2">
        <f>E144*F139</f>
        <v>0.264</v>
      </c>
      <c r="G144" s="143"/>
      <c r="H144" s="195">
        <f>G144*F144</f>
        <v>0</v>
      </c>
      <c r="I144" s="143"/>
      <c r="J144" s="195"/>
      <c r="K144" s="143"/>
      <c r="L144" s="143"/>
      <c r="M144" s="143">
        <f>H144+J144+L144</f>
        <v>0</v>
      </c>
      <c r="N144" s="55"/>
      <c r="O144" s="60"/>
      <c r="P144" s="738"/>
    </row>
    <row r="145" spans="1:13" s="27" customFormat="1" ht="21" customHeight="1">
      <c r="A145" s="35">
        <f>A139+1</f>
        <v>24</v>
      </c>
      <c r="B145" s="59" t="s">
        <v>158</v>
      </c>
      <c r="C145" s="42" t="s">
        <v>154</v>
      </c>
      <c r="D145" s="41" t="s">
        <v>12</v>
      </c>
      <c r="E145" s="41"/>
      <c r="F145" s="24">
        <f>SUM(F148:F150)</f>
        <v>39</v>
      </c>
      <c r="G145" s="143"/>
      <c r="H145" s="195"/>
      <c r="I145" s="143"/>
      <c r="J145" s="195"/>
      <c r="K145" s="143"/>
      <c r="L145" s="143"/>
      <c r="M145" s="143"/>
    </row>
    <row r="146" spans="1:14" s="27" customFormat="1" ht="18" customHeight="1">
      <c r="A146" s="35"/>
      <c r="B146" s="59"/>
      <c r="C146" s="10" t="s">
        <v>13</v>
      </c>
      <c r="D146" s="6" t="s">
        <v>139</v>
      </c>
      <c r="E146" s="40">
        <v>1.65</v>
      </c>
      <c r="F146" s="2">
        <f>E146*F145</f>
        <v>64.35</v>
      </c>
      <c r="G146" s="143"/>
      <c r="H146" s="195"/>
      <c r="I146" s="143"/>
      <c r="J146" s="195">
        <f>I146*F146</f>
        <v>0</v>
      </c>
      <c r="K146" s="143"/>
      <c r="L146" s="143"/>
      <c r="M146" s="143">
        <f>H146+J146+L146</f>
        <v>0</v>
      </c>
      <c r="N146" s="103"/>
    </row>
    <row r="147" spans="1:13" s="264" customFormat="1" ht="18" customHeight="1">
      <c r="A147" s="6"/>
      <c r="B147" s="32"/>
      <c r="C147" s="69" t="s">
        <v>70</v>
      </c>
      <c r="D147" s="6" t="s">
        <v>6</v>
      </c>
      <c r="E147" s="695">
        <f>2.2/100</f>
        <v>0.022000000000000002</v>
      </c>
      <c r="F147" s="2">
        <f>E147*F145</f>
        <v>0.8580000000000001</v>
      </c>
      <c r="G147" s="143"/>
      <c r="H147" s="195"/>
      <c r="I147" s="143"/>
      <c r="J147" s="195"/>
      <c r="K147" s="143"/>
      <c r="L147" s="143">
        <f>K147*F147</f>
        <v>0</v>
      </c>
      <c r="M147" s="143">
        <f>L147+J147+H147</f>
        <v>0</v>
      </c>
    </row>
    <row r="148" spans="1:13" s="27" customFormat="1" ht="33" customHeight="1">
      <c r="A148" s="32"/>
      <c r="B148" s="35"/>
      <c r="C148" s="526" t="s">
        <v>352</v>
      </c>
      <c r="D148" s="245" t="s">
        <v>57</v>
      </c>
      <c r="E148" s="246">
        <v>1</v>
      </c>
      <c r="F148" s="2">
        <v>17</v>
      </c>
      <c r="G148" s="143"/>
      <c r="H148" s="195">
        <f>G148*F148</f>
        <v>0</v>
      </c>
      <c r="I148" s="143"/>
      <c r="J148" s="195"/>
      <c r="K148" s="143"/>
      <c r="L148" s="143"/>
      <c r="M148" s="143">
        <f>H148+J148+L148</f>
        <v>0</v>
      </c>
    </row>
    <row r="149" spans="1:13" s="27" customFormat="1" ht="18" customHeight="1">
      <c r="A149" s="32"/>
      <c r="B149" s="35"/>
      <c r="C149" s="526" t="s">
        <v>402</v>
      </c>
      <c r="D149" s="245" t="s">
        <v>57</v>
      </c>
      <c r="E149" s="246">
        <v>1</v>
      </c>
      <c r="F149" s="2">
        <v>1</v>
      </c>
      <c r="G149" s="143"/>
      <c r="H149" s="195">
        <f>G149*F149</f>
        <v>0</v>
      </c>
      <c r="I149" s="143"/>
      <c r="J149" s="195"/>
      <c r="K149" s="143"/>
      <c r="L149" s="143"/>
      <c r="M149" s="143">
        <f>H149+J149+L149</f>
        <v>0</v>
      </c>
    </row>
    <row r="150" spans="1:13" s="27" customFormat="1" ht="18" customHeight="1">
      <c r="A150" s="32"/>
      <c r="B150" s="35"/>
      <c r="C150" s="526" t="s">
        <v>353</v>
      </c>
      <c r="D150" s="245" t="s">
        <v>57</v>
      </c>
      <c r="E150" s="246">
        <v>1</v>
      </c>
      <c r="F150" s="2">
        <v>21</v>
      </c>
      <c r="G150" s="143"/>
      <c r="H150" s="195">
        <f>G150*F150</f>
        <v>0</v>
      </c>
      <c r="I150" s="143"/>
      <c r="J150" s="195"/>
      <c r="K150" s="143"/>
      <c r="L150" s="143"/>
      <c r="M150" s="143">
        <f>H150+J150+L150</f>
        <v>0</v>
      </c>
    </row>
    <row r="151" spans="1:16" s="27" customFormat="1" ht="18" customHeight="1">
      <c r="A151" s="35"/>
      <c r="B151" s="59"/>
      <c r="C151" s="10" t="s">
        <v>69</v>
      </c>
      <c r="D151" s="6" t="s">
        <v>6</v>
      </c>
      <c r="E151" s="40">
        <v>0.306</v>
      </c>
      <c r="F151" s="2">
        <f>E151*F145</f>
        <v>11.934</v>
      </c>
      <c r="G151" s="143"/>
      <c r="H151" s="195">
        <f>G151*F151</f>
        <v>0</v>
      </c>
      <c r="I151" s="143"/>
      <c r="J151" s="195"/>
      <c r="K151" s="143"/>
      <c r="L151" s="143"/>
      <c r="M151" s="143">
        <f>H151+J151+L151</f>
        <v>0</v>
      </c>
      <c r="N151" s="55"/>
      <c r="O151" s="60"/>
      <c r="P151" s="738"/>
    </row>
    <row r="152" spans="1:13" s="27" customFormat="1" ht="21" customHeight="1">
      <c r="A152" s="35">
        <f>A145+1</f>
        <v>25</v>
      </c>
      <c r="B152" s="59" t="s">
        <v>156</v>
      </c>
      <c r="C152" s="42" t="s">
        <v>154</v>
      </c>
      <c r="D152" s="41" t="s">
        <v>12</v>
      </c>
      <c r="E152" s="41"/>
      <c r="F152" s="24">
        <f>SUM(F155:F157)</f>
        <v>17</v>
      </c>
      <c r="G152" s="143"/>
      <c r="H152" s="195"/>
      <c r="I152" s="143"/>
      <c r="J152" s="195"/>
      <c r="K152" s="143"/>
      <c r="L152" s="143"/>
      <c r="M152" s="143"/>
    </row>
    <row r="153" spans="1:14" s="27" customFormat="1" ht="15.75">
      <c r="A153" s="35"/>
      <c r="B153" s="59"/>
      <c r="C153" s="10" t="s">
        <v>13</v>
      </c>
      <c r="D153" s="6" t="s">
        <v>139</v>
      </c>
      <c r="E153" s="40">
        <v>0.72</v>
      </c>
      <c r="F153" s="2">
        <f>E153*F152</f>
        <v>12.24</v>
      </c>
      <c r="G153" s="143"/>
      <c r="H153" s="195"/>
      <c r="I153" s="143"/>
      <c r="J153" s="195">
        <f>I153*F153</f>
        <v>0</v>
      </c>
      <c r="K153" s="143"/>
      <c r="L153" s="143"/>
      <c r="M153" s="143">
        <f aca="true" t="shared" si="5" ref="M153:M158">H153+J153+L153</f>
        <v>0</v>
      </c>
      <c r="N153" s="103"/>
    </row>
    <row r="154" spans="1:14" s="27" customFormat="1" ht="15.75">
      <c r="A154" s="35"/>
      <c r="B154" s="59"/>
      <c r="C154" s="10" t="s">
        <v>70</v>
      </c>
      <c r="D154" s="6" t="s">
        <v>6</v>
      </c>
      <c r="E154" s="40">
        <v>0.311</v>
      </c>
      <c r="F154" s="2">
        <f>E154*F152</f>
        <v>5.287</v>
      </c>
      <c r="G154" s="143"/>
      <c r="H154" s="195"/>
      <c r="I154" s="143"/>
      <c r="J154" s="195"/>
      <c r="K154" s="143"/>
      <c r="L154" s="143">
        <f>K154*F154</f>
        <v>0</v>
      </c>
      <c r="M154" s="143">
        <f t="shared" si="5"/>
        <v>0</v>
      </c>
      <c r="N154" s="103"/>
    </row>
    <row r="155" spans="1:13" s="27" customFormat="1" ht="36" customHeight="1">
      <c r="A155" s="32"/>
      <c r="B155" s="59"/>
      <c r="C155" s="406" t="s">
        <v>324</v>
      </c>
      <c r="D155" s="245" t="s">
        <v>57</v>
      </c>
      <c r="E155" s="246">
        <v>1</v>
      </c>
      <c r="F155" s="2">
        <v>10</v>
      </c>
      <c r="G155" s="143"/>
      <c r="H155" s="195">
        <f>G155*F155</f>
        <v>0</v>
      </c>
      <c r="I155" s="143"/>
      <c r="J155" s="195"/>
      <c r="K155" s="143"/>
      <c r="L155" s="143"/>
      <c r="M155" s="143">
        <f t="shared" si="5"/>
        <v>0</v>
      </c>
    </row>
    <row r="156" spans="1:13" s="27" customFormat="1" ht="36" customHeight="1">
      <c r="A156" s="35"/>
      <c r="B156" s="59"/>
      <c r="C156" s="406" t="s">
        <v>403</v>
      </c>
      <c r="D156" s="245" t="s">
        <v>57</v>
      </c>
      <c r="E156" s="246">
        <v>1</v>
      </c>
      <c r="F156" s="2">
        <v>1</v>
      </c>
      <c r="G156" s="143"/>
      <c r="H156" s="195">
        <f>G156*F156</f>
        <v>0</v>
      </c>
      <c r="I156" s="143"/>
      <c r="J156" s="195"/>
      <c r="K156" s="143"/>
      <c r="L156" s="143"/>
      <c r="M156" s="143">
        <f t="shared" si="5"/>
        <v>0</v>
      </c>
    </row>
    <row r="157" spans="1:13" s="27" customFormat="1" ht="36" customHeight="1">
      <c r="A157" s="35"/>
      <c r="B157" s="59"/>
      <c r="C157" s="406" t="s">
        <v>325</v>
      </c>
      <c r="D157" s="245" t="s">
        <v>57</v>
      </c>
      <c r="E157" s="246">
        <v>1</v>
      </c>
      <c r="F157" s="2">
        <v>6</v>
      </c>
      <c r="G157" s="143"/>
      <c r="H157" s="195">
        <f>G157*F157</f>
        <v>0</v>
      </c>
      <c r="I157" s="143"/>
      <c r="J157" s="195"/>
      <c r="K157" s="143"/>
      <c r="L157" s="143"/>
      <c r="M157" s="143">
        <f t="shared" si="5"/>
        <v>0</v>
      </c>
    </row>
    <row r="158" spans="1:16" s="27" customFormat="1" ht="18" customHeight="1">
      <c r="A158" s="35"/>
      <c r="B158" s="59"/>
      <c r="C158" s="10" t="s">
        <v>69</v>
      </c>
      <c r="D158" s="6" t="s">
        <v>6</v>
      </c>
      <c r="E158" s="40">
        <f>11.3/100</f>
        <v>0.113</v>
      </c>
      <c r="F158" s="2">
        <f>E158*F152</f>
        <v>1.921</v>
      </c>
      <c r="G158" s="143"/>
      <c r="H158" s="195">
        <f>G158*F158</f>
        <v>0</v>
      </c>
      <c r="I158" s="143"/>
      <c r="J158" s="195"/>
      <c r="K158" s="143"/>
      <c r="L158" s="143"/>
      <c r="M158" s="143">
        <f t="shared" si="5"/>
        <v>0</v>
      </c>
      <c r="N158" s="55"/>
      <c r="O158" s="60"/>
      <c r="P158" s="738"/>
    </row>
    <row r="159" spans="1:15" s="510" customFormat="1" ht="18" customHeight="1">
      <c r="A159" s="497"/>
      <c r="B159" s="498"/>
      <c r="C159" s="509" t="s">
        <v>642</v>
      </c>
      <c r="D159" s="499"/>
      <c r="E159" s="138"/>
      <c r="F159" s="227"/>
      <c r="G159" s="283"/>
      <c r="H159" s="82"/>
      <c r="I159" s="82"/>
      <c r="J159" s="84"/>
      <c r="K159" s="82"/>
      <c r="L159" s="82"/>
      <c r="M159" s="82"/>
      <c r="O159" s="511"/>
    </row>
    <row r="160" spans="1:16" s="372" customFormat="1" ht="24" customHeight="1">
      <c r="A160" s="35">
        <f>A152+1</f>
        <v>26</v>
      </c>
      <c r="B160" s="59" t="s">
        <v>583</v>
      </c>
      <c r="C160" s="42" t="s">
        <v>80</v>
      </c>
      <c r="D160" s="41" t="s">
        <v>12</v>
      </c>
      <c r="E160" s="41"/>
      <c r="F160" s="24">
        <v>1</v>
      </c>
      <c r="G160" s="143"/>
      <c r="H160" s="195"/>
      <c r="I160" s="143"/>
      <c r="J160" s="195"/>
      <c r="K160" s="143"/>
      <c r="L160" s="143"/>
      <c r="M160" s="143"/>
      <c r="N160" s="58"/>
      <c r="O160" s="56"/>
      <c r="P160" s="773"/>
    </row>
    <row r="161" spans="1:16" s="27" customFormat="1" ht="18" customHeight="1">
      <c r="A161" s="35"/>
      <c r="B161" s="59"/>
      <c r="C161" s="10" t="s">
        <v>13</v>
      </c>
      <c r="D161" s="6" t="s">
        <v>6</v>
      </c>
      <c r="E161" s="133">
        <v>7.05</v>
      </c>
      <c r="F161" s="2">
        <f>E161*F160</f>
        <v>7.05</v>
      </c>
      <c r="G161" s="1"/>
      <c r="H161" s="1"/>
      <c r="I161" s="1"/>
      <c r="J161" s="1">
        <f>I161*F161</f>
        <v>0</v>
      </c>
      <c r="K161" s="143"/>
      <c r="L161" s="143"/>
      <c r="M161" s="143">
        <f>H161+J161+L161</f>
        <v>0</v>
      </c>
      <c r="N161" s="55"/>
      <c r="O161" s="60"/>
      <c r="P161" s="774"/>
    </row>
    <row r="162" spans="1:14" s="27" customFormat="1" ht="18" customHeight="1">
      <c r="A162" s="35"/>
      <c r="B162" s="59"/>
      <c r="C162" s="10" t="s">
        <v>162</v>
      </c>
      <c r="D162" s="6" t="s">
        <v>163</v>
      </c>
      <c r="E162" s="40">
        <f>16.1*0.01</f>
        <v>0.161</v>
      </c>
      <c r="F162" s="2">
        <f>E162*F160</f>
        <v>0.161</v>
      </c>
      <c r="G162" s="143"/>
      <c r="H162" s="195"/>
      <c r="I162" s="143"/>
      <c r="J162" s="195"/>
      <c r="K162" s="143"/>
      <c r="L162" s="143">
        <f>K162*F162</f>
        <v>0</v>
      </c>
      <c r="M162" s="143">
        <f>H162+J162+L162</f>
        <v>0</v>
      </c>
      <c r="N162" s="103"/>
    </row>
    <row r="163" spans="1:16" s="27" customFormat="1" ht="48" customHeight="1">
      <c r="A163" s="35"/>
      <c r="B163" s="32"/>
      <c r="C163" s="778" t="s">
        <v>643</v>
      </c>
      <c r="D163" s="245" t="s">
        <v>57</v>
      </c>
      <c r="E163" s="340">
        <v>1</v>
      </c>
      <c r="F163" s="2">
        <v>1</v>
      </c>
      <c r="G163" s="143"/>
      <c r="H163" s="195">
        <f>G163*F163</f>
        <v>0</v>
      </c>
      <c r="I163" s="143"/>
      <c r="J163" s="195"/>
      <c r="K163" s="143"/>
      <c r="L163" s="143"/>
      <c r="M163" s="143">
        <f>H163+J163+L163</f>
        <v>0</v>
      </c>
      <c r="N163" s="60"/>
      <c r="O163" s="60"/>
      <c r="P163" s="774"/>
    </row>
    <row r="164" spans="1:16" s="27" customFormat="1" ht="18" customHeight="1">
      <c r="A164" s="35"/>
      <c r="B164" s="59"/>
      <c r="C164" s="10" t="s">
        <v>69</v>
      </c>
      <c r="D164" s="6" t="s">
        <v>6</v>
      </c>
      <c r="E164" s="40">
        <f>39.6/100</f>
        <v>0.396</v>
      </c>
      <c r="F164" s="2">
        <f>E164*F160</f>
        <v>0.396</v>
      </c>
      <c r="G164" s="143"/>
      <c r="H164" s="195">
        <f>G164*F164</f>
        <v>0</v>
      </c>
      <c r="I164" s="143"/>
      <c r="J164" s="195"/>
      <c r="K164" s="143"/>
      <c r="L164" s="143"/>
      <c r="M164" s="143">
        <f>H164+J164+L164</f>
        <v>0</v>
      </c>
      <c r="N164" s="55"/>
      <c r="O164" s="60"/>
      <c r="P164" s="774"/>
    </row>
    <row r="165" spans="1:16" s="372" customFormat="1" ht="24" customHeight="1">
      <c r="A165" s="35">
        <f>A160+1</f>
        <v>27</v>
      </c>
      <c r="B165" s="59" t="s">
        <v>585</v>
      </c>
      <c r="C165" s="42" t="s">
        <v>586</v>
      </c>
      <c r="D165" s="41" t="s">
        <v>12</v>
      </c>
      <c r="E165" s="41"/>
      <c r="F165" s="24">
        <f>SUM(F167:F168)</f>
        <v>2</v>
      </c>
      <c r="G165" s="143"/>
      <c r="H165" s="195"/>
      <c r="I165" s="143"/>
      <c r="J165" s="195"/>
      <c r="K165" s="143"/>
      <c r="L165" s="143"/>
      <c r="M165" s="143"/>
      <c r="N165" s="58"/>
      <c r="O165" s="56"/>
      <c r="P165" s="773"/>
    </row>
    <row r="166" spans="1:16" s="27" customFormat="1" ht="18" customHeight="1">
      <c r="A166" s="35"/>
      <c r="B166" s="59"/>
      <c r="C166" s="10" t="s">
        <v>13</v>
      </c>
      <c r="D166" s="6" t="s">
        <v>6</v>
      </c>
      <c r="E166" s="133">
        <v>1</v>
      </c>
      <c r="F166" s="2">
        <f>E166*F165</f>
        <v>2</v>
      </c>
      <c r="G166" s="1"/>
      <c r="H166" s="1"/>
      <c r="I166" s="1"/>
      <c r="J166" s="1">
        <f>I166*F166</f>
        <v>0</v>
      </c>
      <c r="K166" s="143"/>
      <c r="L166" s="143"/>
      <c r="M166" s="143">
        <f>H166+J166+L166</f>
        <v>0</v>
      </c>
      <c r="N166" s="55"/>
      <c r="O166" s="60"/>
      <c r="P166" s="774"/>
    </row>
    <row r="167" spans="1:16" s="27" customFormat="1" ht="51" customHeight="1">
      <c r="A167" s="35"/>
      <c r="B167" s="59"/>
      <c r="C167" s="779" t="s">
        <v>404</v>
      </c>
      <c r="D167" s="104" t="s">
        <v>65</v>
      </c>
      <c r="E167" s="340">
        <v>1</v>
      </c>
      <c r="F167" s="2">
        <v>1</v>
      </c>
      <c r="G167" s="143"/>
      <c r="H167" s="195">
        <f>G167*F167</f>
        <v>0</v>
      </c>
      <c r="I167" s="143"/>
      <c r="J167" s="195"/>
      <c r="K167" s="143"/>
      <c r="L167" s="143"/>
      <c r="M167" s="143">
        <f>H167+J167+L167</f>
        <v>0</v>
      </c>
      <c r="N167" s="60"/>
      <c r="O167" s="60"/>
      <c r="P167" s="774"/>
    </row>
    <row r="168" spans="1:16" s="27" customFormat="1" ht="51" customHeight="1">
      <c r="A168" s="35"/>
      <c r="B168" s="59"/>
      <c r="C168" s="779" t="s">
        <v>405</v>
      </c>
      <c r="D168" s="104" t="s">
        <v>65</v>
      </c>
      <c r="E168" s="340">
        <v>1</v>
      </c>
      <c r="F168" s="2">
        <v>1</v>
      </c>
      <c r="G168" s="143"/>
      <c r="H168" s="195">
        <f>G168*F168</f>
        <v>0</v>
      </c>
      <c r="I168" s="143"/>
      <c r="J168" s="195"/>
      <c r="K168" s="143"/>
      <c r="L168" s="143"/>
      <c r="M168" s="143">
        <f>H168+J168+L168</f>
        <v>0</v>
      </c>
      <c r="N168" s="60"/>
      <c r="O168" s="60"/>
      <c r="P168" s="774"/>
    </row>
    <row r="169" spans="1:16" s="27" customFormat="1" ht="18" customHeight="1">
      <c r="A169" s="35"/>
      <c r="B169" s="59"/>
      <c r="C169" s="10" t="s">
        <v>69</v>
      </c>
      <c r="D169" s="6" t="s">
        <v>6</v>
      </c>
      <c r="E169" s="40">
        <v>0.81</v>
      </c>
      <c r="F169" s="2">
        <f>E169*F165</f>
        <v>1.62</v>
      </c>
      <c r="G169" s="1"/>
      <c r="H169" s="1">
        <f>G169*F169</f>
        <v>0</v>
      </c>
      <c r="I169" s="1"/>
      <c r="J169" s="1"/>
      <c r="K169" s="1"/>
      <c r="L169" s="1"/>
      <c r="M169" s="1">
        <f>H169+J169+L169</f>
        <v>0</v>
      </c>
      <c r="N169" s="55"/>
      <c r="O169" s="60">
        <f>M169+K169+I169</f>
        <v>0</v>
      </c>
      <c r="P169" s="774"/>
    </row>
    <row r="170" spans="1:16" s="372" customFormat="1" ht="24" customHeight="1">
      <c r="A170" s="35">
        <f>A165+1</f>
        <v>28</v>
      </c>
      <c r="B170" s="59" t="s">
        <v>645</v>
      </c>
      <c r="C170" s="42" t="s">
        <v>586</v>
      </c>
      <c r="D170" s="41" t="s">
        <v>12</v>
      </c>
      <c r="E170" s="41"/>
      <c r="F170" s="24">
        <f>SUM(F172:F172)</f>
        <v>1</v>
      </c>
      <c r="G170" s="143"/>
      <c r="H170" s="195"/>
      <c r="I170" s="143"/>
      <c r="J170" s="195"/>
      <c r="K170" s="143"/>
      <c r="L170" s="143"/>
      <c r="M170" s="143"/>
      <c r="N170" s="58"/>
      <c r="O170" s="56"/>
      <c r="P170" s="773"/>
    </row>
    <row r="171" spans="1:16" s="27" customFormat="1" ht="18" customHeight="1">
      <c r="A171" s="35"/>
      <c r="B171" s="59"/>
      <c r="C171" s="10" t="s">
        <v>13</v>
      </c>
      <c r="D171" s="6" t="s">
        <v>6</v>
      </c>
      <c r="E171" s="133">
        <v>2</v>
      </c>
      <c r="F171" s="2">
        <f>E171*F170</f>
        <v>2</v>
      </c>
      <c r="G171" s="1"/>
      <c r="H171" s="1"/>
      <c r="I171" s="1"/>
      <c r="J171" s="1">
        <f>I171*F171</f>
        <v>0</v>
      </c>
      <c r="K171" s="143"/>
      <c r="L171" s="143"/>
      <c r="M171" s="143">
        <f>H171+J171+L171</f>
        <v>0</v>
      </c>
      <c r="N171" s="55"/>
      <c r="O171" s="60"/>
      <c r="P171" s="774"/>
    </row>
    <row r="172" spans="1:16" s="27" customFormat="1" ht="51" customHeight="1">
      <c r="A172" s="35"/>
      <c r="B172" s="59"/>
      <c r="C172" s="779" t="s">
        <v>644</v>
      </c>
      <c r="D172" s="104" t="s">
        <v>65</v>
      </c>
      <c r="E172" s="340">
        <v>1</v>
      </c>
      <c r="F172" s="2">
        <v>1</v>
      </c>
      <c r="G172" s="143"/>
      <c r="H172" s="195">
        <f>G172*F172</f>
        <v>0</v>
      </c>
      <c r="I172" s="143"/>
      <c r="J172" s="195"/>
      <c r="K172" s="143"/>
      <c r="L172" s="143"/>
      <c r="M172" s="143">
        <f>H172+J172+L172</f>
        <v>0</v>
      </c>
      <c r="N172" s="60"/>
      <c r="O172" s="60"/>
      <c r="P172" s="774"/>
    </row>
    <row r="173" spans="1:16" s="27" customFormat="1" ht="18" customHeight="1">
      <c r="A173" s="35"/>
      <c r="B173" s="59"/>
      <c r="C173" s="10" t="s">
        <v>69</v>
      </c>
      <c r="D173" s="6" t="s">
        <v>6</v>
      </c>
      <c r="E173" s="40">
        <v>1.02</v>
      </c>
      <c r="F173" s="2">
        <f>E173*F170</f>
        <v>1.02</v>
      </c>
      <c r="G173" s="1"/>
      <c r="H173" s="1">
        <f>G173*F173</f>
        <v>0</v>
      </c>
      <c r="I173" s="1"/>
      <c r="J173" s="1"/>
      <c r="K173" s="1"/>
      <c r="L173" s="1"/>
      <c r="M173" s="1">
        <f>H173+J173+L173</f>
        <v>0</v>
      </c>
      <c r="N173" s="55"/>
      <c r="O173" s="60">
        <f>M173+K173+I173</f>
        <v>0</v>
      </c>
      <c r="P173" s="774"/>
    </row>
    <row r="174" spans="1:15" s="510" customFormat="1" ht="18" customHeight="1">
      <c r="A174" s="497"/>
      <c r="B174" s="498"/>
      <c r="C174" s="509" t="s">
        <v>194</v>
      </c>
      <c r="D174" s="499"/>
      <c r="E174" s="138"/>
      <c r="F174" s="227"/>
      <c r="G174" s="283"/>
      <c r="H174" s="82"/>
      <c r="I174" s="82"/>
      <c r="J174" s="84"/>
      <c r="K174" s="82"/>
      <c r="L174" s="82"/>
      <c r="M174" s="82"/>
      <c r="O174" s="511"/>
    </row>
    <row r="175" spans="1:16" s="372" customFormat="1" ht="24" customHeight="1">
      <c r="A175" s="35">
        <f>A170+1</f>
        <v>29</v>
      </c>
      <c r="B175" s="59" t="s">
        <v>583</v>
      </c>
      <c r="C175" s="42" t="s">
        <v>80</v>
      </c>
      <c r="D175" s="41" t="s">
        <v>12</v>
      </c>
      <c r="E175" s="41"/>
      <c r="F175" s="24">
        <v>1</v>
      </c>
      <c r="G175" s="143"/>
      <c r="H175" s="195"/>
      <c r="I175" s="143"/>
      <c r="J175" s="195"/>
      <c r="K175" s="143"/>
      <c r="L175" s="143"/>
      <c r="M175" s="143"/>
      <c r="N175" s="58"/>
      <c r="O175" s="56"/>
      <c r="P175" s="734"/>
    </row>
    <row r="176" spans="1:16" s="27" customFormat="1" ht="18" customHeight="1">
      <c r="A176" s="35"/>
      <c r="B176" s="59"/>
      <c r="C176" s="10" t="s">
        <v>13</v>
      </c>
      <c r="D176" s="6" t="s">
        <v>6</v>
      </c>
      <c r="E176" s="133">
        <v>7.05</v>
      </c>
      <c r="F176" s="2">
        <f>E176*F175</f>
        <v>7.05</v>
      </c>
      <c r="G176" s="1"/>
      <c r="H176" s="1"/>
      <c r="I176" s="1"/>
      <c r="J176" s="1">
        <f>I176*F176</f>
        <v>0</v>
      </c>
      <c r="K176" s="143"/>
      <c r="L176" s="143"/>
      <c r="M176" s="143">
        <f aca="true" t="shared" si="6" ref="M176:M183">H176+J176+L176</f>
        <v>0</v>
      </c>
      <c r="N176" s="55"/>
      <c r="O176" s="60"/>
      <c r="P176" s="738"/>
    </row>
    <row r="177" spans="1:14" s="27" customFormat="1" ht="18" customHeight="1">
      <c r="A177" s="35"/>
      <c r="B177" s="59"/>
      <c r="C177" s="10" t="s">
        <v>162</v>
      </c>
      <c r="D177" s="6" t="s">
        <v>163</v>
      </c>
      <c r="E177" s="40">
        <f>16.1*0.01</f>
        <v>0.161</v>
      </c>
      <c r="F177" s="2">
        <f>E177*F175</f>
        <v>0.161</v>
      </c>
      <c r="G177" s="143"/>
      <c r="H177" s="195"/>
      <c r="I177" s="143"/>
      <c r="J177" s="195"/>
      <c r="K177" s="143"/>
      <c r="L177" s="143">
        <f>K177*F177</f>
        <v>0</v>
      </c>
      <c r="M177" s="143">
        <f t="shared" si="6"/>
        <v>0</v>
      </c>
      <c r="N177" s="103"/>
    </row>
    <row r="178" spans="1:16" s="27" customFormat="1" ht="33" customHeight="1">
      <c r="A178" s="35"/>
      <c r="B178" s="32"/>
      <c r="C178" s="526" t="s">
        <v>409</v>
      </c>
      <c r="D178" s="245" t="s">
        <v>108</v>
      </c>
      <c r="E178" s="340">
        <v>1</v>
      </c>
      <c r="F178" s="2">
        <v>41</v>
      </c>
      <c r="G178" s="143"/>
      <c r="H178" s="195">
        <f aca="true" t="shared" si="7" ref="H178:H183">G178*F178</f>
        <v>0</v>
      </c>
      <c r="I178" s="143"/>
      <c r="J178" s="195"/>
      <c r="K178" s="143"/>
      <c r="L178" s="143"/>
      <c r="M178" s="143">
        <f t="shared" si="6"/>
        <v>0</v>
      </c>
      <c r="N178" s="60"/>
      <c r="O178" s="60"/>
      <c r="P178" s="738"/>
    </row>
    <row r="179" spans="1:16" s="27" customFormat="1" ht="33" customHeight="1">
      <c r="A179" s="35"/>
      <c r="B179" s="32"/>
      <c r="C179" s="526" t="s">
        <v>410</v>
      </c>
      <c r="D179" s="245" t="s">
        <v>108</v>
      </c>
      <c r="E179" s="340">
        <v>1</v>
      </c>
      <c r="F179" s="2">
        <v>42</v>
      </c>
      <c r="G179" s="143"/>
      <c r="H179" s="195">
        <f t="shared" si="7"/>
        <v>0</v>
      </c>
      <c r="I179" s="143"/>
      <c r="J179" s="195"/>
      <c r="K179" s="143"/>
      <c r="L179" s="143"/>
      <c r="M179" s="143">
        <f>H179+J179+L179</f>
        <v>0</v>
      </c>
      <c r="N179" s="60"/>
      <c r="O179" s="60"/>
      <c r="P179" s="738"/>
    </row>
    <row r="180" spans="1:16" s="27" customFormat="1" ht="18" customHeight="1">
      <c r="A180" s="35"/>
      <c r="B180" s="32"/>
      <c r="C180" s="406" t="s">
        <v>340</v>
      </c>
      <c r="D180" s="245" t="s">
        <v>108</v>
      </c>
      <c r="E180" s="340">
        <v>1</v>
      </c>
      <c r="F180" s="2">
        <v>1</v>
      </c>
      <c r="G180" s="143"/>
      <c r="H180" s="195">
        <f t="shared" si="7"/>
        <v>0</v>
      </c>
      <c r="I180" s="143"/>
      <c r="J180" s="195"/>
      <c r="K180" s="143"/>
      <c r="L180" s="143"/>
      <c r="M180" s="143">
        <f t="shared" si="6"/>
        <v>0</v>
      </c>
      <c r="N180" s="60"/>
      <c r="O180" s="60"/>
      <c r="P180" s="738"/>
    </row>
    <row r="181" spans="1:13" s="27" customFormat="1" ht="21" customHeight="1">
      <c r="A181" s="405"/>
      <c r="B181" s="32"/>
      <c r="C181" s="529" t="s">
        <v>408</v>
      </c>
      <c r="D181" s="104" t="s">
        <v>65</v>
      </c>
      <c r="E181" s="340">
        <v>1</v>
      </c>
      <c r="F181" s="2">
        <v>1</v>
      </c>
      <c r="G181" s="1"/>
      <c r="H181" s="1">
        <f t="shared" si="7"/>
        <v>0</v>
      </c>
      <c r="I181" s="1"/>
      <c r="J181" s="1"/>
      <c r="K181" s="1"/>
      <c r="L181" s="1"/>
      <c r="M181" s="1">
        <f>H181+J181+L181</f>
        <v>0</v>
      </c>
    </row>
    <row r="182" spans="1:16" s="27" customFormat="1" ht="18" customHeight="1">
      <c r="A182" s="35"/>
      <c r="B182" s="32"/>
      <c r="C182" s="250" t="s">
        <v>411</v>
      </c>
      <c r="D182" s="245" t="s">
        <v>57</v>
      </c>
      <c r="E182" s="340">
        <v>1</v>
      </c>
      <c r="F182" s="2">
        <v>1</v>
      </c>
      <c r="G182" s="143"/>
      <c r="H182" s="195">
        <f t="shared" si="7"/>
        <v>0</v>
      </c>
      <c r="I182" s="143"/>
      <c r="J182" s="195"/>
      <c r="K182" s="143"/>
      <c r="L182" s="143"/>
      <c r="M182" s="143">
        <f t="shared" si="6"/>
        <v>0</v>
      </c>
      <c r="N182" s="60"/>
      <c r="O182" s="60"/>
      <c r="P182" s="738"/>
    </row>
    <row r="183" spans="1:16" s="27" customFormat="1" ht="18" customHeight="1">
      <c r="A183" s="35"/>
      <c r="B183" s="59"/>
      <c r="C183" s="10" t="s">
        <v>69</v>
      </c>
      <c r="D183" s="6" t="s">
        <v>6</v>
      </c>
      <c r="E183" s="40">
        <f>39.6/100</f>
        <v>0.396</v>
      </c>
      <c r="F183" s="2">
        <f>E183*F175</f>
        <v>0.396</v>
      </c>
      <c r="G183" s="143"/>
      <c r="H183" s="195">
        <f t="shared" si="7"/>
        <v>0</v>
      </c>
      <c r="I183" s="143"/>
      <c r="J183" s="195"/>
      <c r="K183" s="143"/>
      <c r="L183" s="143"/>
      <c r="M183" s="143">
        <f t="shared" si="6"/>
        <v>0</v>
      </c>
      <c r="N183" s="55"/>
      <c r="O183" s="60"/>
      <c r="P183" s="738"/>
    </row>
    <row r="184" spans="1:16" s="372" customFormat="1" ht="24" customHeight="1">
      <c r="A184" s="35">
        <f>A175+1</f>
        <v>30</v>
      </c>
      <c r="B184" s="59" t="s">
        <v>589</v>
      </c>
      <c r="C184" s="42" t="s">
        <v>586</v>
      </c>
      <c r="D184" s="41" t="s">
        <v>12</v>
      </c>
      <c r="E184" s="41"/>
      <c r="F184" s="24">
        <f>F186</f>
        <v>29</v>
      </c>
      <c r="G184" s="143"/>
      <c r="H184" s="195"/>
      <c r="I184" s="143"/>
      <c r="J184" s="195"/>
      <c r="K184" s="143"/>
      <c r="L184" s="143"/>
      <c r="M184" s="143"/>
      <c r="N184" s="58"/>
      <c r="O184" s="56"/>
      <c r="P184" s="734"/>
    </row>
    <row r="185" spans="1:16" s="27" customFormat="1" ht="18" customHeight="1">
      <c r="A185" s="35"/>
      <c r="B185" s="59"/>
      <c r="C185" s="10" t="s">
        <v>13</v>
      </c>
      <c r="D185" s="6" t="s">
        <v>6</v>
      </c>
      <c r="E185" s="133">
        <v>0.2</v>
      </c>
      <c r="F185" s="2">
        <f>E185*F184</f>
        <v>5.800000000000001</v>
      </c>
      <c r="G185" s="1"/>
      <c r="H185" s="1"/>
      <c r="I185" s="1"/>
      <c r="J185" s="1">
        <f>I185*F185</f>
        <v>0</v>
      </c>
      <c r="K185" s="143"/>
      <c r="L185" s="143"/>
      <c r="M185" s="143">
        <f>H185+J185+L185</f>
        <v>0</v>
      </c>
      <c r="N185" s="55"/>
      <c r="O185" s="60"/>
      <c r="P185" s="738"/>
    </row>
    <row r="186" spans="1:13" s="27" customFormat="1" ht="30" customHeight="1">
      <c r="A186" s="405"/>
      <c r="B186" s="405"/>
      <c r="C186" s="529" t="s">
        <v>407</v>
      </c>
      <c r="D186" s="104" t="s">
        <v>65</v>
      </c>
      <c r="E186" s="340">
        <v>1</v>
      </c>
      <c r="F186" s="2">
        <v>29</v>
      </c>
      <c r="G186" s="1"/>
      <c r="H186" s="1">
        <f>G186*F186</f>
        <v>0</v>
      </c>
      <c r="I186" s="1"/>
      <c r="J186" s="1"/>
      <c r="K186" s="1"/>
      <c r="L186" s="1"/>
      <c r="M186" s="1">
        <f>H186+J186+L186</f>
        <v>0</v>
      </c>
    </row>
    <row r="187" spans="1:16" s="27" customFormat="1" ht="18" customHeight="1">
      <c r="A187" s="35"/>
      <c r="B187" s="59"/>
      <c r="C187" s="10" t="s">
        <v>69</v>
      </c>
      <c r="D187" s="6" t="s">
        <v>6</v>
      </c>
      <c r="E187" s="40">
        <v>0.12</v>
      </c>
      <c r="F187" s="2">
        <f>E187*F184</f>
        <v>3.48</v>
      </c>
      <c r="G187" s="1"/>
      <c r="H187" s="1">
        <f>G187*F187</f>
        <v>0</v>
      </c>
      <c r="I187" s="1"/>
      <c r="J187" s="1"/>
      <c r="K187" s="1"/>
      <c r="L187" s="1"/>
      <c r="M187" s="1">
        <f>H187+J187+L187</f>
        <v>0</v>
      </c>
      <c r="N187" s="55"/>
      <c r="O187" s="60">
        <f>M187+K187+I187</f>
        <v>0</v>
      </c>
      <c r="P187" s="738"/>
    </row>
    <row r="188" spans="1:16" s="372" customFormat="1" ht="24" customHeight="1">
      <c r="A188" s="35">
        <f>A184+1</f>
        <v>31</v>
      </c>
      <c r="B188" s="59" t="s">
        <v>588</v>
      </c>
      <c r="C188" s="42" t="s">
        <v>586</v>
      </c>
      <c r="D188" s="41" t="s">
        <v>12</v>
      </c>
      <c r="E188" s="41"/>
      <c r="F188" s="24">
        <f>SUM(F190:F190)</f>
        <v>21</v>
      </c>
      <c r="G188" s="143"/>
      <c r="H188" s="195"/>
      <c r="I188" s="143"/>
      <c r="J188" s="195"/>
      <c r="K188" s="143"/>
      <c r="L188" s="143"/>
      <c r="M188" s="143"/>
      <c r="N188" s="58"/>
      <c r="O188" s="56"/>
      <c r="P188" s="734"/>
    </row>
    <row r="189" spans="1:16" s="27" customFormat="1" ht="18" customHeight="1">
      <c r="A189" s="35"/>
      <c r="B189" s="59"/>
      <c r="C189" s="10" t="s">
        <v>13</v>
      </c>
      <c r="D189" s="6" t="s">
        <v>6</v>
      </c>
      <c r="E189" s="133">
        <v>1</v>
      </c>
      <c r="F189" s="2">
        <f>E189*F188</f>
        <v>21</v>
      </c>
      <c r="G189" s="1"/>
      <c r="H189" s="1"/>
      <c r="I189" s="1"/>
      <c r="J189" s="1">
        <f>I189*F189</f>
        <v>0</v>
      </c>
      <c r="K189" s="143"/>
      <c r="L189" s="143"/>
      <c r="M189" s="143">
        <f>H189+J189+L189</f>
        <v>0</v>
      </c>
      <c r="N189" s="55"/>
      <c r="O189" s="60"/>
      <c r="P189" s="738"/>
    </row>
    <row r="190" spans="1:13" s="27" customFormat="1" ht="30" customHeight="1">
      <c r="A190" s="405"/>
      <c r="B190" s="405"/>
      <c r="C190" s="529" t="s">
        <v>326</v>
      </c>
      <c r="D190" s="104" t="s">
        <v>65</v>
      </c>
      <c r="E190" s="340">
        <v>1</v>
      </c>
      <c r="F190" s="2">
        <v>21</v>
      </c>
      <c r="G190" s="1"/>
      <c r="H190" s="1">
        <f>G190*F190</f>
        <v>0</v>
      </c>
      <c r="I190" s="1"/>
      <c r="J190" s="1"/>
      <c r="K190" s="1"/>
      <c r="L190" s="1"/>
      <c r="M190" s="1">
        <f>H190+J190+L190</f>
        <v>0</v>
      </c>
    </row>
    <row r="191" spans="1:16" s="27" customFormat="1" ht="18" customHeight="1">
      <c r="A191" s="35"/>
      <c r="B191" s="59"/>
      <c r="C191" s="10" t="s">
        <v>69</v>
      </c>
      <c r="D191" s="6" t="s">
        <v>6</v>
      </c>
      <c r="E191" s="40">
        <v>0.48</v>
      </c>
      <c r="F191" s="2">
        <f>E191*F188</f>
        <v>10.08</v>
      </c>
      <c r="G191" s="1"/>
      <c r="H191" s="1">
        <f>G191*F191</f>
        <v>0</v>
      </c>
      <c r="I191" s="1"/>
      <c r="J191" s="1"/>
      <c r="K191" s="1"/>
      <c r="L191" s="1"/>
      <c r="M191" s="1">
        <f>H191+J191+L191</f>
        <v>0</v>
      </c>
      <c r="N191" s="55"/>
      <c r="O191" s="60">
        <f>M191+K191+I191</f>
        <v>0</v>
      </c>
      <c r="P191" s="738"/>
    </row>
    <row r="192" spans="1:16" s="372" customFormat="1" ht="24" customHeight="1">
      <c r="A192" s="35">
        <f>A188+1</f>
        <v>32</v>
      </c>
      <c r="B192" s="59" t="s">
        <v>585</v>
      </c>
      <c r="C192" s="42" t="s">
        <v>586</v>
      </c>
      <c r="D192" s="41" t="s">
        <v>12</v>
      </c>
      <c r="E192" s="41"/>
      <c r="F192" s="24">
        <f>SUM(F194:F195)</f>
        <v>2</v>
      </c>
      <c r="G192" s="143"/>
      <c r="H192" s="195"/>
      <c r="I192" s="143"/>
      <c r="J192" s="195"/>
      <c r="K192" s="143"/>
      <c r="L192" s="143"/>
      <c r="M192" s="143"/>
      <c r="N192" s="58"/>
      <c r="O192" s="56"/>
      <c r="P192" s="734"/>
    </row>
    <row r="193" spans="1:16" s="27" customFormat="1" ht="18" customHeight="1">
      <c r="A193" s="35"/>
      <c r="B193" s="59"/>
      <c r="C193" s="10" t="s">
        <v>13</v>
      </c>
      <c r="D193" s="6" t="s">
        <v>6</v>
      </c>
      <c r="E193" s="133">
        <v>1</v>
      </c>
      <c r="F193" s="2">
        <f>E193*F192</f>
        <v>2</v>
      </c>
      <c r="G193" s="1"/>
      <c r="H193" s="1"/>
      <c r="I193" s="1"/>
      <c r="J193" s="1">
        <f>I193*F193</f>
        <v>0</v>
      </c>
      <c r="K193" s="143"/>
      <c r="L193" s="143"/>
      <c r="M193" s="143">
        <f>H193+J193+L193</f>
        <v>0</v>
      </c>
      <c r="N193" s="55"/>
      <c r="O193" s="60"/>
      <c r="P193" s="738"/>
    </row>
    <row r="194" spans="1:16" s="27" customFormat="1" ht="36" customHeight="1">
      <c r="A194" s="35"/>
      <c r="B194" s="59"/>
      <c r="C194" s="406" t="s">
        <v>596</v>
      </c>
      <c r="D194" s="104" t="s">
        <v>65</v>
      </c>
      <c r="E194" s="340">
        <v>1</v>
      </c>
      <c r="F194" s="2">
        <v>1</v>
      </c>
      <c r="G194" s="143"/>
      <c r="H194" s="195">
        <f>G194*F194</f>
        <v>0</v>
      </c>
      <c r="I194" s="143"/>
      <c r="J194" s="195"/>
      <c r="K194" s="143"/>
      <c r="L194" s="143"/>
      <c r="M194" s="143">
        <f>H194+J194+L194</f>
        <v>0</v>
      </c>
      <c r="N194" s="60"/>
      <c r="O194" s="60"/>
      <c r="P194" s="738"/>
    </row>
    <row r="195" spans="1:16" s="27" customFormat="1" ht="36" customHeight="1">
      <c r="A195" s="35"/>
      <c r="B195" s="59"/>
      <c r="C195" s="536" t="s">
        <v>406</v>
      </c>
      <c r="D195" s="104" t="s">
        <v>65</v>
      </c>
      <c r="E195" s="340">
        <v>1</v>
      </c>
      <c r="F195" s="2">
        <v>1</v>
      </c>
      <c r="G195" s="143"/>
      <c r="H195" s="195">
        <f>G195*F195</f>
        <v>0</v>
      </c>
      <c r="I195" s="143"/>
      <c r="J195" s="195"/>
      <c r="K195" s="143"/>
      <c r="L195" s="143"/>
      <c r="M195" s="143">
        <f>H195+J195+L195</f>
        <v>0</v>
      </c>
      <c r="N195" s="60"/>
      <c r="O195" s="60"/>
      <c r="P195" s="738"/>
    </row>
    <row r="196" spans="1:16" s="27" customFormat="1" ht="18" customHeight="1">
      <c r="A196" s="35"/>
      <c r="B196" s="59"/>
      <c r="C196" s="10" t="s">
        <v>69</v>
      </c>
      <c r="D196" s="6" t="s">
        <v>6</v>
      </c>
      <c r="E196" s="40">
        <v>0.81</v>
      </c>
      <c r="F196" s="2">
        <f>E196*F192</f>
        <v>1.62</v>
      </c>
      <c r="G196" s="1"/>
      <c r="H196" s="1">
        <f>G196*F196</f>
        <v>0</v>
      </c>
      <c r="I196" s="1"/>
      <c r="J196" s="1"/>
      <c r="K196" s="1"/>
      <c r="L196" s="1"/>
      <c r="M196" s="1">
        <f>H196+J196+L196</f>
        <v>0</v>
      </c>
      <c r="N196" s="55"/>
      <c r="O196" s="60">
        <f>M196+K196+I196</f>
        <v>0</v>
      </c>
      <c r="P196" s="738"/>
    </row>
    <row r="197" spans="1:16" s="372" customFormat="1" ht="24" customHeight="1">
      <c r="A197" s="35">
        <f>A192+1</f>
        <v>33</v>
      </c>
      <c r="B197" s="59" t="s">
        <v>587</v>
      </c>
      <c r="C197" s="42" t="s">
        <v>586</v>
      </c>
      <c r="D197" s="41" t="s">
        <v>12</v>
      </c>
      <c r="E197" s="41"/>
      <c r="F197" s="24">
        <f>SUM(F199:F201)</f>
        <v>4</v>
      </c>
      <c r="G197" s="143"/>
      <c r="H197" s="195"/>
      <c r="I197" s="143"/>
      <c r="J197" s="195"/>
      <c r="K197" s="143"/>
      <c r="L197" s="143"/>
      <c r="M197" s="143"/>
      <c r="N197" s="58"/>
      <c r="O197" s="56"/>
      <c r="P197" s="734"/>
    </row>
    <row r="198" spans="1:16" s="27" customFormat="1" ht="18" customHeight="1">
      <c r="A198" s="35"/>
      <c r="B198" s="59"/>
      <c r="C198" s="10" t="s">
        <v>13</v>
      </c>
      <c r="D198" s="6" t="s">
        <v>6</v>
      </c>
      <c r="E198" s="133">
        <v>1</v>
      </c>
      <c r="F198" s="2">
        <f>E198*F197</f>
        <v>4</v>
      </c>
      <c r="G198" s="1"/>
      <c r="H198" s="1"/>
      <c r="I198" s="1"/>
      <c r="J198" s="1">
        <f>I198*F198</f>
        <v>0</v>
      </c>
      <c r="K198" s="143"/>
      <c r="L198" s="143"/>
      <c r="M198" s="143">
        <f>H198+J198+L198</f>
        <v>0</v>
      </c>
      <c r="N198" s="55"/>
      <c r="O198" s="60"/>
      <c r="P198" s="738"/>
    </row>
    <row r="199" spans="1:13" s="27" customFormat="1" ht="30">
      <c r="A199" s="405"/>
      <c r="B199" s="59"/>
      <c r="C199" s="406" t="s">
        <v>595</v>
      </c>
      <c r="D199" s="104" t="s">
        <v>65</v>
      </c>
      <c r="E199" s="340">
        <v>1</v>
      </c>
      <c r="F199" s="2">
        <v>2</v>
      </c>
      <c r="G199" s="1"/>
      <c r="H199" s="1">
        <f>G199*F199</f>
        <v>0</v>
      </c>
      <c r="I199" s="1"/>
      <c r="J199" s="1"/>
      <c r="K199" s="1"/>
      <c r="L199" s="1"/>
      <c r="M199" s="1">
        <f>H199+J199+L199</f>
        <v>0</v>
      </c>
    </row>
    <row r="200" spans="1:13" s="27" customFormat="1" ht="30">
      <c r="A200" s="405"/>
      <c r="B200" s="405"/>
      <c r="C200" s="406" t="s">
        <v>594</v>
      </c>
      <c r="D200" s="104" t="s">
        <v>65</v>
      </c>
      <c r="E200" s="340">
        <v>1</v>
      </c>
      <c r="F200" s="2">
        <v>1</v>
      </c>
      <c r="G200" s="1"/>
      <c r="H200" s="1">
        <f>G200*F200</f>
        <v>0</v>
      </c>
      <c r="I200" s="1"/>
      <c r="J200" s="1"/>
      <c r="K200" s="1"/>
      <c r="L200" s="1"/>
      <c r="M200" s="1">
        <f>H200+J200+L200</f>
        <v>0</v>
      </c>
    </row>
    <row r="201" spans="1:13" s="27" customFormat="1" ht="30">
      <c r="A201" s="405"/>
      <c r="B201" s="405"/>
      <c r="C201" s="406" t="s">
        <v>590</v>
      </c>
      <c r="D201" s="104" t="s">
        <v>65</v>
      </c>
      <c r="E201" s="340">
        <v>1</v>
      </c>
      <c r="F201" s="2">
        <v>1</v>
      </c>
      <c r="G201" s="1"/>
      <c r="H201" s="1">
        <f>G201*F201</f>
        <v>0</v>
      </c>
      <c r="I201" s="1"/>
      <c r="J201" s="1"/>
      <c r="K201" s="1"/>
      <c r="L201" s="1"/>
      <c r="M201" s="1">
        <f>H201+J201+L201</f>
        <v>0</v>
      </c>
    </row>
    <row r="202" spans="1:16" s="27" customFormat="1" ht="18" customHeight="1">
      <c r="A202" s="35"/>
      <c r="B202" s="59"/>
      <c r="C202" s="10" t="s">
        <v>69</v>
      </c>
      <c r="D202" s="6" t="s">
        <v>6</v>
      </c>
      <c r="E202" s="40">
        <v>0.36</v>
      </c>
      <c r="F202" s="2">
        <f>E202*F197</f>
        <v>1.44</v>
      </c>
      <c r="G202" s="1"/>
      <c r="H202" s="1">
        <f>G202*F202</f>
        <v>0</v>
      </c>
      <c r="I202" s="1"/>
      <c r="J202" s="1"/>
      <c r="K202" s="1"/>
      <c r="L202" s="1"/>
      <c r="M202" s="1">
        <f>H202+J202+L202</f>
        <v>0</v>
      </c>
      <c r="N202" s="55"/>
      <c r="O202" s="60">
        <f>M202+K202+I202</f>
        <v>0</v>
      </c>
      <c r="P202" s="738"/>
    </row>
    <row r="203" spans="1:15" s="510" customFormat="1" ht="18" customHeight="1">
      <c r="A203" s="497"/>
      <c r="B203" s="498"/>
      <c r="C203" s="509" t="s">
        <v>341</v>
      </c>
      <c r="D203" s="499"/>
      <c r="E203" s="138"/>
      <c r="F203" s="227"/>
      <c r="G203" s="283"/>
      <c r="H203" s="82"/>
      <c r="I203" s="82"/>
      <c r="J203" s="84"/>
      <c r="K203" s="82"/>
      <c r="L203" s="82"/>
      <c r="M203" s="82"/>
      <c r="O203" s="511"/>
    </row>
    <row r="204" spans="1:16" s="372" customFormat="1" ht="24" customHeight="1">
      <c r="A204" s="35">
        <f>A197+1</f>
        <v>34</v>
      </c>
      <c r="B204" s="59" t="s">
        <v>81</v>
      </c>
      <c r="C204" s="42" t="s">
        <v>80</v>
      </c>
      <c r="D204" s="41" t="s">
        <v>12</v>
      </c>
      <c r="E204" s="41"/>
      <c r="F204" s="24">
        <v>1</v>
      </c>
      <c r="G204" s="143"/>
      <c r="H204" s="195"/>
      <c r="I204" s="143"/>
      <c r="J204" s="195"/>
      <c r="K204" s="143"/>
      <c r="L204" s="143"/>
      <c r="M204" s="143"/>
      <c r="N204" s="58"/>
      <c r="O204" s="56"/>
      <c r="P204" s="734"/>
    </row>
    <row r="205" spans="1:16" s="27" customFormat="1" ht="18" customHeight="1">
      <c r="A205" s="35"/>
      <c r="B205" s="59"/>
      <c r="C205" s="10" t="s">
        <v>13</v>
      </c>
      <c r="D205" s="6" t="s">
        <v>6</v>
      </c>
      <c r="E205" s="133">
        <f>586/100</f>
        <v>5.86</v>
      </c>
      <c r="F205" s="2">
        <f>E205*F204</f>
        <v>5.86</v>
      </c>
      <c r="G205" s="1"/>
      <c r="H205" s="1"/>
      <c r="I205" s="1"/>
      <c r="J205" s="195">
        <f>I205*F205</f>
        <v>0</v>
      </c>
      <c r="K205" s="143"/>
      <c r="L205" s="143"/>
      <c r="M205" s="143">
        <f aca="true" t="shared" si="8" ref="M205:M210">H205+J205+L205</f>
        <v>0</v>
      </c>
      <c r="N205" s="55"/>
      <c r="O205" s="60"/>
      <c r="P205" s="738"/>
    </row>
    <row r="206" spans="1:14" s="27" customFormat="1" ht="18" customHeight="1">
      <c r="A206" s="35"/>
      <c r="B206" s="59"/>
      <c r="C206" s="10" t="s">
        <v>162</v>
      </c>
      <c r="D206" s="6" t="s">
        <v>163</v>
      </c>
      <c r="E206" s="40">
        <f>10.5*0.01</f>
        <v>0.105</v>
      </c>
      <c r="F206" s="2">
        <f>E206*F204</f>
        <v>0.105</v>
      </c>
      <c r="G206" s="143"/>
      <c r="H206" s="195"/>
      <c r="I206" s="143"/>
      <c r="J206" s="195"/>
      <c r="K206" s="143"/>
      <c r="L206" s="143">
        <f>K206*F206</f>
        <v>0</v>
      </c>
      <c r="M206" s="143">
        <f t="shared" si="8"/>
        <v>0</v>
      </c>
      <c r="N206" s="103"/>
    </row>
    <row r="207" spans="1:16" s="27" customFormat="1" ht="33" customHeight="1">
      <c r="A207" s="35"/>
      <c r="B207" s="32"/>
      <c r="C207" s="526" t="s">
        <v>409</v>
      </c>
      <c r="D207" s="245" t="s">
        <v>108</v>
      </c>
      <c r="E207" s="340">
        <v>1</v>
      </c>
      <c r="F207" s="2">
        <v>20</v>
      </c>
      <c r="G207" s="143"/>
      <c r="H207" s="195">
        <f>G207*F207</f>
        <v>0</v>
      </c>
      <c r="I207" s="143"/>
      <c r="J207" s="195"/>
      <c r="K207" s="143"/>
      <c r="L207" s="143"/>
      <c r="M207" s="143">
        <f t="shared" si="8"/>
        <v>0</v>
      </c>
      <c r="N207" s="60"/>
      <c r="O207" s="60"/>
      <c r="P207" s="738"/>
    </row>
    <row r="208" spans="1:13" s="27" customFormat="1" ht="21" customHeight="1">
      <c r="A208" s="405"/>
      <c r="B208" s="32"/>
      <c r="C208" s="529" t="s">
        <v>408</v>
      </c>
      <c r="D208" s="104" t="s">
        <v>65</v>
      </c>
      <c r="E208" s="340">
        <v>1</v>
      </c>
      <c r="F208" s="2">
        <v>1</v>
      </c>
      <c r="G208" s="1"/>
      <c r="H208" s="1">
        <f>G208*F208</f>
        <v>0</v>
      </c>
      <c r="I208" s="1"/>
      <c r="J208" s="1"/>
      <c r="K208" s="1"/>
      <c r="L208" s="1"/>
      <c r="M208" s="1">
        <f t="shared" si="8"/>
        <v>0</v>
      </c>
    </row>
    <row r="209" spans="1:16" s="27" customFormat="1" ht="18" customHeight="1">
      <c r="A209" s="35"/>
      <c r="B209" s="32"/>
      <c r="C209" s="526" t="s">
        <v>412</v>
      </c>
      <c r="D209" s="245" t="s">
        <v>57</v>
      </c>
      <c r="E209" s="340">
        <v>1</v>
      </c>
      <c r="F209" s="2">
        <v>1</v>
      </c>
      <c r="G209" s="143"/>
      <c r="H209" s="195">
        <f>G209*F209</f>
        <v>0</v>
      </c>
      <c r="I209" s="143"/>
      <c r="J209" s="195"/>
      <c r="K209" s="143"/>
      <c r="L209" s="143"/>
      <c r="M209" s="143">
        <f t="shared" si="8"/>
        <v>0</v>
      </c>
      <c r="N209" s="60"/>
      <c r="O209" s="60"/>
      <c r="P209" s="738"/>
    </row>
    <row r="210" spans="1:16" s="27" customFormat="1" ht="18" customHeight="1">
      <c r="A210" s="35"/>
      <c r="B210" s="59"/>
      <c r="C210" s="10" t="s">
        <v>69</v>
      </c>
      <c r="D210" s="6" t="s">
        <v>6</v>
      </c>
      <c r="E210" s="40">
        <f>32.3/100</f>
        <v>0.32299999999999995</v>
      </c>
      <c r="F210" s="2">
        <f>E210*F204</f>
        <v>0.32299999999999995</v>
      </c>
      <c r="G210" s="143"/>
      <c r="H210" s="195">
        <f>G210*F210</f>
        <v>0</v>
      </c>
      <c r="I210" s="143"/>
      <c r="J210" s="195"/>
      <c r="K210" s="143"/>
      <c r="L210" s="143"/>
      <c r="M210" s="143">
        <f t="shared" si="8"/>
        <v>0</v>
      </c>
      <c r="N210" s="55"/>
      <c r="O210" s="60"/>
      <c r="P210" s="738"/>
    </row>
    <row r="211" spans="1:16" s="372" customFormat="1" ht="24" customHeight="1">
      <c r="A211" s="35">
        <f>A204+1</f>
        <v>35</v>
      </c>
      <c r="B211" s="59" t="s">
        <v>589</v>
      </c>
      <c r="C211" s="42" t="s">
        <v>586</v>
      </c>
      <c r="D211" s="41" t="s">
        <v>12</v>
      </c>
      <c r="E211" s="41"/>
      <c r="F211" s="24">
        <f>SUM(F213:F214)</f>
        <v>14</v>
      </c>
      <c r="G211" s="143"/>
      <c r="H211" s="195"/>
      <c r="I211" s="143"/>
      <c r="J211" s="195"/>
      <c r="K211" s="143"/>
      <c r="L211" s="143"/>
      <c r="M211" s="143"/>
      <c r="N211" s="58"/>
      <c r="O211" s="56"/>
      <c r="P211" s="734"/>
    </row>
    <row r="212" spans="1:16" s="27" customFormat="1" ht="18" customHeight="1">
      <c r="A212" s="35"/>
      <c r="B212" s="59"/>
      <c r="C212" s="10" t="s">
        <v>13</v>
      </c>
      <c r="D212" s="6" t="s">
        <v>6</v>
      </c>
      <c r="E212" s="133">
        <v>0.2</v>
      </c>
      <c r="F212" s="2">
        <f>E212*F211</f>
        <v>2.8000000000000003</v>
      </c>
      <c r="G212" s="1"/>
      <c r="H212" s="1"/>
      <c r="I212" s="1"/>
      <c r="J212" s="1">
        <f>I212*F212</f>
        <v>0</v>
      </c>
      <c r="K212" s="143"/>
      <c r="L212" s="143"/>
      <c r="M212" s="143">
        <f>H212+J212+L212</f>
        <v>0</v>
      </c>
      <c r="N212" s="55"/>
      <c r="O212" s="60"/>
      <c r="P212" s="738"/>
    </row>
    <row r="213" spans="1:16" s="27" customFormat="1" ht="30">
      <c r="A213" s="35"/>
      <c r="B213" s="405"/>
      <c r="C213" s="244" t="s">
        <v>593</v>
      </c>
      <c r="D213" s="245" t="s">
        <v>65</v>
      </c>
      <c r="E213" s="340">
        <v>1</v>
      </c>
      <c r="F213" s="2">
        <v>8</v>
      </c>
      <c r="G213" s="143"/>
      <c r="H213" s="195">
        <f>G213*F213</f>
        <v>0</v>
      </c>
      <c r="I213" s="143"/>
      <c r="J213" s="195"/>
      <c r="K213" s="143"/>
      <c r="L213" s="143"/>
      <c r="M213" s="143">
        <f>H213+J213+L213</f>
        <v>0</v>
      </c>
      <c r="N213" s="60"/>
      <c r="O213" s="60"/>
      <c r="P213" s="738"/>
    </row>
    <row r="214" spans="1:16" s="27" customFormat="1" ht="30">
      <c r="A214" s="35"/>
      <c r="B214" s="405"/>
      <c r="C214" s="406" t="s">
        <v>592</v>
      </c>
      <c r="D214" s="245" t="s">
        <v>65</v>
      </c>
      <c r="E214" s="340">
        <v>1</v>
      </c>
      <c r="F214" s="2">
        <v>6</v>
      </c>
      <c r="G214" s="143"/>
      <c r="H214" s="195">
        <f>G214*F214</f>
        <v>0</v>
      </c>
      <c r="I214" s="143"/>
      <c r="J214" s="195"/>
      <c r="K214" s="143"/>
      <c r="L214" s="143"/>
      <c r="M214" s="143">
        <f>H214+J214+L214</f>
        <v>0</v>
      </c>
      <c r="N214" s="60"/>
      <c r="O214" s="60"/>
      <c r="P214" s="738"/>
    </row>
    <row r="215" spans="1:16" s="27" customFormat="1" ht="18" customHeight="1">
      <c r="A215" s="35"/>
      <c r="B215" s="59"/>
      <c r="C215" s="10" t="s">
        <v>69</v>
      </c>
      <c r="D215" s="6" t="s">
        <v>6</v>
      </c>
      <c r="E215" s="40">
        <v>0.12</v>
      </c>
      <c r="F215" s="2">
        <f>E215*F211</f>
        <v>1.68</v>
      </c>
      <c r="G215" s="1"/>
      <c r="H215" s="1">
        <f>G215*F215</f>
        <v>0</v>
      </c>
      <c r="I215" s="1"/>
      <c r="J215" s="1"/>
      <c r="K215" s="1"/>
      <c r="L215" s="1"/>
      <c r="M215" s="1">
        <f>H215+J215+L215</f>
        <v>0</v>
      </c>
      <c r="N215" s="55"/>
      <c r="O215" s="60">
        <f>M215+K215+I215</f>
        <v>0</v>
      </c>
      <c r="P215" s="738"/>
    </row>
    <row r="216" spans="1:16" s="372" customFormat="1" ht="24" customHeight="1">
      <c r="A216" s="35">
        <f>A211+1</f>
        <v>36</v>
      </c>
      <c r="B216" s="59" t="s">
        <v>587</v>
      </c>
      <c r="C216" s="42" t="s">
        <v>586</v>
      </c>
      <c r="D216" s="41" t="s">
        <v>12</v>
      </c>
      <c r="E216" s="41"/>
      <c r="F216" s="24">
        <f>SUM(F218:F219)</f>
        <v>2</v>
      </c>
      <c r="G216" s="143"/>
      <c r="H216" s="195"/>
      <c r="I216" s="143"/>
      <c r="J216" s="195"/>
      <c r="K216" s="143"/>
      <c r="L216" s="143"/>
      <c r="M216" s="143"/>
      <c r="N216" s="58"/>
      <c r="O216" s="56"/>
      <c r="P216" s="734"/>
    </row>
    <row r="217" spans="1:16" s="27" customFormat="1" ht="18" customHeight="1">
      <c r="A217" s="35"/>
      <c r="B217" s="59"/>
      <c r="C217" s="10" t="s">
        <v>13</v>
      </c>
      <c r="D217" s="6" t="s">
        <v>6</v>
      </c>
      <c r="E217" s="133">
        <v>1</v>
      </c>
      <c r="F217" s="2">
        <f>E217*F216</f>
        <v>2</v>
      </c>
      <c r="G217" s="1"/>
      <c r="H217" s="1"/>
      <c r="I217" s="1"/>
      <c r="J217" s="1">
        <f>I217*F217</f>
        <v>0</v>
      </c>
      <c r="K217" s="143"/>
      <c r="L217" s="143"/>
      <c r="M217" s="143">
        <f>H217+J217+L217</f>
        <v>0</v>
      </c>
      <c r="N217" s="55"/>
      <c r="O217" s="60"/>
      <c r="P217" s="738"/>
    </row>
    <row r="218" spans="1:16" s="27" customFormat="1" ht="30">
      <c r="A218" s="35"/>
      <c r="B218" s="405"/>
      <c r="C218" s="244" t="s">
        <v>590</v>
      </c>
      <c r="D218" s="245" t="s">
        <v>65</v>
      </c>
      <c r="E218" s="340">
        <v>1</v>
      </c>
      <c r="F218" s="2">
        <v>1</v>
      </c>
      <c r="G218" s="143"/>
      <c r="H218" s="195">
        <f>G218*F218</f>
        <v>0</v>
      </c>
      <c r="I218" s="143"/>
      <c r="J218" s="195"/>
      <c r="K218" s="143"/>
      <c r="L218" s="143"/>
      <c r="M218" s="143">
        <f>H218+J218+L218</f>
        <v>0</v>
      </c>
      <c r="N218" s="60"/>
      <c r="O218" s="60"/>
      <c r="P218" s="738"/>
    </row>
    <row r="219" spans="1:16" s="27" customFormat="1" ht="30">
      <c r="A219" s="35"/>
      <c r="B219" s="405"/>
      <c r="C219" s="244" t="s">
        <v>591</v>
      </c>
      <c r="D219" s="245" t="s">
        <v>65</v>
      </c>
      <c r="E219" s="340">
        <v>1</v>
      </c>
      <c r="F219" s="2">
        <v>1</v>
      </c>
      <c r="G219" s="143"/>
      <c r="H219" s="195">
        <f>G219*F219</f>
        <v>0</v>
      </c>
      <c r="I219" s="143"/>
      <c r="J219" s="195"/>
      <c r="K219" s="143"/>
      <c r="L219" s="143"/>
      <c r="M219" s="143">
        <f>H219+J219+L219</f>
        <v>0</v>
      </c>
      <c r="N219" s="60"/>
      <c r="O219" s="60"/>
      <c r="P219" s="738"/>
    </row>
    <row r="220" spans="1:16" s="27" customFormat="1" ht="18" customHeight="1">
      <c r="A220" s="35"/>
      <c r="B220" s="59"/>
      <c r="C220" s="10" t="s">
        <v>69</v>
      </c>
      <c r="D220" s="6" t="s">
        <v>6</v>
      </c>
      <c r="E220" s="40">
        <v>0.36</v>
      </c>
      <c r="F220" s="2">
        <f>E220*F216</f>
        <v>0.72</v>
      </c>
      <c r="G220" s="1"/>
      <c r="H220" s="1">
        <f>G220*F220</f>
        <v>0</v>
      </c>
      <c r="I220" s="1"/>
      <c r="J220" s="1"/>
      <c r="K220" s="1"/>
      <c r="L220" s="1"/>
      <c r="M220" s="1">
        <f>H220+J220+L220</f>
        <v>0</v>
      </c>
      <c r="N220" s="55"/>
      <c r="O220" s="60">
        <f>M220+K220+I220</f>
        <v>0</v>
      </c>
      <c r="P220" s="738"/>
    </row>
    <row r="221" spans="1:15" s="510" customFormat="1" ht="18" customHeight="1">
      <c r="A221" s="497"/>
      <c r="B221" s="498"/>
      <c r="C221" s="509" t="s">
        <v>262</v>
      </c>
      <c r="D221" s="499"/>
      <c r="E221" s="138"/>
      <c r="F221" s="227"/>
      <c r="G221" s="283"/>
      <c r="H221" s="82"/>
      <c r="I221" s="82"/>
      <c r="J221" s="84"/>
      <c r="K221" s="82"/>
      <c r="L221" s="82"/>
      <c r="M221" s="82"/>
      <c r="O221" s="511"/>
    </row>
    <row r="222" spans="1:16" s="372" customFormat="1" ht="24" customHeight="1">
      <c r="A222" s="35">
        <f>A216+1</f>
        <v>37</v>
      </c>
      <c r="B222" s="59" t="s">
        <v>583</v>
      </c>
      <c r="C222" s="42" t="s">
        <v>80</v>
      </c>
      <c r="D222" s="41" t="s">
        <v>12</v>
      </c>
      <c r="E222" s="41"/>
      <c r="F222" s="24">
        <v>1</v>
      </c>
      <c r="G222" s="143"/>
      <c r="H222" s="195"/>
      <c r="I222" s="143"/>
      <c r="J222" s="195"/>
      <c r="K222" s="143"/>
      <c r="L222" s="143"/>
      <c r="M222" s="143"/>
      <c r="N222" s="58"/>
      <c r="O222" s="56"/>
      <c r="P222" s="734"/>
    </row>
    <row r="223" spans="1:16" s="27" customFormat="1" ht="18" customHeight="1">
      <c r="A223" s="35"/>
      <c r="B223" s="59"/>
      <c r="C223" s="10" t="s">
        <v>13</v>
      </c>
      <c r="D223" s="6" t="s">
        <v>6</v>
      </c>
      <c r="E223" s="133">
        <v>7.05</v>
      </c>
      <c r="F223" s="2">
        <f>E223*F222</f>
        <v>7.05</v>
      </c>
      <c r="G223" s="1"/>
      <c r="H223" s="1"/>
      <c r="I223" s="1"/>
      <c r="J223" s="195">
        <f>I223*F223</f>
        <v>0</v>
      </c>
      <c r="K223" s="143"/>
      <c r="L223" s="143"/>
      <c r="M223" s="143">
        <f aca="true" t="shared" si="9" ref="M223:M229">H223+J223+L223</f>
        <v>0</v>
      </c>
      <c r="N223" s="55"/>
      <c r="O223" s="60"/>
      <c r="P223" s="738"/>
    </row>
    <row r="224" spans="1:14" s="27" customFormat="1" ht="18" customHeight="1">
      <c r="A224" s="35"/>
      <c r="B224" s="59"/>
      <c r="C224" s="10" t="s">
        <v>162</v>
      </c>
      <c r="D224" s="6" t="s">
        <v>163</v>
      </c>
      <c r="E224" s="40">
        <f>16.1*0.01</f>
        <v>0.161</v>
      </c>
      <c r="F224" s="2">
        <f>E224*F222</f>
        <v>0.161</v>
      </c>
      <c r="G224" s="143"/>
      <c r="H224" s="195"/>
      <c r="I224" s="143"/>
      <c r="J224" s="195"/>
      <c r="K224" s="143"/>
      <c r="L224" s="143">
        <f>K224*F224</f>
        <v>0</v>
      </c>
      <c r="M224" s="143">
        <f t="shared" si="9"/>
        <v>0</v>
      </c>
      <c r="N224" s="103"/>
    </row>
    <row r="225" spans="1:16" s="27" customFormat="1" ht="18" customHeight="1">
      <c r="A225" s="35"/>
      <c r="B225" s="32"/>
      <c r="C225" s="406" t="s">
        <v>340</v>
      </c>
      <c r="D225" s="245" t="s">
        <v>108</v>
      </c>
      <c r="E225" s="340">
        <v>1</v>
      </c>
      <c r="F225" s="2">
        <v>1</v>
      </c>
      <c r="G225" s="143"/>
      <c r="H225" s="195">
        <f>G225*F225</f>
        <v>0</v>
      </c>
      <c r="I225" s="143"/>
      <c r="J225" s="195"/>
      <c r="K225" s="143"/>
      <c r="L225" s="143"/>
      <c r="M225" s="143">
        <f t="shared" si="9"/>
        <v>0</v>
      </c>
      <c r="N225" s="60"/>
      <c r="O225" s="60"/>
      <c r="P225" s="738"/>
    </row>
    <row r="226" spans="1:16" s="27" customFormat="1" ht="18" customHeight="1">
      <c r="A226" s="35"/>
      <c r="B226" s="32"/>
      <c r="C226" s="244" t="s">
        <v>261</v>
      </c>
      <c r="D226" s="245" t="s">
        <v>108</v>
      </c>
      <c r="E226" s="340">
        <v>1</v>
      </c>
      <c r="F226" s="2">
        <v>31</v>
      </c>
      <c r="G226" s="143"/>
      <c r="H226" s="195">
        <f>G226*F226</f>
        <v>0</v>
      </c>
      <c r="I226" s="143"/>
      <c r="J226" s="195"/>
      <c r="K226" s="143"/>
      <c r="L226" s="143"/>
      <c r="M226" s="143">
        <f t="shared" si="9"/>
        <v>0</v>
      </c>
      <c r="N226" s="60"/>
      <c r="O226" s="60"/>
      <c r="P226" s="738"/>
    </row>
    <row r="227" spans="1:13" s="27" customFormat="1" ht="21" customHeight="1">
      <c r="A227" s="405"/>
      <c r="B227" s="32"/>
      <c r="C227" s="529" t="s">
        <v>408</v>
      </c>
      <c r="D227" s="104" t="s">
        <v>65</v>
      </c>
      <c r="E227" s="340">
        <v>1</v>
      </c>
      <c r="F227" s="2">
        <v>1</v>
      </c>
      <c r="G227" s="1"/>
      <c r="H227" s="1">
        <f>G227*F227</f>
        <v>0</v>
      </c>
      <c r="I227" s="1"/>
      <c r="J227" s="1"/>
      <c r="K227" s="1"/>
      <c r="L227" s="1"/>
      <c r="M227" s="1">
        <f>H227+J227+L227</f>
        <v>0</v>
      </c>
    </row>
    <row r="228" spans="1:16" s="27" customFormat="1" ht="18" customHeight="1">
      <c r="A228" s="35"/>
      <c r="B228" s="32"/>
      <c r="C228" s="250" t="s">
        <v>414</v>
      </c>
      <c r="D228" s="245" t="s">
        <v>57</v>
      </c>
      <c r="E228" s="86"/>
      <c r="F228" s="2">
        <v>1</v>
      </c>
      <c r="G228" s="143"/>
      <c r="H228" s="195">
        <f>G228*F228</f>
        <v>0</v>
      </c>
      <c r="I228" s="143"/>
      <c r="J228" s="195"/>
      <c r="K228" s="143"/>
      <c r="L228" s="143"/>
      <c r="M228" s="143">
        <f t="shared" si="9"/>
        <v>0</v>
      </c>
      <c r="N228" s="60"/>
      <c r="O228" s="60"/>
      <c r="P228" s="738"/>
    </row>
    <row r="229" spans="1:16" s="27" customFormat="1" ht="18" customHeight="1">
      <c r="A229" s="35"/>
      <c r="B229" s="59"/>
      <c r="C229" s="10" t="s">
        <v>69</v>
      </c>
      <c r="D229" s="6" t="s">
        <v>6</v>
      </c>
      <c r="E229" s="40">
        <f>39.6/100</f>
        <v>0.396</v>
      </c>
      <c r="F229" s="2">
        <f>E229*F222</f>
        <v>0.396</v>
      </c>
      <c r="G229" s="143"/>
      <c r="H229" s="195">
        <f>G229*F229</f>
        <v>0</v>
      </c>
      <c r="I229" s="143"/>
      <c r="J229" s="195"/>
      <c r="K229" s="143"/>
      <c r="L229" s="143"/>
      <c r="M229" s="143">
        <f t="shared" si="9"/>
        <v>0</v>
      </c>
      <c r="N229" s="55"/>
      <c r="O229" s="60"/>
      <c r="P229" s="738"/>
    </row>
    <row r="230" spans="1:16" s="372" customFormat="1" ht="24" customHeight="1">
      <c r="A230" s="35">
        <f>A222+1</f>
        <v>38</v>
      </c>
      <c r="B230" s="59" t="s">
        <v>589</v>
      </c>
      <c r="C230" s="42" t="s">
        <v>586</v>
      </c>
      <c r="D230" s="41" t="s">
        <v>12</v>
      </c>
      <c r="E230" s="41"/>
      <c r="F230" s="24">
        <f>SUM(F232:F232)</f>
        <v>31</v>
      </c>
      <c r="G230" s="143"/>
      <c r="H230" s="195"/>
      <c r="I230" s="143"/>
      <c r="J230" s="195"/>
      <c r="K230" s="143"/>
      <c r="L230" s="143"/>
      <c r="M230" s="143"/>
      <c r="N230" s="58"/>
      <c r="O230" s="56"/>
      <c r="P230" s="734"/>
    </row>
    <row r="231" spans="1:16" s="27" customFormat="1" ht="18" customHeight="1">
      <c r="A231" s="35"/>
      <c r="B231" s="59"/>
      <c r="C231" s="10" t="s">
        <v>13</v>
      </c>
      <c r="D231" s="6" t="s">
        <v>6</v>
      </c>
      <c r="E231" s="133">
        <v>0.2</v>
      </c>
      <c r="F231" s="2">
        <f>E231*F230</f>
        <v>6.2</v>
      </c>
      <c r="G231" s="1"/>
      <c r="H231" s="1"/>
      <c r="I231" s="1"/>
      <c r="J231" s="1">
        <f>I231*F231</f>
        <v>0</v>
      </c>
      <c r="K231" s="143"/>
      <c r="L231" s="143"/>
      <c r="M231" s="143">
        <f>H231+J231+L231</f>
        <v>0</v>
      </c>
      <c r="N231" s="55"/>
      <c r="O231" s="60"/>
      <c r="P231" s="738"/>
    </row>
    <row r="232" spans="1:16" s="27" customFormat="1" ht="30">
      <c r="A232" s="35"/>
      <c r="B232" s="405"/>
      <c r="C232" s="244" t="s">
        <v>407</v>
      </c>
      <c r="D232" s="245" t="s">
        <v>65</v>
      </c>
      <c r="E232" s="340">
        <v>1</v>
      </c>
      <c r="F232" s="2">
        <v>31</v>
      </c>
      <c r="G232" s="143"/>
      <c r="H232" s="195">
        <f>G232*F232</f>
        <v>0</v>
      </c>
      <c r="I232" s="143"/>
      <c r="J232" s="195"/>
      <c r="K232" s="143"/>
      <c r="L232" s="143"/>
      <c r="M232" s="143">
        <f>H232+J232+L232</f>
        <v>0</v>
      </c>
      <c r="N232" s="60"/>
      <c r="O232" s="60"/>
      <c r="P232" s="738"/>
    </row>
    <row r="233" spans="1:16" s="27" customFormat="1" ht="18" customHeight="1">
      <c r="A233" s="35"/>
      <c r="B233" s="59"/>
      <c r="C233" s="10" t="s">
        <v>69</v>
      </c>
      <c r="D233" s="6" t="s">
        <v>6</v>
      </c>
      <c r="E233" s="40">
        <v>0.12</v>
      </c>
      <c r="F233" s="2">
        <f>E233*F230</f>
        <v>3.7199999999999998</v>
      </c>
      <c r="G233" s="1"/>
      <c r="H233" s="1">
        <f>G233*F233</f>
        <v>0</v>
      </c>
      <c r="I233" s="1"/>
      <c r="J233" s="1"/>
      <c r="K233" s="1"/>
      <c r="L233" s="1"/>
      <c r="M233" s="1">
        <f>H233+J233+L233</f>
        <v>0</v>
      </c>
      <c r="N233" s="55"/>
      <c r="O233" s="60">
        <f>M233+K233+I233</f>
        <v>0</v>
      </c>
      <c r="P233" s="738"/>
    </row>
    <row r="234" spans="1:16" s="372" customFormat="1" ht="24" customHeight="1">
      <c r="A234" s="35">
        <f>A230+1</f>
        <v>39</v>
      </c>
      <c r="B234" s="59" t="s">
        <v>585</v>
      </c>
      <c r="C234" s="42" t="s">
        <v>586</v>
      </c>
      <c r="D234" s="41" t="s">
        <v>12</v>
      </c>
      <c r="E234" s="41"/>
      <c r="F234" s="24">
        <f>SUM(F236:F237)</f>
        <v>2</v>
      </c>
      <c r="G234" s="143"/>
      <c r="H234" s="195"/>
      <c r="I234" s="143"/>
      <c r="J234" s="195"/>
      <c r="K234" s="143"/>
      <c r="L234" s="143"/>
      <c r="M234" s="143"/>
      <c r="N234" s="58"/>
      <c r="O234" s="56"/>
      <c r="P234" s="734"/>
    </row>
    <row r="235" spans="1:16" s="27" customFormat="1" ht="18" customHeight="1">
      <c r="A235" s="35"/>
      <c r="B235" s="59"/>
      <c r="C235" s="10" t="s">
        <v>13</v>
      </c>
      <c r="D235" s="6" t="s">
        <v>6</v>
      </c>
      <c r="E235" s="133">
        <v>1</v>
      </c>
      <c r="F235" s="2">
        <f>E235*F234</f>
        <v>2</v>
      </c>
      <c r="G235" s="1"/>
      <c r="H235" s="1"/>
      <c r="I235" s="1"/>
      <c r="J235" s="1">
        <f>I235*F235</f>
        <v>0</v>
      </c>
      <c r="K235" s="143"/>
      <c r="L235" s="143"/>
      <c r="M235" s="143">
        <f>H235+J235+L235</f>
        <v>0</v>
      </c>
      <c r="N235" s="55"/>
      <c r="O235" s="60"/>
      <c r="P235" s="738"/>
    </row>
    <row r="236" spans="1:13" s="27" customFormat="1" ht="30">
      <c r="A236" s="405"/>
      <c r="B236" s="59"/>
      <c r="C236" s="406" t="s">
        <v>597</v>
      </c>
      <c r="D236" s="104" t="s">
        <v>65</v>
      </c>
      <c r="E236" s="340">
        <v>1</v>
      </c>
      <c r="F236" s="2">
        <v>1</v>
      </c>
      <c r="G236" s="1"/>
      <c r="H236" s="1">
        <f>G236*F236</f>
        <v>0</v>
      </c>
      <c r="I236" s="1"/>
      <c r="J236" s="1"/>
      <c r="K236" s="1"/>
      <c r="L236" s="1"/>
      <c r="M236" s="1">
        <f>H236+J236+L236</f>
        <v>0</v>
      </c>
    </row>
    <row r="237" spans="1:16" s="27" customFormat="1" ht="36" customHeight="1">
      <c r="A237" s="35"/>
      <c r="B237" s="59"/>
      <c r="C237" s="536" t="s">
        <v>413</v>
      </c>
      <c r="D237" s="104" t="s">
        <v>65</v>
      </c>
      <c r="E237" s="340">
        <v>1</v>
      </c>
      <c r="F237" s="2">
        <v>1</v>
      </c>
      <c r="G237" s="1"/>
      <c r="H237" s="195">
        <f>G237*F237</f>
        <v>0</v>
      </c>
      <c r="I237" s="143"/>
      <c r="J237" s="195"/>
      <c r="K237" s="143"/>
      <c r="L237" s="143"/>
      <c r="M237" s="143">
        <f>H237+J237+L237</f>
        <v>0</v>
      </c>
      <c r="N237" s="60"/>
      <c r="O237" s="60"/>
      <c r="P237" s="738"/>
    </row>
    <row r="238" spans="1:16" s="27" customFormat="1" ht="18" customHeight="1">
      <c r="A238" s="35"/>
      <c r="B238" s="59"/>
      <c r="C238" s="10" t="s">
        <v>69</v>
      </c>
      <c r="D238" s="6" t="s">
        <v>6</v>
      </c>
      <c r="E238" s="40">
        <v>0.81</v>
      </c>
      <c r="F238" s="2">
        <f>E238*F234</f>
        <v>1.62</v>
      </c>
      <c r="G238" s="1"/>
      <c r="H238" s="1">
        <f>G238*F238</f>
        <v>0</v>
      </c>
      <c r="I238" s="1"/>
      <c r="J238" s="1"/>
      <c r="K238" s="1"/>
      <c r="L238" s="1"/>
      <c r="M238" s="1">
        <f>H238+J238+L238</f>
        <v>0</v>
      </c>
      <c r="N238" s="55"/>
      <c r="O238" s="60">
        <f>M238+K238+I238</f>
        <v>0</v>
      </c>
      <c r="P238" s="738"/>
    </row>
    <row r="239" spans="1:15" s="510" customFormat="1" ht="18" customHeight="1">
      <c r="A239" s="497"/>
      <c r="B239" s="498"/>
      <c r="C239" s="509" t="s">
        <v>219</v>
      </c>
      <c r="D239" s="499"/>
      <c r="E239" s="138"/>
      <c r="F239" s="227"/>
      <c r="G239" s="283"/>
      <c r="H239" s="82"/>
      <c r="I239" s="82"/>
      <c r="J239" s="84"/>
      <c r="K239" s="82"/>
      <c r="L239" s="82"/>
      <c r="M239" s="82"/>
      <c r="O239" s="511"/>
    </row>
    <row r="240" spans="1:16" s="372" customFormat="1" ht="54" customHeight="1">
      <c r="A240" s="35">
        <f>A234+1</f>
        <v>40</v>
      </c>
      <c r="B240" s="59" t="s">
        <v>46</v>
      </c>
      <c r="C240" s="528" t="s">
        <v>415</v>
      </c>
      <c r="D240" s="41" t="s">
        <v>12</v>
      </c>
      <c r="E240" s="41"/>
      <c r="F240" s="24">
        <v>1</v>
      </c>
      <c r="G240" s="34"/>
      <c r="H240" s="24"/>
      <c r="I240" s="4"/>
      <c r="J240" s="8"/>
      <c r="K240" s="25"/>
      <c r="L240" s="8"/>
      <c r="M240" s="25"/>
      <c r="N240" s="58"/>
      <c r="O240" s="56"/>
      <c r="P240" s="734"/>
    </row>
    <row r="241" spans="1:16" s="27" customFormat="1" ht="18" customHeight="1">
      <c r="A241" s="35"/>
      <c r="B241" s="59"/>
      <c r="C241" s="10" t="s">
        <v>13</v>
      </c>
      <c r="D241" s="6" t="s">
        <v>6</v>
      </c>
      <c r="E241" s="86">
        <v>1</v>
      </c>
      <c r="F241" s="2">
        <f>E241*F240</f>
        <v>1</v>
      </c>
      <c r="G241" s="1"/>
      <c r="H241" s="1"/>
      <c r="I241" s="1"/>
      <c r="J241" s="1">
        <f>I241*F241</f>
        <v>0</v>
      </c>
      <c r="K241" s="1"/>
      <c r="L241" s="1"/>
      <c r="M241" s="1">
        <f>H241+J241+L241</f>
        <v>0</v>
      </c>
      <c r="N241" s="55"/>
      <c r="O241" s="60"/>
      <c r="P241" s="738"/>
    </row>
    <row r="242" spans="1:16" s="27" customFormat="1" ht="54" customHeight="1">
      <c r="A242" s="35"/>
      <c r="B242" s="59"/>
      <c r="C242" s="406" t="s">
        <v>415</v>
      </c>
      <c r="D242" s="407" t="s">
        <v>65</v>
      </c>
      <c r="E242" s="86">
        <v>1</v>
      </c>
      <c r="F242" s="2">
        <f>E242*F240</f>
        <v>1</v>
      </c>
      <c r="G242" s="26"/>
      <c r="H242" s="1">
        <f>G242*F242</f>
        <v>0</v>
      </c>
      <c r="I242" s="1"/>
      <c r="J242" s="1"/>
      <c r="K242" s="1"/>
      <c r="L242" s="1"/>
      <c r="M242" s="1">
        <f>H242+J242+L242</f>
        <v>0</v>
      </c>
      <c r="N242" s="60"/>
      <c r="O242" s="60"/>
      <c r="P242" s="738"/>
    </row>
    <row r="243" spans="1:16" s="27" customFormat="1" ht="17.25" customHeight="1">
      <c r="A243" s="35"/>
      <c r="B243" s="59"/>
      <c r="C243" s="10" t="s">
        <v>69</v>
      </c>
      <c r="D243" s="6" t="s">
        <v>6</v>
      </c>
      <c r="E243" s="86">
        <v>15</v>
      </c>
      <c r="F243" s="2">
        <f>E243*F240</f>
        <v>15</v>
      </c>
      <c r="G243" s="1"/>
      <c r="H243" s="1">
        <f>G243*F243</f>
        <v>0</v>
      </c>
      <c r="I243" s="1"/>
      <c r="J243" s="1"/>
      <c r="K243" s="1"/>
      <c r="L243" s="1"/>
      <c r="M243" s="1">
        <f>H243+J243+L243</f>
        <v>0</v>
      </c>
      <c r="N243" s="55"/>
      <c r="O243" s="60"/>
      <c r="P243" s="738"/>
    </row>
    <row r="244" spans="1:16" s="66" customFormat="1" ht="18" customHeight="1">
      <c r="A244" s="32"/>
      <c r="B244" s="32"/>
      <c r="C244" s="65" t="s">
        <v>27</v>
      </c>
      <c r="D244" s="16"/>
      <c r="E244" s="16"/>
      <c r="F244" s="34"/>
      <c r="G244" s="8"/>
      <c r="H244" s="162">
        <f>SUM(H10:H243)</f>
        <v>0</v>
      </c>
      <c r="I244" s="162"/>
      <c r="J244" s="162">
        <f>SUM(J10:J243)</f>
        <v>0</v>
      </c>
      <c r="K244" s="162"/>
      <c r="L244" s="162">
        <f>SUM(L10:L243)</f>
        <v>0</v>
      </c>
      <c r="M244" s="162">
        <f>SUM(M10:M243)</f>
        <v>0</v>
      </c>
      <c r="N244" s="270"/>
      <c r="O244" s="122"/>
      <c r="P244" s="89"/>
    </row>
    <row r="245" spans="1:16" s="29" customFormat="1" ht="15" customHeight="1" thickBot="1">
      <c r="A245" s="12"/>
      <c r="B245" s="12"/>
      <c r="C245" s="15"/>
      <c r="D245" s="15"/>
      <c r="E245" s="15"/>
      <c r="F245" s="734"/>
      <c r="G245" s="323"/>
      <c r="H245" s="159"/>
      <c r="I245" s="159"/>
      <c r="J245" s="304"/>
      <c r="K245" s="159"/>
      <c r="L245" s="304"/>
      <c r="M245" s="99"/>
      <c r="O245" s="12"/>
      <c r="P245" s="12"/>
    </row>
    <row r="246" spans="1:16" s="62" customFormat="1" ht="18" customHeight="1">
      <c r="A246" s="516"/>
      <c r="B246" s="517"/>
      <c r="C246" s="157" t="s">
        <v>9</v>
      </c>
      <c r="D246" s="61"/>
      <c r="E246" s="61"/>
      <c r="F246" s="61"/>
      <c r="G246" s="157"/>
      <c r="H246" s="416">
        <f>H244</f>
        <v>0</v>
      </c>
      <c r="I246" s="416"/>
      <c r="J246" s="416">
        <f>J244</f>
        <v>0</v>
      </c>
      <c r="K246" s="416"/>
      <c r="L246" s="416">
        <f>L244</f>
        <v>0</v>
      </c>
      <c r="M246" s="416">
        <f>M244</f>
        <v>0</v>
      </c>
      <c r="N246" s="530"/>
      <c r="O246" s="518"/>
      <c r="P246" s="519"/>
    </row>
    <row r="247" spans="1:16" s="62" customFormat="1" ht="30.75" customHeight="1">
      <c r="A247" s="97"/>
      <c r="B247" s="65"/>
      <c r="C247" s="16" t="s">
        <v>634</v>
      </c>
      <c r="D247" s="683"/>
      <c r="E247" s="16"/>
      <c r="F247" s="680"/>
      <c r="G247" s="34"/>
      <c r="H247" s="162">
        <f>H242</f>
        <v>0</v>
      </c>
      <c r="I247" s="162"/>
      <c r="J247" s="162"/>
      <c r="K247" s="162"/>
      <c r="L247" s="162"/>
      <c r="M247" s="162">
        <f>SUM(H247:L247)</f>
        <v>0</v>
      </c>
      <c r="O247" s="15"/>
      <c r="P247" s="15"/>
    </row>
    <row r="248" spans="1:16" s="218" customFormat="1" ht="23.25" customHeight="1">
      <c r="A248" s="689"/>
      <c r="B248" s="690"/>
      <c r="C248" s="78" t="s">
        <v>64</v>
      </c>
      <c r="D248" s="691"/>
      <c r="E248" s="78"/>
      <c r="F248" s="692"/>
      <c r="G248" s="81"/>
      <c r="H248" s="217"/>
      <c r="I248" s="217"/>
      <c r="J248" s="217"/>
      <c r="K248" s="217"/>
      <c r="L248" s="217"/>
      <c r="M248" s="688">
        <f>J246*D248</f>
        <v>0</v>
      </c>
      <c r="O248" s="219"/>
      <c r="P248" s="219"/>
    </row>
    <row r="249" spans="1:16" s="218" customFormat="1" ht="23.25" customHeight="1">
      <c r="A249" s="689"/>
      <c r="B249" s="690"/>
      <c r="C249" s="78" t="s">
        <v>9</v>
      </c>
      <c r="D249" s="78"/>
      <c r="E249" s="78"/>
      <c r="F249" s="81"/>
      <c r="G249" s="81"/>
      <c r="H249" s="217"/>
      <c r="I249" s="217"/>
      <c r="J249" s="217"/>
      <c r="K249" s="217"/>
      <c r="L249" s="217"/>
      <c r="M249" s="693">
        <f>M246+M248</f>
        <v>0</v>
      </c>
      <c r="O249" s="219"/>
      <c r="P249" s="219"/>
    </row>
    <row r="250" spans="1:13" s="218" customFormat="1" ht="29.25" customHeight="1">
      <c r="A250" s="689"/>
      <c r="B250" s="690"/>
      <c r="C250" s="16" t="s">
        <v>222</v>
      </c>
      <c r="D250" s="691"/>
      <c r="E250" s="78"/>
      <c r="F250" s="692"/>
      <c r="G250" s="81"/>
      <c r="H250" s="217"/>
      <c r="I250" s="217"/>
      <c r="J250" s="217"/>
      <c r="K250" s="217"/>
      <c r="L250" s="217"/>
      <c r="M250" s="693">
        <f>(M249-M247)*D250</f>
        <v>0</v>
      </c>
    </row>
    <row r="251" spans="1:13" s="218" customFormat="1" ht="23.25" customHeight="1" thickBot="1">
      <c r="A251" s="694"/>
      <c r="B251" s="685"/>
      <c r="C251" s="521" t="s">
        <v>9</v>
      </c>
      <c r="D251" s="522"/>
      <c r="E251" s="522"/>
      <c r="F251" s="522"/>
      <c r="G251" s="521"/>
      <c r="H251" s="531"/>
      <c r="I251" s="531"/>
      <c r="J251" s="531"/>
      <c r="K251" s="531"/>
      <c r="L251" s="531"/>
      <c r="M251" s="524">
        <f>M249+M250</f>
        <v>0</v>
      </c>
    </row>
    <row r="252" spans="1:13" s="362" customFormat="1" ht="14.25">
      <c r="A252" s="359"/>
      <c r="B252" s="359"/>
      <c r="C252" s="360"/>
      <c r="D252" s="74"/>
      <c r="E252" s="359"/>
      <c r="F252" s="394"/>
      <c r="G252" s="394"/>
      <c r="H252" s="394"/>
      <c r="I252" s="532"/>
      <c r="J252" s="533"/>
      <c r="K252" s="532"/>
      <c r="L252" s="394"/>
      <c r="M252" s="174"/>
    </row>
    <row r="253" spans="1:14" s="362" customFormat="1" ht="13.5" customHeight="1">
      <c r="A253" s="359"/>
      <c r="B253" s="359"/>
      <c r="C253" s="360"/>
      <c r="D253" s="74"/>
      <c r="E253" s="359"/>
      <c r="F253" s="394"/>
      <c r="G253" s="394"/>
      <c r="H253" s="394"/>
      <c r="I253" s="532"/>
      <c r="J253" s="394"/>
      <c r="K253" s="532"/>
      <c r="L253" s="394"/>
      <c r="M253" s="534"/>
      <c r="N253" s="535"/>
    </row>
    <row r="254" spans="1:14" s="362" customFormat="1" ht="13.5" customHeight="1">
      <c r="A254" s="359"/>
      <c r="B254" s="359"/>
      <c r="C254" s="360"/>
      <c r="D254" s="74"/>
      <c r="E254" s="359"/>
      <c r="F254" s="394"/>
      <c r="G254" s="394"/>
      <c r="H254" s="394"/>
      <c r="I254" s="532"/>
      <c r="J254" s="394"/>
      <c r="K254" s="532"/>
      <c r="L254" s="394"/>
      <c r="M254" s="534"/>
      <c r="N254" s="535"/>
    </row>
    <row r="255" spans="1:14" s="362" customFormat="1" ht="13.5" customHeight="1">
      <c r="A255" s="359"/>
      <c r="B255" s="359"/>
      <c r="C255" s="360"/>
      <c r="D255" s="74"/>
      <c r="E255" s="359"/>
      <c r="F255" s="394"/>
      <c r="G255" s="394"/>
      <c r="H255" s="394"/>
      <c r="I255" s="532"/>
      <c r="J255" s="394"/>
      <c r="K255" s="532"/>
      <c r="L255" s="394"/>
      <c r="M255" s="534"/>
      <c r="N255" s="535"/>
    </row>
    <row r="256" spans="1:13" s="114" customFormat="1" ht="18" customHeight="1">
      <c r="A256" s="182"/>
      <c r="B256" s="182"/>
      <c r="C256" s="114" t="s">
        <v>184</v>
      </c>
      <c r="E256" s="305"/>
      <c r="F256" s="305"/>
      <c r="G256" s="787"/>
      <c r="H256" s="787"/>
      <c r="I256" s="787"/>
      <c r="J256" s="305"/>
      <c r="K256" s="305"/>
      <c r="L256" s="305"/>
      <c r="M256" s="496"/>
    </row>
    <row r="257" spans="1:16" s="271" customFormat="1" ht="14.25">
      <c r="A257" s="12"/>
      <c r="B257" s="232"/>
      <c r="C257" s="234"/>
      <c r="D257" s="234"/>
      <c r="E257" s="232"/>
      <c r="F257" s="258"/>
      <c r="G257" s="258"/>
      <c r="H257" s="258"/>
      <c r="I257" s="367"/>
      <c r="J257" s="258"/>
      <c r="K257" s="367"/>
      <c r="L257" s="258"/>
      <c r="M257" s="231"/>
      <c r="N257" s="272"/>
      <c r="O257" s="272"/>
      <c r="P257" s="272"/>
    </row>
    <row r="258" spans="1:16" s="271" customFormat="1" ht="14.25">
      <c r="A258" s="12"/>
      <c r="B258" s="232"/>
      <c r="C258" s="234"/>
      <c r="D258" s="234"/>
      <c r="E258" s="232"/>
      <c r="F258" s="258"/>
      <c r="G258" s="258"/>
      <c r="H258" s="258"/>
      <c r="I258" s="367"/>
      <c r="J258" s="258"/>
      <c r="K258" s="367"/>
      <c r="L258" s="258"/>
      <c r="M258" s="231"/>
      <c r="N258" s="272"/>
      <c r="O258" s="272"/>
      <c r="P258" s="272"/>
    </row>
    <row r="259" spans="1:16" s="271" customFormat="1" ht="14.25">
      <c r="A259" s="12"/>
      <c r="B259" s="232"/>
      <c r="C259" s="234"/>
      <c r="D259" s="234"/>
      <c r="E259" s="232"/>
      <c r="F259" s="258"/>
      <c r="G259" s="258"/>
      <c r="H259" s="258"/>
      <c r="I259" s="367"/>
      <c r="J259" s="258"/>
      <c r="K259" s="367"/>
      <c r="L259" s="258"/>
      <c r="M259" s="231"/>
      <c r="N259" s="272"/>
      <c r="O259" s="272"/>
      <c r="P259" s="272"/>
    </row>
    <row r="260" spans="1:16" s="271" customFormat="1" ht="14.25">
      <c r="A260" s="12"/>
      <c r="B260" s="232"/>
      <c r="C260" s="234"/>
      <c r="D260" s="234"/>
      <c r="E260" s="232"/>
      <c r="F260" s="258"/>
      <c r="G260" s="258"/>
      <c r="H260" s="258"/>
      <c r="I260" s="367"/>
      <c r="J260" s="258"/>
      <c r="K260" s="367"/>
      <c r="L260" s="258"/>
      <c r="M260" s="231"/>
      <c r="N260" s="272"/>
      <c r="O260" s="272"/>
      <c r="P260" s="272"/>
    </row>
    <row r="261" spans="1:16" s="271" customFormat="1" ht="14.25">
      <c r="A261" s="12"/>
      <c r="B261" s="232"/>
      <c r="C261" s="234"/>
      <c r="D261" s="234"/>
      <c r="E261" s="232"/>
      <c r="F261" s="258"/>
      <c r="G261" s="258"/>
      <c r="H261" s="258"/>
      <c r="I261" s="367"/>
      <c r="J261" s="258"/>
      <c r="K261" s="367"/>
      <c r="L261" s="258"/>
      <c r="M261" s="231"/>
      <c r="N261" s="272"/>
      <c r="O261" s="272"/>
      <c r="P261" s="272"/>
    </row>
    <row r="262" spans="1:16" s="271" customFormat="1" ht="14.25">
      <c r="A262" s="12"/>
      <c r="B262" s="232"/>
      <c r="C262" s="234"/>
      <c r="D262" s="234"/>
      <c r="E262" s="232"/>
      <c r="F262" s="258"/>
      <c r="G262" s="258"/>
      <c r="H262" s="258"/>
      <c r="I262" s="367"/>
      <c r="J262" s="258"/>
      <c r="K262" s="367"/>
      <c r="L262" s="258"/>
      <c r="M262" s="231"/>
      <c r="N262" s="272"/>
      <c r="O262" s="272"/>
      <c r="P262" s="272"/>
    </row>
    <row r="263" spans="1:16" s="271" customFormat="1" ht="14.25">
      <c r="A263" s="12"/>
      <c r="B263" s="232"/>
      <c r="C263" s="234"/>
      <c r="D263" s="234"/>
      <c r="E263" s="232"/>
      <c r="F263" s="258"/>
      <c r="G263" s="258"/>
      <c r="H263" s="258"/>
      <c r="I263" s="367"/>
      <c r="J263" s="258"/>
      <c r="K263" s="367"/>
      <c r="L263" s="258"/>
      <c r="M263" s="231"/>
      <c r="N263" s="272"/>
      <c r="O263" s="272"/>
      <c r="P263" s="272"/>
    </row>
    <row r="264" spans="1:16" s="271" customFormat="1" ht="14.25">
      <c r="A264" s="12"/>
      <c r="B264" s="232"/>
      <c r="C264" s="234"/>
      <c r="D264" s="234"/>
      <c r="E264" s="232"/>
      <c r="F264" s="258"/>
      <c r="G264" s="258"/>
      <c r="H264" s="258"/>
      <c r="I264" s="367"/>
      <c r="J264" s="258"/>
      <c r="K264" s="367"/>
      <c r="L264" s="258"/>
      <c r="M264" s="231"/>
      <c r="N264" s="272"/>
      <c r="O264" s="272"/>
      <c r="P264" s="272"/>
    </row>
    <row r="265" spans="1:16" s="271" customFormat="1" ht="14.25">
      <c r="A265" s="12"/>
      <c r="B265" s="232"/>
      <c r="C265" s="234"/>
      <c r="D265" s="234"/>
      <c r="E265" s="232"/>
      <c r="F265" s="258"/>
      <c r="G265" s="258"/>
      <c r="H265" s="258"/>
      <c r="I265" s="367"/>
      <c r="J265" s="258"/>
      <c r="K265" s="367"/>
      <c r="L265" s="258"/>
      <c r="M265" s="231"/>
      <c r="N265" s="272"/>
      <c r="O265" s="272"/>
      <c r="P265" s="272"/>
    </row>
    <row r="266" spans="1:16" s="271" customFormat="1" ht="14.25">
      <c r="A266" s="12"/>
      <c r="B266" s="232"/>
      <c r="C266" s="234"/>
      <c r="D266" s="234"/>
      <c r="E266" s="232"/>
      <c r="F266" s="258"/>
      <c r="G266" s="258"/>
      <c r="H266" s="258"/>
      <c r="I266" s="367"/>
      <c r="J266" s="258"/>
      <c r="K266" s="367"/>
      <c r="L266" s="258"/>
      <c r="M266" s="231"/>
      <c r="N266" s="272"/>
      <c r="O266" s="272"/>
      <c r="P266" s="272"/>
    </row>
    <row r="267" spans="1:16" s="271" customFormat="1" ht="14.25">
      <c r="A267" s="12"/>
      <c r="B267" s="232"/>
      <c r="C267" s="234"/>
      <c r="D267" s="234"/>
      <c r="E267" s="232"/>
      <c r="F267" s="258"/>
      <c r="G267" s="258"/>
      <c r="H267" s="258"/>
      <c r="I267" s="367"/>
      <c r="J267" s="258"/>
      <c r="K267" s="367"/>
      <c r="L267" s="258"/>
      <c r="M267" s="231"/>
      <c r="N267" s="272"/>
      <c r="O267" s="272"/>
      <c r="P267" s="272"/>
    </row>
    <row r="268" spans="1:16" s="271" customFormat="1" ht="14.25">
      <c r="A268" s="12"/>
      <c r="B268" s="232"/>
      <c r="C268" s="234"/>
      <c r="D268" s="234"/>
      <c r="E268" s="232"/>
      <c r="F268" s="258"/>
      <c r="G268" s="258"/>
      <c r="H268" s="258"/>
      <c r="I268" s="367"/>
      <c r="J268" s="258"/>
      <c r="K268" s="367"/>
      <c r="L268" s="258"/>
      <c r="M268" s="231"/>
      <c r="N268" s="272"/>
      <c r="O268" s="272"/>
      <c r="P268" s="272"/>
    </row>
    <row r="269" spans="1:16" s="271" customFormat="1" ht="14.25">
      <c r="A269" s="12"/>
      <c r="B269" s="232"/>
      <c r="C269" s="234"/>
      <c r="D269" s="234"/>
      <c r="E269" s="232"/>
      <c r="F269" s="258"/>
      <c r="G269" s="258"/>
      <c r="H269" s="258"/>
      <c r="I269" s="367"/>
      <c r="J269" s="258"/>
      <c r="K269" s="367"/>
      <c r="L269" s="258"/>
      <c r="M269" s="231"/>
      <c r="N269" s="272"/>
      <c r="O269" s="272"/>
      <c r="P269" s="272"/>
    </row>
    <row r="270" spans="1:16" s="271" customFormat="1" ht="14.25">
      <c r="A270" s="12"/>
      <c r="B270" s="232"/>
      <c r="C270" s="234"/>
      <c r="D270" s="234"/>
      <c r="E270" s="232"/>
      <c r="F270" s="258"/>
      <c r="G270" s="258"/>
      <c r="H270" s="258"/>
      <c r="I270" s="367"/>
      <c r="J270" s="258"/>
      <c r="K270" s="367"/>
      <c r="L270" s="258"/>
      <c r="M270" s="231"/>
      <c r="N270" s="272"/>
      <c r="O270" s="272"/>
      <c r="P270" s="272"/>
    </row>
    <row r="271" spans="1:16" s="271" customFormat="1" ht="14.25">
      <c r="A271" s="12"/>
      <c r="B271" s="232"/>
      <c r="C271" s="234"/>
      <c r="D271" s="234"/>
      <c r="E271" s="232"/>
      <c r="F271" s="258"/>
      <c r="G271" s="258"/>
      <c r="H271" s="258"/>
      <c r="I271" s="367"/>
      <c r="J271" s="258"/>
      <c r="K271" s="367"/>
      <c r="L271" s="258"/>
      <c r="M271" s="231"/>
      <c r="N271" s="272"/>
      <c r="O271" s="272"/>
      <c r="P271" s="272"/>
    </row>
    <row r="272" spans="1:16" s="271" customFormat="1" ht="14.25">
      <c r="A272" s="12"/>
      <c r="B272" s="232"/>
      <c r="C272" s="234"/>
      <c r="D272" s="234"/>
      <c r="E272" s="232"/>
      <c r="F272" s="258"/>
      <c r="G272" s="258"/>
      <c r="H272" s="258"/>
      <c r="I272" s="367"/>
      <c r="J272" s="258"/>
      <c r="K272" s="367"/>
      <c r="L272" s="258"/>
      <c r="M272" s="231"/>
      <c r="N272" s="272"/>
      <c r="O272" s="272"/>
      <c r="P272" s="272"/>
    </row>
    <row r="273" spans="1:16" s="271" customFormat="1" ht="14.25">
      <c r="A273" s="12"/>
      <c r="B273" s="232"/>
      <c r="C273" s="234"/>
      <c r="D273" s="234"/>
      <c r="E273" s="232"/>
      <c r="F273" s="258"/>
      <c r="G273" s="258"/>
      <c r="H273" s="258"/>
      <c r="I273" s="367"/>
      <c r="J273" s="258"/>
      <c r="K273" s="367"/>
      <c r="L273" s="258"/>
      <c r="M273" s="231"/>
      <c r="N273" s="272"/>
      <c r="O273" s="272"/>
      <c r="P273" s="272"/>
    </row>
    <row r="274" spans="1:16" s="271" customFormat="1" ht="14.25">
      <c r="A274" s="12"/>
      <c r="B274" s="232"/>
      <c r="C274" s="234"/>
      <c r="D274" s="234"/>
      <c r="E274" s="232"/>
      <c r="F274" s="258"/>
      <c r="G274" s="258"/>
      <c r="H274" s="258"/>
      <c r="I274" s="367"/>
      <c r="J274" s="258"/>
      <c r="K274" s="367"/>
      <c r="L274" s="258"/>
      <c r="M274" s="231"/>
      <c r="N274" s="272"/>
      <c r="O274" s="272"/>
      <c r="P274" s="272"/>
    </row>
    <row r="275" spans="1:16" s="271" customFormat="1" ht="14.25">
      <c r="A275" s="12"/>
      <c r="B275" s="232"/>
      <c r="C275" s="234"/>
      <c r="D275" s="234"/>
      <c r="E275" s="232"/>
      <c r="F275" s="258"/>
      <c r="G275" s="258"/>
      <c r="H275" s="258"/>
      <c r="I275" s="367"/>
      <c r="J275" s="258"/>
      <c r="K275" s="367"/>
      <c r="L275" s="258"/>
      <c r="M275" s="231"/>
      <c r="N275" s="272"/>
      <c r="O275" s="272"/>
      <c r="P275" s="272"/>
    </row>
    <row r="276" spans="1:16" s="271" customFormat="1" ht="14.25">
      <c r="A276" s="12"/>
      <c r="B276" s="232"/>
      <c r="C276" s="234"/>
      <c r="D276" s="234"/>
      <c r="E276" s="232"/>
      <c r="F276" s="258"/>
      <c r="G276" s="258"/>
      <c r="H276" s="258"/>
      <c r="I276" s="367"/>
      <c r="J276" s="258"/>
      <c r="K276" s="367"/>
      <c r="L276" s="258"/>
      <c r="M276" s="231"/>
      <c r="N276" s="272"/>
      <c r="O276" s="272"/>
      <c r="P276" s="272"/>
    </row>
    <row r="277" spans="1:16" s="271" customFormat="1" ht="14.25">
      <c r="A277" s="12"/>
      <c r="B277" s="232"/>
      <c r="C277" s="234"/>
      <c r="D277" s="234"/>
      <c r="E277" s="232"/>
      <c r="F277" s="258"/>
      <c r="G277" s="258"/>
      <c r="H277" s="258"/>
      <c r="I277" s="367"/>
      <c r="J277" s="258"/>
      <c r="K277" s="367"/>
      <c r="L277" s="258"/>
      <c r="M277" s="231"/>
      <c r="N277" s="272"/>
      <c r="O277" s="272"/>
      <c r="P277" s="272"/>
    </row>
    <row r="278" spans="1:16" s="271" customFormat="1" ht="14.25">
      <c r="A278" s="12"/>
      <c r="B278" s="232"/>
      <c r="C278" s="234"/>
      <c r="D278" s="234"/>
      <c r="E278" s="232"/>
      <c r="F278" s="258"/>
      <c r="G278" s="258"/>
      <c r="H278" s="258"/>
      <c r="I278" s="367"/>
      <c r="J278" s="258"/>
      <c r="K278" s="367"/>
      <c r="L278" s="258"/>
      <c r="M278" s="231"/>
      <c r="N278" s="272"/>
      <c r="O278" s="272"/>
      <c r="P278" s="272"/>
    </row>
    <row r="279" spans="1:16" s="271" customFormat="1" ht="14.25">
      <c r="A279" s="12"/>
      <c r="B279" s="232"/>
      <c r="C279" s="234"/>
      <c r="D279" s="234"/>
      <c r="E279" s="232"/>
      <c r="F279" s="258"/>
      <c r="G279" s="258"/>
      <c r="H279" s="258"/>
      <c r="I279" s="367"/>
      <c r="J279" s="258"/>
      <c r="K279" s="367"/>
      <c r="L279" s="258"/>
      <c r="M279" s="231"/>
      <c r="N279" s="272"/>
      <c r="O279" s="272"/>
      <c r="P279" s="272"/>
    </row>
    <row r="280" spans="1:16" s="271" customFormat="1" ht="14.25">
      <c r="A280" s="12"/>
      <c r="B280" s="232"/>
      <c r="C280" s="234"/>
      <c r="D280" s="234"/>
      <c r="E280" s="232"/>
      <c r="F280" s="258"/>
      <c r="G280" s="258"/>
      <c r="H280" s="258"/>
      <c r="I280" s="367"/>
      <c r="J280" s="258"/>
      <c r="K280" s="367"/>
      <c r="L280" s="258"/>
      <c r="M280" s="231"/>
      <c r="N280" s="272"/>
      <c r="O280" s="272"/>
      <c r="P280" s="272"/>
    </row>
    <row r="281" spans="1:16" s="271" customFormat="1" ht="14.25">
      <c r="A281" s="12"/>
      <c r="B281" s="232"/>
      <c r="C281" s="234"/>
      <c r="D281" s="234"/>
      <c r="E281" s="232"/>
      <c r="F281" s="258"/>
      <c r="G281" s="258"/>
      <c r="H281" s="258"/>
      <c r="I281" s="367"/>
      <c r="J281" s="258"/>
      <c r="K281" s="367"/>
      <c r="L281" s="258"/>
      <c r="M281" s="231"/>
      <c r="N281" s="272"/>
      <c r="O281" s="272"/>
      <c r="P281" s="272"/>
    </row>
    <row r="282" spans="1:16" s="271" customFormat="1" ht="14.25">
      <c r="A282" s="12"/>
      <c r="B282" s="232"/>
      <c r="C282" s="234"/>
      <c r="D282" s="234"/>
      <c r="E282" s="232"/>
      <c r="F282" s="258"/>
      <c r="G282" s="258"/>
      <c r="H282" s="258"/>
      <c r="I282" s="367"/>
      <c r="J282" s="258"/>
      <c r="K282" s="367"/>
      <c r="L282" s="258"/>
      <c r="M282" s="231"/>
      <c r="N282" s="272"/>
      <c r="O282" s="272"/>
      <c r="P282" s="272"/>
    </row>
    <row r="283" spans="1:16" s="271" customFormat="1" ht="14.25">
      <c r="A283" s="12"/>
      <c r="B283" s="232"/>
      <c r="C283" s="234"/>
      <c r="D283" s="234"/>
      <c r="E283" s="232"/>
      <c r="F283" s="258"/>
      <c r="G283" s="258"/>
      <c r="H283" s="258"/>
      <c r="I283" s="367"/>
      <c r="J283" s="258"/>
      <c r="K283" s="367"/>
      <c r="L283" s="258"/>
      <c r="M283" s="231"/>
      <c r="N283" s="272"/>
      <c r="O283" s="272"/>
      <c r="P283" s="272"/>
    </row>
    <row r="284" spans="1:16" s="271" customFormat="1" ht="14.25">
      <c r="A284" s="12"/>
      <c r="B284" s="232"/>
      <c r="C284" s="234"/>
      <c r="D284" s="234"/>
      <c r="E284" s="232"/>
      <c r="F284" s="258"/>
      <c r="G284" s="258"/>
      <c r="H284" s="258"/>
      <c r="I284" s="367"/>
      <c r="J284" s="258"/>
      <c r="K284" s="367"/>
      <c r="L284" s="258"/>
      <c r="M284" s="231"/>
      <c r="N284" s="272"/>
      <c r="O284" s="272"/>
      <c r="P284" s="272"/>
    </row>
    <row r="285" spans="1:16" s="271" customFormat="1" ht="14.25">
      <c r="A285" s="12"/>
      <c r="B285" s="232"/>
      <c r="C285" s="234"/>
      <c r="D285" s="234"/>
      <c r="E285" s="232"/>
      <c r="F285" s="258"/>
      <c r="G285" s="258"/>
      <c r="H285" s="258"/>
      <c r="I285" s="367"/>
      <c r="J285" s="258"/>
      <c r="K285" s="367"/>
      <c r="L285" s="258"/>
      <c r="M285" s="231"/>
      <c r="N285" s="272"/>
      <c r="O285" s="272"/>
      <c r="P285" s="272"/>
    </row>
    <row r="286" spans="1:16" s="271" customFormat="1" ht="14.25">
      <c r="A286" s="12"/>
      <c r="B286" s="232"/>
      <c r="C286" s="234"/>
      <c r="D286" s="234"/>
      <c r="E286" s="232"/>
      <c r="F286" s="258"/>
      <c r="G286" s="258"/>
      <c r="H286" s="258"/>
      <c r="I286" s="367"/>
      <c r="J286" s="258"/>
      <c r="K286" s="367"/>
      <c r="L286" s="258"/>
      <c r="M286" s="231"/>
      <c r="N286" s="272"/>
      <c r="O286" s="272"/>
      <c r="P286" s="272"/>
    </row>
    <row r="287" spans="1:16" s="271" customFormat="1" ht="14.25">
      <c r="A287" s="12"/>
      <c r="B287" s="232"/>
      <c r="C287" s="234"/>
      <c r="D287" s="234"/>
      <c r="E287" s="232"/>
      <c r="F287" s="258"/>
      <c r="G287" s="258"/>
      <c r="H287" s="258"/>
      <c r="I287" s="367"/>
      <c r="J287" s="258"/>
      <c r="K287" s="367"/>
      <c r="L287" s="258"/>
      <c r="M287" s="231"/>
      <c r="N287" s="272"/>
      <c r="O287" s="272"/>
      <c r="P287" s="272"/>
    </row>
    <row r="288" spans="1:16" s="271" customFormat="1" ht="14.25">
      <c r="A288" s="12"/>
      <c r="B288" s="232"/>
      <c r="C288" s="234"/>
      <c r="D288" s="234"/>
      <c r="E288" s="232"/>
      <c r="F288" s="258"/>
      <c r="G288" s="258"/>
      <c r="H288" s="258"/>
      <c r="I288" s="367"/>
      <c r="J288" s="258"/>
      <c r="K288" s="367"/>
      <c r="L288" s="258"/>
      <c r="M288" s="231"/>
      <c r="N288" s="272"/>
      <c r="O288" s="272"/>
      <c r="P288" s="272"/>
    </row>
    <row r="289" spans="1:16" s="271" customFormat="1" ht="14.25">
      <c r="A289" s="12"/>
      <c r="B289" s="232"/>
      <c r="C289" s="234"/>
      <c r="D289" s="234"/>
      <c r="E289" s="232"/>
      <c r="F289" s="258"/>
      <c r="G289" s="258"/>
      <c r="H289" s="258"/>
      <c r="I289" s="367"/>
      <c r="J289" s="258"/>
      <c r="K289" s="367"/>
      <c r="L289" s="258"/>
      <c r="M289" s="231"/>
      <c r="N289" s="272"/>
      <c r="O289" s="272"/>
      <c r="P289" s="272"/>
    </row>
    <row r="290" spans="1:16" s="271" customFormat="1" ht="14.25">
      <c r="A290" s="12"/>
      <c r="B290" s="232"/>
      <c r="C290" s="234"/>
      <c r="D290" s="234"/>
      <c r="E290" s="232"/>
      <c r="F290" s="258"/>
      <c r="G290" s="258"/>
      <c r="H290" s="258"/>
      <c r="I290" s="367"/>
      <c r="J290" s="258"/>
      <c r="K290" s="367"/>
      <c r="L290" s="258"/>
      <c r="M290" s="231"/>
      <c r="N290" s="272"/>
      <c r="O290" s="272"/>
      <c r="P290" s="272"/>
    </row>
    <row r="291" spans="1:16" s="271" customFormat="1" ht="14.25">
      <c r="A291" s="12"/>
      <c r="B291" s="232"/>
      <c r="C291" s="234"/>
      <c r="D291" s="234"/>
      <c r="E291" s="232"/>
      <c r="F291" s="258"/>
      <c r="G291" s="258"/>
      <c r="H291" s="258"/>
      <c r="I291" s="367"/>
      <c r="J291" s="258"/>
      <c r="K291" s="367"/>
      <c r="L291" s="258"/>
      <c r="M291" s="231"/>
      <c r="N291" s="272"/>
      <c r="O291" s="272"/>
      <c r="P291" s="272"/>
    </row>
    <row r="292" spans="1:16" s="271" customFormat="1" ht="14.25">
      <c r="A292" s="12"/>
      <c r="B292" s="232"/>
      <c r="C292" s="234"/>
      <c r="D292" s="234"/>
      <c r="E292" s="232"/>
      <c r="F292" s="258"/>
      <c r="G292" s="258"/>
      <c r="H292" s="258"/>
      <c r="I292" s="367"/>
      <c r="J292" s="258"/>
      <c r="K292" s="367"/>
      <c r="L292" s="258"/>
      <c r="M292" s="231"/>
      <c r="N292" s="272"/>
      <c r="O292" s="272"/>
      <c r="P292" s="272"/>
    </row>
    <row r="293" spans="1:16" s="271" customFormat="1" ht="14.25">
      <c r="A293" s="12"/>
      <c r="B293" s="232"/>
      <c r="C293" s="234"/>
      <c r="D293" s="234"/>
      <c r="E293" s="232"/>
      <c r="F293" s="258"/>
      <c r="G293" s="258"/>
      <c r="H293" s="258"/>
      <c r="I293" s="367"/>
      <c r="J293" s="258"/>
      <c r="K293" s="367"/>
      <c r="L293" s="258"/>
      <c r="M293" s="231"/>
      <c r="N293" s="272"/>
      <c r="O293" s="272"/>
      <c r="P293" s="272"/>
    </row>
    <row r="294" spans="1:16" s="271" customFormat="1" ht="14.25">
      <c r="A294" s="12"/>
      <c r="B294" s="232"/>
      <c r="C294" s="234"/>
      <c r="D294" s="234"/>
      <c r="E294" s="232"/>
      <c r="F294" s="258"/>
      <c r="G294" s="258"/>
      <c r="H294" s="258"/>
      <c r="I294" s="367"/>
      <c r="J294" s="258"/>
      <c r="K294" s="367"/>
      <c r="L294" s="258"/>
      <c r="M294" s="231"/>
      <c r="N294" s="272"/>
      <c r="O294" s="272"/>
      <c r="P294" s="272"/>
    </row>
    <row r="295" spans="1:16" s="271" customFormat="1" ht="14.25">
      <c r="A295" s="12"/>
      <c r="B295" s="232"/>
      <c r="C295" s="234"/>
      <c r="D295" s="234"/>
      <c r="E295" s="232"/>
      <c r="F295" s="258"/>
      <c r="G295" s="258"/>
      <c r="H295" s="258"/>
      <c r="I295" s="367"/>
      <c r="J295" s="258"/>
      <c r="K295" s="367"/>
      <c r="L295" s="258"/>
      <c r="M295" s="231"/>
      <c r="N295" s="272"/>
      <c r="O295" s="272"/>
      <c r="P295" s="272"/>
    </row>
    <row r="296" spans="1:16" s="271" customFormat="1" ht="14.25">
      <c r="A296" s="12"/>
      <c r="B296" s="232"/>
      <c r="C296" s="234"/>
      <c r="D296" s="234"/>
      <c r="E296" s="232"/>
      <c r="F296" s="258"/>
      <c r="G296" s="258"/>
      <c r="H296" s="258"/>
      <c r="I296" s="367"/>
      <c r="J296" s="258"/>
      <c r="K296" s="367"/>
      <c r="L296" s="258"/>
      <c r="M296" s="231"/>
      <c r="N296" s="272"/>
      <c r="O296" s="272"/>
      <c r="P296" s="272"/>
    </row>
    <row r="297" spans="1:16" s="271" customFormat="1" ht="14.25">
      <c r="A297" s="12"/>
      <c r="B297" s="232"/>
      <c r="C297" s="234"/>
      <c r="D297" s="234"/>
      <c r="E297" s="232"/>
      <c r="F297" s="258"/>
      <c r="G297" s="258"/>
      <c r="H297" s="258"/>
      <c r="I297" s="367"/>
      <c r="J297" s="258"/>
      <c r="K297" s="367"/>
      <c r="L297" s="258"/>
      <c r="M297" s="231"/>
      <c r="N297" s="272"/>
      <c r="O297" s="272"/>
      <c r="P297" s="272"/>
    </row>
    <row r="298" spans="1:16" s="271" customFormat="1" ht="14.25">
      <c r="A298" s="12"/>
      <c r="B298" s="232"/>
      <c r="C298" s="234"/>
      <c r="D298" s="234"/>
      <c r="E298" s="232"/>
      <c r="F298" s="258"/>
      <c r="G298" s="258"/>
      <c r="H298" s="258"/>
      <c r="I298" s="367"/>
      <c r="J298" s="258"/>
      <c r="K298" s="367"/>
      <c r="L298" s="258"/>
      <c r="M298" s="231"/>
      <c r="N298" s="272"/>
      <c r="O298" s="272"/>
      <c r="P298" s="272"/>
    </row>
    <row r="299" spans="1:16" s="271" customFormat="1" ht="14.25">
      <c r="A299" s="12"/>
      <c r="B299" s="232"/>
      <c r="C299" s="234"/>
      <c r="D299" s="234"/>
      <c r="E299" s="232"/>
      <c r="F299" s="258"/>
      <c r="G299" s="258"/>
      <c r="H299" s="258"/>
      <c r="I299" s="367"/>
      <c r="J299" s="258"/>
      <c r="K299" s="367"/>
      <c r="L299" s="258"/>
      <c r="M299" s="231"/>
      <c r="N299" s="272"/>
      <c r="O299" s="272"/>
      <c r="P299" s="272"/>
    </row>
    <row r="300" spans="1:16" s="271" customFormat="1" ht="14.25">
      <c r="A300" s="12"/>
      <c r="B300" s="232"/>
      <c r="C300" s="234"/>
      <c r="D300" s="234"/>
      <c r="E300" s="232"/>
      <c r="F300" s="258"/>
      <c r="G300" s="258"/>
      <c r="H300" s="258"/>
      <c r="I300" s="367"/>
      <c r="J300" s="258"/>
      <c r="K300" s="367"/>
      <c r="L300" s="258"/>
      <c r="M300" s="231"/>
      <c r="N300" s="272"/>
      <c r="O300" s="272"/>
      <c r="P300" s="272"/>
    </row>
    <row r="301" spans="1:16" s="271" customFormat="1" ht="14.25">
      <c r="A301" s="12"/>
      <c r="B301" s="232"/>
      <c r="C301" s="234"/>
      <c r="D301" s="234"/>
      <c r="E301" s="232"/>
      <c r="F301" s="258"/>
      <c r="G301" s="258"/>
      <c r="H301" s="258"/>
      <c r="I301" s="367"/>
      <c r="J301" s="258"/>
      <c r="K301" s="367"/>
      <c r="L301" s="258"/>
      <c r="M301" s="231"/>
      <c r="N301" s="272"/>
      <c r="O301" s="272"/>
      <c r="P301" s="272"/>
    </row>
    <row r="302" spans="1:16" s="271" customFormat="1" ht="14.25">
      <c r="A302" s="12"/>
      <c r="B302" s="232"/>
      <c r="C302" s="234"/>
      <c r="D302" s="234"/>
      <c r="E302" s="232"/>
      <c r="F302" s="258"/>
      <c r="G302" s="258"/>
      <c r="H302" s="258"/>
      <c r="I302" s="367"/>
      <c r="J302" s="258"/>
      <c r="K302" s="367"/>
      <c r="L302" s="258"/>
      <c r="M302" s="231"/>
      <c r="N302" s="272"/>
      <c r="O302" s="272"/>
      <c r="P302" s="272"/>
    </row>
    <row r="303" spans="1:16" s="271" customFormat="1" ht="14.25">
      <c r="A303" s="12"/>
      <c r="B303" s="232"/>
      <c r="C303" s="234"/>
      <c r="D303" s="234"/>
      <c r="E303" s="232"/>
      <c r="F303" s="258"/>
      <c r="G303" s="258"/>
      <c r="H303" s="258"/>
      <c r="I303" s="367"/>
      <c r="J303" s="258"/>
      <c r="K303" s="367"/>
      <c r="L303" s="258"/>
      <c r="M303" s="231"/>
      <c r="N303" s="272"/>
      <c r="O303" s="272"/>
      <c r="P303" s="272"/>
    </row>
    <row r="304" spans="1:16" s="271" customFormat="1" ht="14.25">
      <c r="A304" s="12"/>
      <c r="B304" s="232"/>
      <c r="C304" s="234"/>
      <c r="D304" s="234"/>
      <c r="E304" s="232"/>
      <c r="F304" s="258"/>
      <c r="G304" s="258"/>
      <c r="H304" s="258"/>
      <c r="I304" s="367"/>
      <c r="J304" s="258"/>
      <c r="K304" s="367"/>
      <c r="L304" s="258"/>
      <c r="M304" s="231"/>
      <c r="N304" s="272"/>
      <c r="O304" s="272"/>
      <c r="P304" s="272"/>
    </row>
    <row r="305" spans="1:16" s="271" customFormat="1" ht="14.25">
      <c r="A305" s="12"/>
      <c r="B305" s="232"/>
      <c r="C305" s="234"/>
      <c r="D305" s="234"/>
      <c r="E305" s="232"/>
      <c r="F305" s="258"/>
      <c r="G305" s="258"/>
      <c r="H305" s="258"/>
      <c r="I305" s="367"/>
      <c r="J305" s="258"/>
      <c r="K305" s="367"/>
      <c r="L305" s="258"/>
      <c r="M305" s="231"/>
      <c r="N305" s="272"/>
      <c r="O305" s="272"/>
      <c r="P305" s="272"/>
    </row>
    <row r="306" spans="1:16" s="271" customFormat="1" ht="14.25">
      <c r="A306" s="12"/>
      <c r="B306" s="232"/>
      <c r="C306" s="234"/>
      <c r="D306" s="234"/>
      <c r="E306" s="232"/>
      <c r="F306" s="258"/>
      <c r="G306" s="258"/>
      <c r="H306" s="258"/>
      <c r="I306" s="367"/>
      <c r="J306" s="258"/>
      <c r="K306" s="367"/>
      <c r="L306" s="258"/>
      <c r="M306" s="231"/>
      <c r="N306" s="272"/>
      <c r="O306" s="272"/>
      <c r="P306" s="272"/>
    </row>
    <row r="307" spans="1:16" s="271" customFormat="1" ht="14.25">
      <c r="A307" s="12"/>
      <c r="B307" s="232"/>
      <c r="C307" s="234"/>
      <c r="D307" s="234"/>
      <c r="E307" s="232"/>
      <c r="F307" s="258"/>
      <c r="G307" s="258"/>
      <c r="H307" s="258"/>
      <c r="I307" s="367"/>
      <c r="J307" s="258"/>
      <c r="K307" s="367"/>
      <c r="L307" s="258"/>
      <c r="M307" s="231"/>
      <c r="N307" s="272"/>
      <c r="O307" s="272"/>
      <c r="P307" s="272"/>
    </row>
    <row r="308" spans="1:16" s="271" customFormat="1" ht="14.25">
      <c r="A308" s="12"/>
      <c r="B308" s="232"/>
      <c r="C308" s="234"/>
      <c r="D308" s="234"/>
      <c r="E308" s="232"/>
      <c r="F308" s="258"/>
      <c r="G308" s="258"/>
      <c r="H308" s="258"/>
      <c r="I308" s="367"/>
      <c r="J308" s="258"/>
      <c r="K308" s="367"/>
      <c r="L308" s="258"/>
      <c r="M308" s="231"/>
      <c r="N308" s="272"/>
      <c r="O308" s="272"/>
      <c r="P308" s="272"/>
    </row>
    <row r="309" spans="1:16" s="271" customFormat="1" ht="14.25">
      <c r="A309" s="12"/>
      <c r="B309" s="232"/>
      <c r="C309" s="234"/>
      <c r="D309" s="234"/>
      <c r="E309" s="232"/>
      <c r="F309" s="258"/>
      <c r="G309" s="258"/>
      <c r="H309" s="258"/>
      <c r="I309" s="367"/>
      <c r="J309" s="258"/>
      <c r="K309" s="367"/>
      <c r="L309" s="258"/>
      <c r="M309" s="231"/>
      <c r="N309" s="272"/>
      <c r="O309" s="272"/>
      <c r="P309" s="272"/>
    </row>
    <row r="310" spans="1:16" s="271" customFormat="1" ht="14.25">
      <c r="A310" s="12"/>
      <c r="B310" s="232"/>
      <c r="C310" s="234"/>
      <c r="D310" s="234"/>
      <c r="E310" s="232"/>
      <c r="F310" s="258"/>
      <c r="G310" s="258"/>
      <c r="H310" s="258"/>
      <c r="I310" s="367"/>
      <c r="J310" s="258"/>
      <c r="K310" s="367"/>
      <c r="L310" s="258"/>
      <c r="M310" s="231"/>
      <c r="N310" s="272"/>
      <c r="O310" s="272"/>
      <c r="P310" s="272"/>
    </row>
    <row r="311" spans="1:16" s="271" customFormat="1" ht="14.25">
      <c r="A311" s="12"/>
      <c r="B311" s="232"/>
      <c r="C311" s="234"/>
      <c r="D311" s="234"/>
      <c r="E311" s="232"/>
      <c r="F311" s="258"/>
      <c r="G311" s="258"/>
      <c r="H311" s="258"/>
      <c r="I311" s="367"/>
      <c r="J311" s="258"/>
      <c r="K311" s="367"/>
      <c r="L311" s="258"/>
      <c r="M311" s="231"/>
      <c r="N311" s="272"/>
      <c r="O311" s="272"/>
      <c r="P311" s="272"/>
    </row>
    <row r="312" spans="1:16" s="271" customFormat="1" ht="14.25">
      <c r="A312" s="12"/>
      <c r="B312" s="232"/>
      <c r="C312" s="234"/>
      <c r="D312" s="234"/>
      <c r="E312" s="232"/>
      <c r="F312" s="258"/>
      <c r="G312" s="258"/>
      <c r="H312" s="258"/>
      <c r="I312" s="367"/>
      <c r="J312" s="258"/>
      <c r="K312" s="367"/>
      <c r="L312" s="258"/>
      <c r="M312" s="231"/>
      <c r="N312" s="272"/>
      <c r="O312" s="272"/>
      <c r="P312" s="272"/>
    </row>
    <row r="313" spans="1:16" s="271" customFormat="1" ht="14.25">
      <c r="A313" s="12"/>
      <c r="B313" s="232"/>
      <c r="C313" s="234"/>
      <c r="D313" s="234"/>
      <c r="E313" s="232"/>
      <c r="F313" s="258"/>
      <c r="G313" s="258"/>
      <c r="H313" s="258"/>
      <c r="I313" s="367"/>
      <c r="J313" s="258"/>
      <c r="K313" s="367"/>
      <c r="L313" s="258"/>
      <c r="M313" s="231"/>
      <c r="N313" s="272"/>
      <c r="O313" s="272"/>
      <c r="P313" s="272"/>
    </row>
    <row r="314" spans="1:16" s="271" customFormat="1" ht="14.25">
      <c r="A314" s="12"/>
      <c r="B314" s="232"/>
      <c r="C314" s="234"/>
      <c r="D314" s="234"/>
      <c r="E314" s="232"/>
      <c r="F314" s="258"/>
      <c r="G314" s="258"/>
      <c r="H314" s="258"/>
      <c r="I314" s="367"/>
      <c r="J314" s="258"/>
      <c r="K314" s="367"/>
      <c r="L314" s="258"/>
      <c r="M314" s="231"/>
      <c r="N314" s="272"/>
      <c r="O314" s="272"/>
      <c r="P314" s="272"/>
    </row>
    <row r="315" spans="1:16" s="271" customFormat="1" ht="14.25">
      <c r="A315" s="12"/>
      <c r="B315" s="232"/>
      <c r="C315" s="234"/>
      <c r="D315" s="234"/>
      <c r="E315" s="232"/>
      <c r="F315" s="258"/>
      <c r="G315" s="258"/>
      <c r="H315" s="258"/>
      <c r="I315" s="367"/>
      <c r="J315" s="258"/>
      <c r="K315" s="367"/>
      <c r="L315" s="258"/>
      <c r="M315" s="231"/>
      <c r="N315" s="272"/>
      <c r="O315" s="272"/>
      <c r="P315" s="272"/>
    </row>
    <row r="316" spans="1:16" s="271" customFormat="1" ht="14.25">
      <c r="A316" s="12"/>
      <c r="B316" s="232"/>
      <c r="C316" s="234"/>
      <c r="D316" s="234"/>
      <c r="E316" s="232"/>
      <c r="F316" s="258"/>
      <c r="G316" s="258"/>
      <c r="H316" s="258"/>
      <c r="I316" s="367"/>
      <c r="J316" s="258"/>
      <c r="K316" s="367"/>
      <c r="L316" s="258"/>
      <c r="M316" s="231"/>
      <c r="N316" s="272"/>
      <c r="O316" s="272"/>
      <c r="P316" s="272"/>
    </row>
    <row r="317" spans="1:16" s="271" customFormat="1" ht="14.25">
      <c r="A317" s="12"/>
      <c r="B317" s="232"/>
      <c r="C317" s="234"/>
      <c r="D317" s="234"/>
      <c r="E317" s="232"/>
      <c r="F317" s="258"/>
      <c r="G317" s="258"/>
      <c r="H317" s="258"/>
      <c r="I317" s="367"/>
      <c r="J317" s="258"/>
      <c r="K317" s="367"/>
      <c r="L317" s="258"/>
      <c r="M317" s="231"/>
      <c r="N317" s="272"/>
      <c r="O317" s="272"/>
      <c r="P317" s="272"/>
    </row>
    <row r="318" spans="1:16" s="271" customFormat="1" ht="14.25">
      <c r="A318" s="12"/>
      <c r="B318" s="232"/>
      <c r="C318" s="234"/>
      <c r="D318" s="234"/>
      <c r="E318" s="232"/>
      <c r="F318" s="258"/>
      <c r="G318" s="258"/>
      <c r="H318" s="258"/>
      <c r="I318" s="367"/>
      <c r="J318" s="258"/>
      <c r="K318" s="367"/>
      <c r="L318" s="258"/>
      <c r="M318" s="231"/>
      <c r="N318" s="272"/>
      <c r="O318" s="272"/>
      <c r="P318" s="272"/>
    </row>
    <row r="319" spans="1:16" s="271" customFormat="1" ht="14.25">
      <c r="A319" s="12"/>
      <c r="B319" s="232"/>
      <c r="C319" s="234"/>
      <c r="D319" s="234"/>
      <c r="E319" s="232"/>
      <c r="F319" s="258"/>
      <c r="G319" s="258"/>
      <c r="H319" s="258"/>
      <c r="I319" s="367"/>
      <c r="J319" s="258"/>
      <c r="K319" s="367"/>
      <c r="L319" s="258"/>
      <c r="M319" s="231"/>
      <c r="N319" s="272"/>
      <c r="O319" s="272"/>
      <c r="P319" s="272"/>
    </row>
    <row r="320" spans="1:16" s="271" customFormat="1" ht="14.25">
      <c r="A320" s="12"/>
      <c r="B320" s="232"/>
      <c r="C320" s="234"/>
      <c r="D320" s="234"/>
      <c r="E320" s="232"/>
      <c r="F320" s="258"/>
      <c r="G320" s="258"/>
      <c r="H320" s="258"/>
      <c r="I320" s="367"/>
      <c r="J320" s="258"/>
      <c r="K320" s="367"/>
      <c r="L320" s="258"/>
      <c r="M320" s="231"/>
      <c r="N320" s="272"/>
      <c r="O320" s="272"/>
      <c r="P320" s="272"/>
    </row>
    <row r="321" spans="1:16" s="271" customFormat="1" ht="14.25">
      <c r="A321" s="12"/>
      <c r="B321" s="232"/>
      <c r="C321" s="234"/>
      <c r="D321" s="234"/>
      <c r="E321" s="232"/>
      <c r="F321" s="258"/>
      <c r="G321" s="258"/>
      <c r="H321" s="258"/>
      <c r="I321" s="367"/>
      <c r="J321" s="258"/>
      <c r="K321" s="367"/>
      <c r="L321" s="258"/>
      <c r="M321" s="231"/>
      <c r="N321" s="272"/>
      <c r="O321" s="272"/>
      <c r="P321" s="272"/>
    </row>
    <row r="322" spans="1:16" s="271" customFormat="1" ht="14.25">
      <c r="A322" s="12"/>
      <c r="B322" s="232"/>
      <c r="C322" s="234"/>
      <c r="D322" s="234"/>
      <c r="E322" s="232"/>
      <c r="F322" s="258"/>
      <c r="G322" s="258"/>
      <c r="H322" s="258"/>
      <c r="I322" s="367"/>
      <c r="J322" s="258"/>
      <c r="K322" s="367"/>
      <c r="L322" s="258"/>
      <c r="M322" s="231"/>
      <c r="N322" s="272"/>
      <c r="O322" s="272"/>
      <c r="P322" s="272"/>
    </row>
    <row r="323" spans="1:16" s="271" customFormat="1" ht="14.25">
      <c r="A323" s="12"/>
      <c r="B323" s="232"/>
      <c r="C323" s="234"/>
      <c r="D323" s="234"/>
      <c r="E323" s="232"/>
      <c r="F323" s="258"/>
      <c r="G323" s="258"/>
      <c r="H323" s="258"/>
      <c r="I323" s="367"/>
      <c r="J323" s="258"/>
      <c r="K323" s="367"/>
      <c r="L323" s="258"/>
      <c r="M323" s="231"/>
      <c r="N323" s="272"/>
      <c r="O323" s="272"/>
      <c r="P323" s="272"/>
    </row>
    <row r="324" spans="1:16" s="271" customFormat="1" ht="14.25">
      <c r="A324" s="12"/>
      <c r="B324" s="232"/>
      <c r="C324" s="234"/>
      <c r="D324" s="234"/>
      <c r="E324" s="232"/>
      <c r="F324" s="258"/>
      <c r="G324" s="258"/>
      <c r="H324" s="258"/>
      <c r="I324" s="367"/>
      <c r="J324" s="258"/>
      <c r="K324" s="367"/>
      <c r="L324" s="258"/>
      <c r="M324" s="231"/>
      <c r="N324" s="272"/>
      <c r="O324" s="272"/>
      <c r="P324" s="272"/>
    </row>
    <row r="325" spans="1:16" s="271" customFormat="1" ht="14.25">
      <c r="A325" s="12"/>
      <c r="B325" s="232"/>
      <c r="C325" s="234"/>
      <c r="D325" s="234"/>
      <c r="E325" s="232"/>
      <c r="F325" s="258"/>
      <c r="G325" s="258"/>
      <c r="H325" s="258"/>
      <c r="I325" s="367"/>
      <c r="J325" s="258"/>
      <c r="K325" s="367"/>
      <c r="L325" s="258"/>
      <c r="M325" s="231"/>
      <c r="N325" s="272"/>
      <c r="O325" s="272"/>
      <c r="P325" s="272"/>
    </row>
    <row r="326" spans="1:16" s="271" customFormat="1" ht="14.25">
      <c r="A326" s="12"/>
      <c r="B326" s="232"/>
      <c r="C326" s="234"/>
      <c r="D326" s="234"/>
      <c r="E326" s="232"/>
      <c r="F326" s="258"/>
      <c r="G326" s="258"/>
      <c r="H326" s="258"/>
      <c r="I326" s="367"/>
      <c r="J326" s="258"/>
      <c r="K326" s="367"/>
      <c r="L326" s="258"/>
      <c r="M326" s="231"/>
      <c r="N326" s="272"/>
      <c r="O326" s="272"/>
      <c r="P326" s="272"/>
    </row>
    <row r="327" spans="1:16" s="271" customFormat="1" ht="14.25">
      <c r="A327" s="12"/>
      <c r="B327" s="232"/>
      <c r="C327" s="234"/>
      <c r="D327" s="234"/>
      <c r="E327" s="232"/>
      <c r="F327" s="258"/>
      <c r="G327" s="258"/>
      <c r="H327" s="258"/>
      <c r="I327" s="367"/>
      <c r="J327" s="258"/>
      <c r="K327" s="367"/>
      <c r="L327" s="258"/>
      <c r="M327" s="231"/>
      <c r="N327" s="272"/>
      <c r="O327" s="272"/>
      <c r="P327" s="272"/>
    </row>
    <row r="328" spans="1:16" s="271" customFormat="1" ht="14.25">
      <c r="A328" s="12"/>
      <c r="B328" s="232"/>
      <c r="C328" s="234"/>
      <c r="D328" s="234"/>
      <c r="E328" s="232"/>
      <c r="F328" s="258"/>
      <c r="G328" s="258"/>
      <c r="H328" s="258"/>
      <c r="I328" s="367"/>
      <c r="J328" s="258"/>
      <c r="K328" s="367"/>
      <c r="L328" s="258"/>
      <c r="M328" s="231"/>
      <c r="N328" s="272"/>
      <c r="O328" s="272"/>
      <c r="P328" s="272"/>
    </row>
    <row r="329" spans="1:16" s="271" customFormat="1" ht="14.25">
      <c r="A329" s="12"/>
      <c r="B329" s="232"/>
      <c r="C329" s="234"/>
      <c r="D329" s="234"/>
      <c r="E329" s="232"/>
      <c r="F329" s="258"/>
      <c r="G329" s="258"/>
      <c r="H329" s="258"/>
      <c r="I329" s="367"/>
      <c r="J329" s="258"/>
      <c r="K329" s="367"/>
      <c r="L329" s="258"/>
      <c r="M329" s="231"/>
      <c r="N329" s="272"/>
      <c r="O329" s="272"/>
      <c r="P329" s="272"/>
    </row>
    <row r="330" spans="1:16" s="271" customFormat="1" ht="14.25">
      <c r="A330" s="12"/>
      <c r="B330" s="232"/>
      <c r="C330" s="234"/>
      <c r="D330" s="234"/>
      <c r="E330" s="232"/>
      <c r="F330" s="258"/>
      <c r="G330" s="258"/>
      <c r="H330" s="258"/>
      <c r="I330" s="367"/>
      <c r="J330" s="258"/>
      <c r="K330" s="367"/>
      <c r="L330" s="258"/>
      <c r="M330" s="231"/>
      <c r="N330" s="272"/>
      <c r="O330" s="272"/>
      <c r="P330" s="272"/>
    </row>
    <row r="331" spans="1:16" s="271" customFormat="1" ht="14.25">
      <c r="A331" s="12"/>
      <c r="B331" s="232"/>
      <c r="C331" s="234"/>
      <c r="D331" s="234"/>
      <c r="E331" s="232"/>
      <c r="F331" s="258"/>
      <c r="G331" s="258"/>
      <c r="H331" s="258"/>
      <c r="I331" s="367"/>
      <c r="J331" s="258"/>
      <c r="K331" s="367"/>
      <c r="L331" s="258"/>
      <c r="M331" s="231"/>
      <c r="N331" s="272"/>
      <c r="O331" s="272"/>
      <c r="P331" s="272"/>
    </row>
    <row r="332" spans="1:16" s="271" customFormat="1" ht="14.25">
      <c r="A332" s="12"/>
      <c r="B332" s="232"/>
      <c r="C332" s="234"/>
      <c r="D332" s="234"/>
      <c r="E332" s="232"/>
      <c r="F332" s="258"/>
      <c r="G332" s="258"/>
      <c r="H332" s="258"/>
      <c r="I332" s="367"/>
      <c r="J332" s="258"/>
      <c r="K332" s="367"/>
      <c r="L332" s="258"/>
      <c r="M332" s="231"/>
      <c r="N332" s="272"/>
      <c r="O332" s="272"/>
      <c r="P332" s="272"/>
    </row>
    <row r="333" spans="1:16" s="271" customFormat="1" ht="14.25">
      <c r="A333" s="12"/>
      <c r="B333" s="232"/>
      <c r="C333" s="234"/>
      <c r="D333" s="234"/>
      <c r="E333" s="232"/>
      <c r="F333" s="258"/>
      <c r="G333" s="258"/>
      <c r="H333" s="258"/>
      <c r="I333" s="367"/>
      <c r="J333" s="258"/>
      <c r="K333" s="367"/>
      <c r="L333" s="258"/>
      <c r="M333" s="231"/>
      <c r="N333" s="272"/>
      <c r="O333" s="272"/>
      <c r="P333" s="272"/>
    </row>
    <row r="334" spans="1:16" s="271" customFormat="1" ht="14.25">
      <c r="A334" s="12"/>
      <c r="B334" s="232"/>
      <c r="C334" s="234"/>
      <c r="D334" s="234"/>
      <c r="E334" s="232"/>
      <c r="F334" s="258"/>
      <c r="G334" s="258"/>
      <c r="H334" s="258"/>
      <c r="I334" s="367"/>
      <c r="J334" s="258"/>
      <c r="K334" s="367"/>
      <c r="L334" s="258"/>
      <c r="M334" s="231"/>
      <c r="N334" s="272"/>
      <c r="O334" s="272"/>
      <c r="P334" s="272"/>
    </row>
    <row r="335" spans="1:16" s="271" customFormat="1" ht="14.25">
      <c r="A335" s="12"/>
      <c r="B335" s="232"/>
      <c r="C335" s="234"/>
      <c r="D335" s="234"/>
      <c r="E335" s="232"/>
      <c r="F335" s="258"/>
      <c r="G335" s="258"/>
      <c r="H335" s="258"/>
      <c r="I335" s="367"/>
      <c r="J335" s="258"/>
      <c r="K335" s="367"/>
      <c r="L335" s="258"/>
      <c r="M335" s="231"/>
      <c r="N335" s="272"/>
      <c r="O335" s="272"/>
      <c r="P335" s="272"/>
    </row>
    <row r="336" spans="1:16" s="271" customFormat="1" ht="14.25">
      <c r="A336" s="12"/>
      <c r="B336" s="232"/>
      <c r="C336" s="234"/>
      <c r="D336" s="234"/>
      <c r="E336" s="232"/>
      <c r="F336" s="258"/>
      <c r="G336" s="258"/>
      <c r="H336" s="258"/>
      <c r="I336" s="367"/>
      <c r="J336" s="258"/>
      <c r="K336" s="367"/>
      <c r="L336" s="258"/>
      <c r="M336" s="231"/>
      <c r="N336" s="272"/>
      <c r="O336" s="272"/>
      <c r="P336" s="272"/>
    </row>
    <row r="337" spans="1:16" s="271" customFormat="1" ht="14.25">
      <c r="A337" s="12"/>
      <c r="B337" s="232"/>
      <c r="C337" s="234"/>
      <c r="D337" s="234"/>
      <c r="E337" s="232"/>
      <c r="F337" s="258"/>
      <c r="G337" s="258"/>
      <c r="H337" s="258"/>
      <c r="I337" s="367"/>
      <c r="J337" s="258"/>
      <c r="K337" s="367"/>
      <c r="L337" s="258"/>
      <c r="M337" s="231"/>
      <c r="N337" s="272"/>
      <c r="O337" s="272"/>
      <c r="P337" s="272"/>
    </row>
    <row r="338" spans="1:16" s="271" customFormat="1" ht="14.25">
      <c r="A338" s="12"/>
      <c r="B338" s="232"/>
      <c r="C338" s="234"/>
      <c r="D338" s="234"/>
      <c r="E338" s="232"/>
      <c r="F338" s="258"/>
      <c r="G338" s="258"/>
      <c r="H338" s="258"/>
      <c r="I338" s="367"/>
      <c r="J338" s="258"/>
      <c r="K338" s="367"/>
      <c r="L338" s="258"/>
      <c r="M338" s="231"/>
      <c r="N338" s="272"/>
      <c r="O338" s="272"/>
      <c r="P338" s="272"/>
    </row>
    <row r="339" spans="1:16" s="271" customFormat="1" ht="14.25">
      <c r="A339" s="12"/>
      <c r="B339" s="232"/>
      <c r="C339" s="234"/>
      <c r="D339" s="234"/>
      <c r="E339" s="232"/>
      <c r="F339" s="258"/>
      <c r="G339" s="258"/>
      <c r="H339" s="258"/>
      <c r="I339" s="367"/>
      <c r="J339" s="258"/>
      <c r="K339" s="367"/>
      <c r="L339" s="258"/>
      <c r="M339" s="231"/>
      <c r="N339" s="272"/>
      <c r="O339" s="272"/>
      <c r="P339" s="272"/>
    </row>
    <row r="340" spans="1:16" s="271" customFormat="1" ht="14.25">
      <c r="A340" s="12"/>
      <c r="B340" s="232"/>
      <c r="C340" s="234"/>
      <c r="D340" s="234"/>
      <c r="E340" s="232"/>
      <c r="F340" s="258"/>
      <c r="G340" s="258"/>
      <c r="H340" s="258"/>
      <c r="I340" s="367"/>
      <c r="J340" s="258"/>
      <c r="K340" s="367"/>
      <c r="L340" s="258"/>
      <c r="M340" s="231"/>
      <c r="N340" s="272"/>
      <c r="O340" s="272"/>
      <c r="P340" s="272"/>
    </row>
    <row r="341" spans="1:16" s="271" customFormat="1" ht="14.25">
      <c r="A341" s="12"/>
      <c r="B341" s="232"/>
      <c r="C341" s="234"/>
      <c r="D341" s="234"/>
      <c r="E341" s="232"/>
      <c r="F341" s="258"/>
      <c r="G341" s="258"/>
      <c r="H341" s="258"/>
      <c r="I341" s="367"/>
      <c r="J341" s="258"/>
      <c r="K341" s="367"/>
      <c r="L341" s="258"/>
      <c r="M341" s="231"/>
      <c r="N341" s="272"/>
      <c r="O341" s="272"/>
      <c r="P341" s="272"/>
    </row>
    <row r="342" spans="1:16" s="271" customFormat="1" ht="14.25">
      <c r="A342" s="12"/>
      <c r="B342" s="232"/>
      <c r="C342" s="234"/>
      <c r="D342" s="234"/>
      <c r="E342" s="232"/>
      <c r="F342" s="258"/>
      <c r="G342" s="258"/>
      <c r="H342" s="258"/>
      <c r="I342" s="367"/>
      <c r="J342" s="258"/>
      <c r="K342" s="367"/>
      <c r="L342" s="258"/>
      <c r="M342" s="231"/>
      <c r="N342" s="272"/>
      <c r="O342" s="272"/>
      <c r="P342" s="272"/>
    </row>
    <row r="343" spans="1:16" s="271" customFormat="1" ht="14.25">
      <c r="A343" s="12"/>
      <c r="B343" s="232"/>
      <c r="C343" s="234"/>
      <c r="D343" s="234"/>
      <c r="E343" s="232"/>
      <c r="F343" s="258"/>
      <c r="G343" s="258"/>
      <c r="H343" s="258"/>
      <c r="I343" s="367"/>
      <c r="J343" s="258"/>
      <c r="K343" s="367"/>
      <c r="L343" s="258"/>
      <c r="M343" s="231"/>
      <c r="N343" s="272"/>
      <c r="O343" s="272"/>
      <c r="P343" s="272"/>
    </row>
    <row r="344" spans="1:16" s="271" customFormat="1" ht="14.25">
      <c r="A344" s="12"/>
      <c r="B344" s="232"/>
      <c r="C344" s="234"/>
      <c r="D344" s="234"/>
      <c r="E344" s="232"/>
      <c r="F344" s="258"/>
      <c r="G344" s="258"/>
      <c r="H344" s="258"/>
      <c r="I344" s="367"/>
      <c r="J344" s="258"/>
      <c r="K344" s="367"/>
      <c r="L344" s="258"/>
      <c r="M344" s="231"/>
      <c r="N344" s="272"/>
      <c r="O344" s="272"/>
      <c r="P344" s="272"/>
    </row>
    <row r="345" spans="1:16" s="271" customFormat="1" ht="14.25">
      <c r="A345" s="29"/>
      <c r="C345" s="272"/>
      <c r="D345" s="272"/>
      <c r="F345" s="231"/>
      <c r="G345" s="231"/>
      <c r="H345" s="231"/>
      <c r="I345" s="307"/>
      <c r="J345" s="231"/>
      <c r="K345" s="307"/>
      <c r="L345" s="231"/>
      <c r="M345" s="231"/>
      <c r="N345" s="272"/>
      <c r="O345" s="272"/>
      <c r="P345" s="272"/>
    </row>
    <row r="346" spans="1:16" s="271" customFormat="1" ht="14.25">
      <c r="A346" s="29"/>
      <c r="C346" s="272"/>
      <c r="D346" s="272"/>
      <c r="F346" s="231"/>
      <c r="G346" s="231"/>
      <c r="H346" s="231"/>
      <c r="I346" s="307"/>
      <c r="J346" s="231"/>
      <c r="K346" s="307"/>
      <c r="L346" s="231"/>
      <c r="M346" s="231"/>
      <c r="N346" s="272"/>
      <c r="O346" s="272"/>
      <c r="P346" s="272"/>
    </row>
    <row r="347" spans="1:16" s="271" customFormat="1" ht="14.25">
      <c r="A347" s="29"/>
      <c r="C347" s="272"/>
      <c r="D347" s="272"/>
      <c r="F347" s="231"/>
      <c r="G347" s="231"/>
      <c r="H347" s="231"/>
      <c r="I347" s="307"/>
      <c r="J347" s="231"/>
      <c r="K347" s="307"/>
      <c r="L347" s="231"/>
      <c r="M347" s="231"/>
      <c r="N347" s="272"/>
      <c r="O347" s="272"/>
      <c r="P347" s="272"/>
    </row>
    <row r="348" spans="1:16" s="271" customFormat="1" ht="14.25">
      <c r="A348" s="29"/>
      <c r="C348" s="272"/>
      <c r="D348" s="272"/>
      <c r="F348" s="231"/>
      <c r="G348" s="231"/>
      <c r="H348" s="231"/>
      <c r="I348" s="307"/>
      <c r="J348" s="231"/>
      <c r="K348" s="307"/>
      <c r="L348" s="231"/>
      <c r="M348" s="231"/>
      <c r="N348" s="272"/>
      <c r="O348" s="272"/>
      <c r="P348" s="272"/>
    </row>
    <row r="392" spans="1:13" ht="15.75">
      <c r="A392" s="272"/>
      <c r="B392" s="29"/>
      <c r="C392" s="183"/>
      <c r="D392" s="183"/>
      <c r="E392" s="29"/>
      <c r="F392" s="27"/>
      <c r="G392" s="27"/>
      <c r="H392" s="27"/>
      <c r="I392" s="103"/>
      <c r="J392" s="27"/>
      <c r="K392" s="103"/>
      <c r="L392" s="27"/>
      <c r="M392" s="27"/>
    </row>
    <row r="393" spans="1:13" ht="15.75">
      <c r="A393" s="272"/>
      <c r="B393" s="29"/>
      <c r="C393" s="183"/>
      <c r="D393" s="183"/>
      <c r="E393" s="29"/>
      <c r="F393" s="27"/>
      <c r="G393" s="27"/>
      <c r="H393" s="27"/>
      <c r="I393" s="103"/>
      <c r="J393" s="27"/>
      <c r="K393" s="103"/>
      <c r="L393" s="27"/>
      <c r="M393" s="27"/>
    </row>
    <row r="394" spans="1:13" ht="15.75">
      <c r="A394" s="272"/>
      <c r="B394" s="29"/>
      <c r="C394" s="183"/>
      <c r="D394" s="183"/>
      <c r="E394" s="29"/>
      <c r="F394" s="27"/>
      <c r="G394" s="27"/>
      <c r="H394" s="27"/>
      <c r="I394" s="103"/>
      <c r="J394" s="27"/>
      <c r="K394" s="103"/>
      <c r="L394" s="27"/>
      <c r="M394" s="27"/>
    </row>
    <row r="395" spans="1:13" ht="15.75">
      <c r="A395" s="272"/>
      <c r="B395" s="29"/>
      <c r="C395" s="183"/>
      <c r="D395" s="183"/>
      <c r="E395" s="29"/>
      <c r="F395" s="27"/>
      <c r="G395" s="27"/>
      <c r="H395" s="27"/>
      <c r="I395" s="103"/>
      <c r="J395" s="27"/>
      <c r="K395" s="103"/>
      <c r="L395" s="27"/>
      <c r="M395" s="27"/>
    </row>
    <row r="396" spans="1:13" ht="15.75">
      <c r="A396" s="272"/>
      <c r="B396" s="29"/>
      <c r="C396" s="183"/>
      <c r="D396" s="183"/>
      <c r="E396" s="29"/>
      <c r="F396" s="27"/>
      <c r="G396" s="27"/>
      <c r="H396" s="27"/>
      <c r="I396" s="103"/>
      <c r="J396" s="27"/>
      <c r="K396" s="103"/>
      <c r="L396" s="27"/>
      <c r="M396" s="27"/>
    </row>
    <row r="397" spans="1:13" ht="15.75">
      <c r="A397" s="272"/>
      <c r="B397" s="29"/>
      <c r="C397" s="183"/>
      <c r="D397" s="183"/>
      <c r="E397" s="29"/>
      <c r="F397" s="27"/>
      <c r="G397" s="27"/>
      <c r="H397" s="27"/>
      <c r="I397" s="103"/>
      <c r="J397" s="27"/>
      <c r="K397" s="103"/>
      <c r="L397" s="27"/>
      <c r="M397" s="27"/>
    </row>
    <row r="398" spans="1:13" ht="15.75">
      <c r="A398" s="272"/>
      <c r="B398" s="29"/>
      <c r="C398" s="183"/>
      <c r="D398" s="183"/>
      <c r="E398" s="29"/>
      <c r="F398" s="27"/>
      <c r="G398" s="27"/>
      <c r="H398" s="27"/>
      <c r="I398" s="103"/>
      <c r="J398" s="27"/>
      <c r="K398" s="103"/>
      <c r="L398" s="27"/>
      <c r="M398" s="27"/>
    </row>
    <row r="399" spans="1:13" ht="15.75">
      <c r="A399" s="272"/>
      <c r="B399" s="29"/>
      <c r="C399" s="183"/>
      <c r="D399" s="183"/>
      <c r="E399" s="29"/>
      <c r="F399" s="27"/>
      <c r="G399" s="27"/>
      <c r="H399" s="27"/>
      <c r="I399" s="103"/>
      <c r="J399" s="27"/>
      <c r="K399" s="103"/>
      <c r="L399" s="27"/>
      <c r="M399" s="27"/>
    </row>
    <row r="400" spans="1:13" ht="15.75">
      <c r="A400" s="272"/>
      <c r="B400" s="29"/>
      <c r="C400" s="183"/>
      <c r="D400" s="183"/>
      <c r="E400" s="29"/>
      <c r="F400" s="27"/>
      <c r="G400" s="27"/>
      <c r="H400" s="27"/>
      <c r="I400" s="103"/>
      <c r="J400" s="27"/>
      <c r="K400" s="103"/>
      <c r="L400" s="27"/>
      <c r="M400" s="27"/>
    </row>
    <row r="401" spans="1:13" ht="15.75">
      <c r="A401" s="272"/>
      <c r="B401" s="29"/>
      <c r="C401" s="183"/>
      <c r="D401" s="183"/>
      <c r="E401" s="29"/>
      <c r="F401" s="27"/>
      <c r="G401" s="27"/>
      <c r="H401" s="27"/>
      <c r="I401" s="103"/>
      <c r="J401" s="27"/>
      <c r="K401" s="103"/>
      <c r="L401" s="27"/>
      <c r="M401" s="27"/>
    </row>
    <row r="402" spans="1:13" ht="15.75">
      <c r="A402" s="272"/>
      <c r="B402" s="29"/>
      <c r="C402" s="183"/>
      <c r="D402" s="183"/>
      <c r="E402" s="29"/>
      <c r="F402" s="27"/>
      <c r="G402" s="27"/>
      <c r="H402" s="27"/>
      <c r="I402" s="103"/>
      <c r="J402" s="27"/>
      <c r="K402" s="103"/>
      <c r="L402" s="27"/>
      <c r="M402" s="27"/>
    </row>
    <row r="403" spans="1:13" ht="15.75">
      <c r="A403" s="272"/>
      <c r="B403" s="29"/>
      <c r="C403" s="183"/>
      <c r="D403" s="183"/>
      <c r="E403" s="29"/>
      <c r="F403" s="27"/>
      <c r="G403" s="27"/>
      <c r="H403" s="27"/>
      <c r="I403" s="103"/>
      <c r="J403" s="27"/>
      <c r="K403" s="103"/>
      <c r="L403" s="27"/>
      <c r="M403" s="27"/>
    </row>
    <row r="404" spans="1:13" ht="15.75">
      <c r="A404" s="272"/>
      <c r="B404" s="29"/>
      <c r="C404" s="183"/>
      <c r="D404" s="183"/>
      <c r="E404" s="29"/>
      <c r="F404" s="27"/>
      <c r="G404" s="27"/>
      <c r="H404" s="27"/>
      <c r="I404" s="103"/>
      <c r="J404" s="27"/>
      <c r="K404" s="103"/>
      <c r="L404" s="27"/>
      <c r="M404" s="27"/>
    </row>
    <row r="405" spans="1:13" ht="15.75">
      <c r="A405" s="272"/>
      <c r="B405" s="29"/>
      <c r="C405" s="183"/>
      <c r="D405" s="183"/>
      <c r="E405" s="29"/>
      <c r="F405" s="27"/>
      <c r="G405" s="27"/>
      <c r="H405" s="27"/>
      <c r="I405" s="103"/>
      <c r="J405" s="27"/>
      <c r="K405" s="103"/>
      <c r="L405" s="27"/>
      <c r="M405" s="27"/>
    </row>
    <row r="406" spans="1:13" ht="15.75">
      <c r="A406" s="272"/>
      <c r="B406" s="29"/>
      <c r="C406" s="183"/>
      <c r="D406" s="183"/>
      <c r="E406" s="29"/>
      <c r="F406" s="27"/>
      <c r="G406" s="27"/>
      <c r="H406" s="27"/>
      <c r="I406" s="103"/>
      <c r="J406" s="27"/>
      <c r="K406" s="103"/>
      <c r="L406" s="27"/>
      <c r="M406" s="27"/>
    </row>
    <row r="407" spans="1:13" ht="15.75">
      <c r="A407" s="272"/>
      <c r="B407" s="29"/>
      <c r="C407" s="183"/>
      <c r="D407" s="183"/>
      <c r="E407" s="29"/>
      <c r="F407" s="27"/>
      <c r="G407" s="27"/>
      <c r="H407" s="27"/>
      <c r="I407" s="103"/>
      <c r="J407" s="27"/>
      <c r="K407" s="103"/>
      <c r="L407" s="27"/>
      <c r="M407" s="27"/>
    </row>
    <row r="408" spans="1:13" ht="15.75">
      <c r="A408" s="272"/>
      <c r="B408" s="29"/>
      <c r="C408" s="183"/>
      <c r="D408" s="183"/>
      <c r="E408" s="29"/>
      <c r="F408" s="27"/>
      <c r="G408" s="27"/>
      <c r="H408" s="27"/>
      <c r="I408" s="103"/>
      <c r="J408" s="27"/>
      <c r="K408" s="103"/>
      <c r="L408" s="27"/>
      <c r="M408" s="27"/>
    </row>
    <row r="409" spans="1:13" ht="15.75">
      <c r="A409" s="272"/>
      <c r="B409" s="29"/>
      <c r="C409" s="183"/>
      <c r="D409" s="183"/>
      <c r="E409" s="29"/>
      <c r="F409" s="27"/>
      <c r="G409" s="27"/>
      <c r="H409" s="27"/>
      <c r="I409" s="103"/>
      <c r="J409" s="27"/>
      <c r="K409" s="103"/>
      <c r="L409" s="27"/>
      <c r="M409" s="27"/>
    </row>
    <row r="410" spans="1:13" ht="15.75">
      <c r="A410" s="272"/>
      <c r="B410" s="29"/>
      <c r="C410" s="183"/>
      <c r="D410" s="183"/>
      <c r="E410" s="29"/>
      <c r="F410" s="27"/>
      <c r="G410" s="27"/>
      <c r="H410" s="27"/>
      <c r="I410" s="103"/>
      <c r="J410" s="27"/>
      <c r="K410" s="103"/>
      <c r="L410" s="27"/>
      <c r="M410" s="27"/>
    </row>
    <row r="411" spans="1:13" ht="15.75">
      <c r="A411" s="272"/>
      <c r="B411" s="29"/>
      <c r="C411" s="183"/>
      <c r="D411" s="183"/>
      <c r="E411" s="29"/>
      <c r="F411" s="27"/>
      <c r="G411" s="27"/>
      <c r="H411" s="27"/>
      <c r="I411" s="103"/>
      <c r="J411" s="27"/>
      <c r="K411" s="103"/>
      <c r="L411" s="27"/>
      <c r="M411" s="27"/>
    </row>
    <row r="412" spans="1:13" ht="15.75">
      <c r="A412" s="272"/>
      <c r="B412" s="29"/>
      <c r="C412" s="183"/>
      <c r="D412" s="183"/>
      <c r="E412" s="29"/>
      <c r="F412" s="27"/>
      <c r="G412" s="27"/>
      <c r="H412" s="27"/>
      <c r="I412" s="103"/>
      <c r="J412" s="27"/>
      <c r="K412" s="103"/>
      <c r="L412" s="27"/>
      <c r="M412" s="27"/>
    </row>
    <row r="413" spans="1:13" ht="15.75">
      <c r="A413" s="272"/>
      <c r="B413" s="29"/>
      <c r="C413" s="183"/>
      <c r="D413" s="183"/>
      <c r="E413" s="29"/>
      <c r="F413" s="27"/>
      <c r="G413" s="27"/>
      <c r="H413" s="27"/>
      <c r="I413" s="103"/>
      <c r="J413" s="27"/>
      <c r="K413" s="103"/>
      <c r="L413" s="27"/>
      <c r="M413" s="27"/>
    </row>
    <row r="414" spans="1:13" ht="15.75">
      <c r="A414" s="272"/>
      <c r="B414" s="29"/>
      <c r="C414" s="183"/>
      <c r="D414" s="183"/>
      <c r="E414" s="29"/>
      <c r="F414" s="27"/>
      <c r="G414" s="27"/>
      <c r="H414" s="27"/>
      <c r="I414" s="103"/>
      <c r="J414" s="27"/>
      <c r="K414" s="103"/>
      <c r="L414" s="27"/>
      <c r="M414" s="27"/>
    </row>
    <row r="415" spans="1:13" ht="15.75">
      <c r="A415" s="272"/>
      <c r="B415" s="29"/>
      <c r="C415" s="183"/>
      <c r="D415" s="183"/>
      <c r="E415" s="29"/>
      <c r="F415" s="27"/>
      <c r="G415" s="27"/>
      <c r="H415" s="27"/>
      <c r="I415" s="103"/>
      <c r="J415" s="27"/>
      <c r="K415" s="103"/>
      <c r="L415" s="27"/>
      <c r="M415" s="27"/>
    </row>
    <row r="416" spans="1:13" ht="15.75">
      <c r="A416" s="272"/>
      <c r="B416" s="29"/>
      <c r="C416" s="183"/>
      <c r="D416" s="183"/>
      <c r="E416" s="29"/>
      <c r="F416" s="27"/>
      <c r="G416" s="27"/>
      <c r="H416" s="27"/>
      <c r="I416" s="103"/>
      <c r="J416" s="27"/>
      <c r="K416" s="103"/>
      <c r="L416" s="27"/>
      <c r="M416" s="27"/>
    </row>
    <row r="417" spans="1:13" ht="15.75">
      <c r="A417" s="272"/>
      <c r="B417" s="29"/>
      <c r="C417" s="183"/>
      <c r="D417" s="183"/>
      <c r="E417" s="29"/>
      <c r="F417" s="27"/>
      <c r="G417" s="27"/>
      <c r="H417" s="27"/>
      <c r="I417" s="103"/>
      <c r="J417" s="27"/>
      <c r="K417" s="103"/>
      <c r="L417" s="27"/>
      <c r="M417" s="27"/>
    </row>
    <row r="418" spans="1:13" ht="15.75">
      <c r="A418" s="272"/>
      <c r="B418" s="29"/>
      <c r="C418" s="183"/>
      <c r="D418" s="183"/>
      <c r="E418" s="29"/>
      <c r="F418" s="27"/>
      <c r="G418" s="27"/>
      <c r="H418" s="27"/>
      <c r="I418" s="103"/>
      <c r="J418" s="27"/>
      <c r="K418" s="103"/>
      <c r="L418" s="27"/>
      <c r="M418" s="27"/>
    </row>
    <row r="419" spans="1:13" ht="15.75">
      <c r="A419" s="272"/>
      <c r="B419" s="29"/>
      <c r="C419" s="183"/>
      <c r="D419" s="183"/>
      <c r="E419" s="29"/>
      <c r="F419" s="27"/>
      <c r="G419" s="27"/>
      <c r="H419" s="27"/>
      <c r="I419" s="103"/>
      <c r="J419" s="27"/>
      <c r="K419" s="103"/>
      <c r="L419" s="27"/>
      <c r="M419" s="27"/>
    </row>
    <row r="420" spans="1:13" ht="15.75">
      <c r="A420" s="272"/>
      <c r="B420" s="29"/>
      <c r="C420" s="183"/>
      <c r="D420" s="183"/>
      <c r="E420" s="29"/>
      <c r="F420" s="27"/>
      <c r="G420" s="27"/>
      <c r="H420" s="27"/>
      <c r="I420" s="103"/>
      <c r="J420" s="27"/>
      <c r="K420" s="103"/>
      <c r="L420" s="27"/>
      <c r="M420" s="27"/>
    </row>
    <row r="421" spans="1:13" ht="15.75">
      <c r="A421" s="272"/>
      <c r="B421" s="29"/>
      <c r="C421" s="183"/>
      <c r="D421" s="183"/>
      <c r="E421" s="29"/>
      <c r="F421" s="27"/>
      <c r="G421" s="27"/>
      <c r="H421" s="27"/>
      <c r="I421" s="103"/>
      <c r="J421" s="27"/>
      <c r="K421" s="103"/>
      <c r="L421" s="27"/>
      <c r="M421" s="27"/>
    </row>
    <row r="422" spans="1:13" ht="15.75">
      <c r="A422" s="272"/>
      <c r="B422" s="29"/>
      <c r="C422" s="183"/>
      <c r="D422" s="183"/>
      <c r="E422" s="29"/>
      <c r="F422" s="27"/>
      <c r="G422" s="27"/>
      <c r="H422" s="27"/>
      <c r="I422" s="103"/>
      <c r="J422" s="27"/>
      <c r="K422" s="103"/>
      <c r="L422" s="27"/>
      <c r="M422" s="27"/>
    </row>
    <row r="423" spans="1:13" ht="15.75">
      <c r="A423" s="272"/>
      <c r="B423" s="29"/>
      <c r="C423" s="183"/>
      <c r="D423" s="183"/>
      <c r="E423" s="29"/>
      <c r="F423" s="27"/>
      <c r="G423" s="27"/>
      <c r="H423" s="27"/>
      <c r="I423" s="103"/>
      <c r="J423" s="27"/>
      <c r="K423" s="103"/>
      <c r="L423" s="27"/>
      <c r="M423" s="27"/>
    </row>
    <row r="424" spans="1:13" ht="15.75">
      <c r="A424" s="272"/>
      <c r="B424" s="29"/>
      <c r="C424" s="183"/>
      <c r="D424" s="183"/>
      <c r="E424" s="29"/>
      <c r="F424" s="27"/>
      <c r="G424" s="27"/>
      <c r="H424" s="27"/>
      <c r="I424" s="103"/>
      <c r="J424" s="27"/>
      <c r="K424" s="103"/>
      <c r="L424" s="27"/>
      <c r="M424" s="27"/>
    </row>
    <row r="425" spans="1:13" ht="15.75">
      <c r="A425" s="272"/>
      <c r="B425" s="29"/>
      <c r="C425" s="183"/>
      <c r="D425" s="183"/>
      <c r="E425" s="29"/>
      <c r="F425" s="27"/>
      <c r="G425" s="27"/>
      <c r="H425" s="27"/>
      <c r="I425" s="103"/>
      <c r="J425" s="27"/>
      <c r="K425" s="103"/>
      <c r="L425" s="27"/>
      <c r="M425" s="27"/>
    </row>
    <row r="426" spans="1:13" ht="15.75">
      <c r="A426" s="272"/>
      <c r="B426" s="29"/>
      <c r="C426" s="183"/>
      <c r="D426" s="183"/>
      <c r="E426" s="29"/>
      <c r="F426" s="27"/>
      <c r="G426" s="27"/>
      <c r="H426" s="27"/>
      <c r="I426" s="103"/>
      <c r="J426" s="27"/>
      <c r="K426" s="103"/>
      <c r="L426" s="27"/>
      <c r="M426" s="27"/>
    </row>
    <row r="427" spans="1:13" ht="15.75">
      <c r="A427" s="272"/>
      <c r="B427" s="29"/>
      <c r="C427" s="183"/>
      <c r="D427" s="183"/>
      <c r="E427" s="29"/>
      <c r="F427" s="27"/>
      <c r="G427" s="27"/>
      <c r="H427" s="27"/>
      <c r="I427" s="103"/>
      <c r="J427" s="27"/>
      <c r="K427" s="103"/>
      <c r="L427" s="27"/>
      <c r="M427" s="27"/>
    </row>
    <row r="428" spans="1:13" ht="15.75">
      <c r="A428" s="272"/>
      <c r="B428" s="29"/>
      <c r="C428" s="183"/>
      <c r="D428" s="183"/>
      <c r="E428" s="29"/>
      <c r="F428" s="27"/>
      <c r="G428" s="27"/>
      <c r="H428" s="27"/>
      <c r="I428" s="103"/>
      <c r="J428" s="27"/>
      <c r="K428" s="103"/>
      <c r="L428" s="27"/>
      <c r="M428" s="27"/>
    </row>
    <row r="429" spans="1:13" ht="15.75">
      <c r="A429" s="272"/>
      <c r="B429" s="29"/>
      <c r="C429" s="183"/>
      <c r="D429" s="183"/>
      <c r="E429" s="29"/>
      <c r="F429" s="27"/>
      <c r="G429" s="27"/>
      <c r="H429" s="27"/>
      <c r="I429" s="103"/>
      <c r="J429" s="27"/>
      <c r="K429" s="103"/>
      <c r="L429" s="27"/>
      <c r="M429" s="27"/>
    </row>
    <row r="430" spans="1:13" ht="15.75">
      <c r="A430" s="272"/>
      <c r="B430" s="29"/>
      <c r="C430" s="183"/>
      <c r="D430" s="183"/>
      <c r="E430" s="29"/>
      <c r="F430" s="27"/>
      <c r="G430" s="27"/>
      <c r="H430" s="27"/>
      <c r="I430" s="103"/>
      <c r="J430" s="27"/>
      <c r="K430" s="103"/>
      <c r="L430" s="27"/>
      <c r="M430" s="27"/>
    </row>
    <row r="431" spans="1:13" ht="15.75">
      <c r="A431" s="272"/>
      <c r="B431" s="29"/>
      <c r="C431" s="183"/>
      <c r="D431" s="183"/>
      <c r="E431" s="29"/>
      <c r="F431" s="27"/>
      <c r="G431" s="27"/>
      <c r="H431" s="27"/>
      <c r="I431" s="103"/>
      <c r="J431" s="27"/>
      <c r="K431" s="103"/>
      <c r="L431" s="27"/>
      <c r="M431" s="27"/>
    </row>
    <row r="432" spans="1:13" ht="15.75">
      <c r="A432" s="272"/>
      <c r="B432" s="29"/>
      <c r="C432" s="183"/>
      <c r="D432" s="183"/>
      <c r="E432" s="29"/>
      <c r="F432" s="27"/>
      <c r="G432" s="27"/>
      <c r="H432" s="27"/>
      <c r="I432" s="103"/>
      <c r="J432" s="27"/>
      <c r="K432" s="103"/>
      <c r="L432" s="27"/>
      <c r="M432" s="27"/>
    </row>
    <row r="433" spans="1:13" ht="15.75">
      <c r="A433" s="272"/>
      <c r="B433" s="29"/>
      <c r="C433" s="183"/>
      <c r="D433" s="183"/>
      <c r="E433" s="29"/>
      <c r="F433" s="27"/>
      <c r="G433" s="27"/>
      <c r="H433" s="27"/>
      <c r="I433" s="103"/>
      <c r="J433" s="27"/>
      <c r="K433" s="103"/>
      <c r="L433" s="27"/>
      <c r="M433" s="27"/>
    </row>
    <row r="434" spans="1:13" ht="15.75">
      <c r="A434" s="272"/>
      <c r="B434" s="29"/>
      <c r="C434" s="183"/>
      <c r="D434" s="183"/>
      <c r="E434" s="29"/>
      <c r="F434" s="27"/>
      <c r="G434" s="27"/>
      <c r="H434" s="27"/>
      <c r="I434" s="103"/>
      <c r="J434" s="27"/>
      <c r="K434" s="103"/>
      <c r="L434" s="27"/>
      <c r="M434" s="27"/>
    </row>
    <row r="435" spans="1:13" ht="15.75">
      <c r="A435" s="272"/>
      <c r="B435" s="29"/>
      <c r="C435" s="183"/>
      <c r="D435" s="183"/>
      <c r="E435" s="29"/>
      <c r="F435" s="27"/>
      <c r="G435" s="27"/>
      <c r="H435" s="27"/>
      <c r="I435" s="103"/>
      <c r="J435" s="27"/>
      <c r="K435" s="103"/>
      <c r="L435" s="27"/>
      <c r="M435" s="27"/>
    </row>
    <row r="436" spans="1:13" ht="15.75">
      <c r="A436" s="272"/>
      <c r="B436" s="29"/>
      <c r="C436" s="183"/>
      <c r="D436" s="183"/>
      <c r="E436" s="29"/>
      <c r="F436" s="27"/>
      <c r="G436" s="27"/>
      <c r="H436" s="27"/>
      <c r="I436" s="103"/>
      <c r="J436" s="27"/>
      <c r="K436" s="103"/>
      <c r="L436" s="27"/>
      <c r="M436" s="27"/>
    </row>
    <row r="437" spans="1:13" ht="15.75">
      <c r="A437" s="272"/>
      <c r="B437" s="29"/>
      <c r="C437" s="183"/>
      <c r="D437" s="183"/>
      <c r="E437" s="29"/>
      <c r="F437" s="27"/>
      <c r="G437" s="27"/>
      <c r="H437" s="27"/>
      <c r="I437" s="103"/>
      <c r="J437" s="27"/>
      <c r="K437" s="103"/>
      <c r="L437" s="27"/>
      <c r="M437" s="27"/>
    </row>
    <row r="438" spans="1:13" ht="15.75">
      <c r="A438" s="272"/>
      <c r="B438" s="29"/>
      <c r="C438" s="183"/>
      <c r="D438" s="183"/>
      <c r="E438" s="29"/>
      <c r="F438" s="27"/>
      <c r="G438" s="27"/>
      <c r="H438" s="27"/>
      <c r="I438" s="103"/>
      <c r="J438" s="27"/>
      <c r="K438" s="103"/>
      <c r="L438" s="27"/>
      <c r="M438" s="27"/>
    </row>
    <row r="439" spans="1:13" ht="15.75">
      <c r="A439" s="272"/>
      <c r="B439" s="29"/>
      <c r="C439" s="183"/>
      <c r="D439" s="183"/>
      <c r="E439" s="29"/>
      <c r="F439" s="27"/>
      <c r="G439" s="27"/>
      <c r="H439" s="27"/>
      <c r="I439" s="103"/>
      <c r="J439" s="27"/>
      <c r="K439" s="103"/>
      <c r="L439" s="27"/>
      <c r="M439" s="27"/>
    </row>
    <row r="440" spans="1:13" ht="15.75">
      <c r="A440" s="272"/>
      <c r="B440" s="29"/>
      <c r="C440" s="183"/>
      <c r="D440" s="183"/>
      <c r="E440" s="29"/>
      <c r="F440" s="27"/>
      <c r="G440" s="27"/>
      <c r="H440" s="27"/>
      <c r="I440" s="103"/>
      <c r="J440" s="27"/>
      <c r="K440" s="103"/>
      <c r="L440" s="27"/>
      <c r="M440" s="27"/>
    </row>
    <row r="441" spans="1:13" ht="15.75">
      <c r="A441" s="272"/>
      <c r="B441" s="29"/>
      <c r="C441" s="183"/>
      <c r="D441" s="183"/>
      <c r="E441" s="29"/>
      <c r="F441" s="27"/>
      <c r="G441" s="27"/>
      <c r="H441" s="27"/>
      <c r="I441" s="103"/>
      <c r="J441" s="27"/>
      <c r="K441" s="103"/>
      <c r="L441" s="27"/>
      <c r="M441" s="27"/>
    </row>
    <row r="442" spans="1:13" ht="15.75">
      <c r="A442" s="272"/>
      <c r="B442" s="29"/>
      <c r="C442" s="183"/>
      <c r="D442" s="183"/>
      <c r="E442" s="29"/>
      <c r="F442" s="27"/>
      <c r="G442" s="27"/>
      <c r="H442" s="27"/>
      <c r="I442" s="103"/>
      <c r="J442" s="27"/>
      <c r="K442" s="103"/>
      <c r="L442" s="27"/>
      <c r="M442" s="27"/>
    </row>
    <row r="443" spans="1:13" ht="15.75">
      <c r="A443" s="272"/>
      <c r="B443" s="29"/>
      <c r="C443" s="183"/>
      <c r="D443" s="183"/>
      <c r="E443" s="29"/>
      <c r="F443" s="27"/>
      <c r="G443" s="27"/>
      <c r="H443" s="27"/>
      <c r="I443" s="103"/>
      <c r="J443" s="27"/>
      <c r="K443" s="103"/>
      <c r="L443" s="27"/>
      <c r="M443" s="27"/>
    </row>
    <row r="444" spans="1:13" ht="15.75">
      <c r="A444" s="272"/>
      <c r="B444" s="29"/>
      <c r="C444" s="183"/>
      <c r="D444" s="183"/>
      <c r="E444" s="29"/>
      <c r="F444" s="27"/>
      <c r="G444" s="27"/>
      <c r="H444" s="27"/>
      <c r="I444" s="103"/>
      <c r="J444" s="27"/>
      <c r="K444" s="103"/>
      <c r="L444" s="27"/>
      <c r="M444" s="27"/>
    </row>
    <row r="445" spans="1:13" ht="15.75">
      <c r="A445" s="272"/>
      <c r="B445" s="29"/>
      <c r="C445" s="183"/>
      <c r="D445" s="183"/>
      <c r="E445" s="29"/>
      <c r="F445" s="27"/>
      <c r="G445" s="27"/>
      <c r="H445" s="27"/>
      <c r="I445" s="103"/>
      <c r="J445" s="27"/>
      <c r="K445" s="103"/>
      <c r="L445" s="27"/>
      <c r="M445" s="27"/>
    </row>
    <row r="446" spans="1:13" ht="15.75">
      <c r="A446" s="272"/>
      <c r="B446" s="29"/>
      <c r="C446" s="183"/>
      <c r="D446" s="183"/>
      <c r="E446" s="29"/>
      <c r="F446" s="27"/>
      <c r="G446" s="27"/>
      <c r="H446" s="27"/>
      <c r="I446" s="103"/>
      <c r="J446" s="27"/>
      <c r="K446" s="103"/>
      <c r="L446" s="27"/>
      <c r="M446" s="27"/>
    </row>
    <row r="447" spans="1:13" ht="15.75">
      <c r="A447" s="272"/>
      <c r="B447" s="29"/>
      <c r="C447" s="183"/>
      <c r="D447" s="183"/>
      <c r="E447" s="29"/>
      <c r="F447" s="27"/>
      <c r="G447" s="27"/>
      <c r="H447" s="27"/>
      <c r="I447" s="103"/>
      <c r="J447" s="27"/>
      <c r="K447" s="103"/>
      <c r="L447" s="27"/>
      <c r="M447" s="27"/>
    </row>
    <row r="448" spans="1:13" ht="15.75">
      <c r="A448" s="272"/>
      <c r="B448" s="29"/>
      <c r="C448" s="183"/>
      <c r="D448" s="183"/>
      <c r="E448" s="29"/>
      <c r="F448" s="27"/>
      <c r="G448" s="27"/>
      <c r="H448" s="27"/>
      <c r="I448" s="103"/>
      <c r="J448" s="27"/>
      <c r="K448" s="103"/>
      <c r="L448" s="27"/>
      <c r="M448" s="27"/>
    </row>
    <row r="449" spans="1:13" ht="15.75">
      <c r="A449" s="272"/>
      <c r="B449" s="29"/>
      <c r="C449" s="183"/>
      <c r="D449" s="183"/>
      <c r="E449" s="29"/>
      <c r="F449" s="27"/>
      <c r="G449" s="27"/>
      <c r="H449" s="27"/>
      <c r="I449" s="103"/>
      <c r="J449" s="27"/>
      <c r="K449" s="103"/>
      <c r="L449" s="27"/>
      <c r="M449" s="27"/>
    </row>
    <row r="450" spans="1:13" ht="15.75">
      <c r="A450" s="272"/>
      <c r="B450" s="29"/>
      <c r="C450" s="183"/>
      <c r="D450" s="183"/>
      <c r="E450" s="29"/>
      <c r="F450" s="27"/>
      <c r="G450" s="27"/>
      <c r="H450" s="27"/>
      <c r="I450" s="103"/>
      <c r="J450" s="27"/>
      <c r="K450" s="103"/>
      <c r="L450" s="27"/>
      <c r="M450" s="27"/>
    </row>
    <row r="451" spans="1:13" ht="15.75">
      <c r="A451" s="272"/>
      <c r="B451" s="29"/>
      <c r="C451" s="183"/>
      <c r="D451" s="183"/>
      <c r="E451" s="29"/>
      <c r="F451" s="27"/>
      <c r="G451" s="27"/>
      <c r="H451" s="27"/>
      <c r="I451" s="103"/>
      <c r="J451" s="27"/>
      <c r="K451" s="103"/>
      <c r="L451" s="27"/>
      <c r="M451" s="27"/>
    </row>
    <row r="452" spans="1:13" ht="15.75">
      <c r="A452" s="272"/>
      <c r="B452" s="29"/>
      <c r="C452" s="183"/>
      <c r="D452" s="183"/>
      <c r="E452" s="29"/>
      <c r="F452" s="27"/>
      <c r="G452" s="27"/>
      <c r="H452" s="27"/>
      <c r="I452" s="103"/>
      <c r="J452" s="27"/>
      <c r="K452" s="103"/>
      <c r="L452" s="27"/>
      <c r="M452" s="27"/>
    </row>
    <row r="453" spans="1:13" ht="15.75">
      <c r="A453" s="272"/>
      <c r="B453" s="29"/>
      <c r="C453" s="183"/>
      <c r="D453" s="183"/>
      <c r="E453" s="29"/>
      <c r="F453" s="27"/>
      <c r="G453" s="27"/>
      <c r="H453" s="27"/>
      <c r="I453" s="103"/>
      <c r="J453" s="27"/>
      <c r="K453" s="103"/>
      <c r="L453" s="27"/>
      <c r="M453" s="27"/>
    </row>
    <row r="454" spans="1:13" ht="15.75">
      <c r="A454" s="272"/>
      <c r="B454" s="29"/>
      <c r="C454" s="183"/>
      <c r="D454" s="183"/>
      <c r="E454" s="29"/>
      <c r="F454" s="27"/>
      <c r="G454" s="27"/>
      <c r="H454" s="27"/>
      <c r="I454" s="103"/>
      <c r="J454" s="27"/>
      <c r="K454" s="103"/>
      <c r="L454" s="27"/>
      <c r="M454" s="27"/>
    </row>
    <row r="455" spans="1:13" ht="15.75">
      <c r="A455" s="272"/>
      <c r="B455" s="29"/>
      <c r="C455" s="183"/>
      <c r="D455" s="183"/>
      <c r="E455" s="29"/>
      <c r="F455" s="27"/>
      <c r="G455" s="27"/>
      <c r="H455" s="27"/>
      <c r="I455" s="103"/>
      <c r="J455" s="27"/>
      <c r="K455" s="103"/>
      <c r="L455" s="27"/>
      <c r="M455" s="27"/>
    </row>
    <row r="456" spans="1:13" ht="15.75">
      <c r="A456" s="272"/>
      <c r="B456" s="29"/>
      <c r="C456" s="183"/>
      <c r="D456" s="183"/>
      <c r="E456" s="29"/>
      <c r="F456" s="27"/>
      <c r="G456" s="27"/>
      <c r="H456" s="27"/>
      <c r="I456" s="103"/>
      <c r="J456" s="27"/>
      <c r="K456" s="103"/>
      <c r="L456" s="27"/>
      <c r="M456" s="27"/>
    </row>
    <row r="457" spans="1:13" ht="15.75">
      <c r="A457" s="272"/>
      <c r="B457" s="29"/>
      <c r="C457" s="183"/>
      <c r="D457" s="183"/>
      <c r="E457" s="29"/>
      <c r="F457" s="27"/>
      <c r="G457" s="27"/>
      <c r="H457" s="27"/>
      <c r="I457" s="103"/>
      <c r="J457" s="27"/>
      <c r="K457" s="103"/>
      <c r="L457" s="27"/>
      <c r="M457" s="27"/>
    </row>
    <row r="458" spans="1:13" ht="15.75">
      <c r="A458" s="272"/>
      <c r="B458" s="29"/>
      <c r="C458" s="183"/>
      <c r="D458" s="183"/>
      <c r="E458" s="29"/>
      <c r="F458" s="27"/>
      <c r="G458" s="27"/>
      <c r="H458" s="27"/>
      <c r="I458" s="103"/>
      <c r="J458" s="27"/>
      <c r="K458" s="103"/>
      <c r="L458" s="27"/>
      <c r="M458" s="27"/>
    </row>
    <row r="459" spans="1:13" ht="15.75">
      <c r="A459" s="272"/>
      <c r="B459" s="29"/>
      <c r="C459" s="183"/>
      <c r="D459" s="183"/>
      <c r="E459" s="29"/>
      <c r="F459" s="27"/>
      <c r="G459" s="27"/>
      <c r="H459" s="27"/>
      <c r="I459" s="103"/>
      <c r="J459" s="27"/>
      <c r="K459" s="103"/>
      <c r="L459" s="27"/>
      <c r="M459" s="27"/>
    </row>
    <row r="460" spans="1:13" ht="15.75">
      <c r="A460" s="272"/>
      <c r="B460" s="29"/>
      <c r="C460" s="183"/>
      <c r="D460" s="183"/>
      <c r="E460" s="29"/>
      <c r="F460" s="27"/>
      <c r="G460" s="27"/>
      <c r="H460" s="27"/>
      <c r="I460" s="103"/>
      <c r="J460" s="27"/>
      <c r="K460" s="103"/>
      <c r="L460" s="27"/>
      <c r="M460" s="27"/>
    </row>
    <row r="461" spans="1:13" ht="15.75">
      <c r="A461" s="272"/>
      <c r="B461" s="29"/>
      <c r="C461" s="183"/>
      <c r="D461" s="183"/>
      <c r="E461" s="29"/>
      <c r="F461" s="27"/>
      <c r="G461" s="27"/>
      <c r="H461" s="27"/>
      <c r="I461" s="103"/>
      <c r="J461" s="27"/>
      <c r="K461" s="103"/>
      <c r="L461" s="27"/>
      <c r="M461" s="27"/>
    </row>
    <row r="462" spans="1:13" ht="15.75">
      <c r="A462" s="272"/>
      <c r="B462" s="29"/>
      <c r="C462" s="183"/>
      <c r="D462" s="183"/>
      <c r="E462" s="29"/>
      <c r="F462" s="27"/>
      <c r="G462" s="27"/>
      <c r="H462" s="27"/>
      <c r="I462" s="103"/>
      <c r="J462" s="27"/>
      <c r="K462" s="103"/>
      <c r="L462" s="27"/>
      <c r="M462" s="27"/>
    </row>
    <row r="463" spans="1:13" ht="15.75">
      <c r="A463" s="272"/>
      <c r="B463" s="29"/>
      <c r="C463" s="183"/>
      <c r="D463" s="183"/>
      <c r="E463" s="29"/>
      <c r="F463" s="27"/>
      <c r="G463" s="27"/>
      <c r="H463" s="27"/>
      <c r="I463" s="103"/>
      <c r="J463" s="27"/>
      <c r="K463" s="103"/>
      <c r="L463" s="27"/>
      <c r="M463" s="27"/>
    </row>
    <row r="464" spans="1:13" ht="15.75">
      <c r="A464" s="272"/>
      <c r="B464" s="29"/>
      <c r="C464" s="183"/>
      <c r="D464" s="183"/>
      <c r="E464" s="29"/>
      <c r="F464" s="27"/>
      <c r="G464" s="27"/>
      <c r="H464" s="27"/>
      <c r="I464" s="103"/>
      <c r="J464" s="27"/>
      <c r="K464" s="103"/>
      <c r="L464" s="27"/>
      <c r="M464" s="27"/>
    </row>
    <row r="465" spans="1:13" ht="15.75">
      <c r="A465" s="272"/>
      <c r="B465" s="29"/>
      <c r="C465" s="183"/>
      <c r="D465" s="183"/>
      <c r="E465" s="29"/>
      <c r="F465" s="27"/>
      <c r="G465" s="27"/>
      <c r="H465" s="27"/>
      <c r="I465" s="103"/>
      <c r="J465" s="27"/>
      <c r="K465" s="103"/>
      <c r="L465" s="27"/>
      <c r="M465" s="27"/>
    </row>
    <row r="466" spans="1:13" ht="15.75">
      <c r="A466" s="272"/>
      <c r="B466" s="29"/>
      <c r="C466" s="183"/>
      <c r="D466" s="183"/>
      <c r="E466" s="29"/>
      <c r="F466" s="27"/>
      <c r="G466" s="27"/>
      <c r="H466" s="27"/>
      <c r="I466" s="103"/>
      <c r="J466" s="27"/>
      <c r="K466" s="103"/>
      <c r="L466" s="27"/>
      <c r="M466" s="27"/>
    </row>
    <row r="467" spans="1:13" ht="15.75">
      <c r="A467" s="272"/>
      <c r="B467" s="29"/>
      <c r="C467" s="183"/>
      <c r="D467" s="183"/>
      <c r="E467" s="29"/>
      <c r="F467" s="27"/>
      <c r="G467" s="27"/>
      <c r="H467" s="27"/>
      <c r="I467" s="103"/>
      <c r="J467" s="27"/>
      <c r="K467" s="103"/>
      <c r="L467" s="27"/>
      <c r="M467" s="27"/>
    </row>
    <row r="468" spans="1:13" ht="15.75">
      <c r="A468" s="272"/>
      <c r="B468" s="29"/>
      <c r="C468" s="183"/>
      <c r="D468" s="183"/>
      <c r="E468" s="29"/>
      <c r="F468" s="27"/>
      <c r="G468" s="27"/>
      <c r="H468" s="27"/>
      <c r="I468" s="103"/>
      <c r="J468" s="27"/>
      <c r="K468" s="103"/>
      <c r="L468" s="27"/>
      <c r="M468" s="27"/>
    </row>
    <row r="469" spans="1:13" ht="15.75">
      <c r="A469" s="272"/>
      <c r="B469" s="29"/>
      <c r="C469" s="183"/>
      <c r="D469" s="183"/>
      <c r="E469" s="29"/>
      <c r="F469" s="27"/>
      <c r="G469" s="27"/>
      <c r="H469" s="27"/>
      <c r="I469" s="103"/>
      <c r="J469" s="27"/>
      <c r="K469" s="103"/>
      <c r="L469" s="27"/>
      <c r="M469" s="27"/>
    </row>
    <row r="470" spans="1:13" ht="15.75">
      <c r="A470" s="272"/>
      <c r="B470" s="29"/>
      <c r="C470" s="183"/>
      <c r="D470" s="183"/>
      <c r="E470" s="29"/>
      <c r="F470" s="27"/>
      <c r="G470" s="27"/>
      <c r="H470" s="27"/>
      <c r="I470" s="103"/>
      <c r="J470" s="27"/>
      <c r="K470" s="103"/>
      <c r="L470" s="27"/>
      <c r="M470" s="27"/>
    </row>
    <row r="471" spans="1:13" ht="15.75">
      <c r="A471" s="272"/>
      <c r="B471" s="29"/>
      <c r="C471" s="183"/>
      <c r="D471" s="183"/>
      <c r="E471" s="29"/>
      <c r="F471" s="27"/>
      <c r="G471" s="27"/>
      <c r="H471" s="27"/>
      <c r="I471" s="103"/>
      <c r="J471" s="27"/>
      <c r="K471" s="103"/>
      <c r="L471" s="27"/>
      <c r="M471" s="27"/>
    </row>
    <row r="472" spans="1:13" ht="15.75">
      <c r="A472" s="272"/>
      <c r="B472" s="29"/>
      <c r="C472" s="183"/>
      <c r="D472" s="183"/>
      <c r="E472" s="29"/>
      <c r="F472" s="27"/>
      <c r="G472" s="27"/>
      <c r="H472" s="27"/>
      <c r="I472" s="103"/>
      <c r="J472" s="27"/>
      <c r="K472" s="103"/>
      <c r="L472" s="27"/>
      <c r="M472" s="27"/>
    </row>
    <row r="473" spans="1:13" ht="15.75">
      <c r="A473" s="272"/>
      <c r="B473" s="29"/>
      <c r="C473" s="183"/>
      <c r="D473" s="183"/>
      <c r="E473" s="29"/>
      <c r="F473" s="27"/>
      <c r="G473" s="27"/>
      <c r="H473" s="27"/>
      <c r="I473" s="103"/>
      <c r="J473" s="27"/>
      <c r="K473" s="103"/>
      <c r="L473" s="27"/>
      <c r="M473" s="27"/>
    </row>
    <row r="474" spans="1:13" ht="15.75">
      <c r="A474" s="272"/>
      <c r="B474" s="29"/>
      <c r="C474" s="183"/>
      <c r="D474" s="183"/>
      <c r="E474" s="29"/>
      <c r="F474" s="27"/>
      <c r="G474" s="27"/>
      <c r="H474" s="27"/>
      <c r="I474" s="103"/>
      <c r="J474" s="27"/>
      <c r="K474" s="103"/>
      <c r="L474" s="27"/>
      <c r="M474" s="27"/>
    </row>
    <row r="475" spans="1:13" ht="15.75">
      <c r="A475" s="272"/>
      <c r="B475" s="29"/>
      <c r="C475" s="183"/>
      <c r="D475" s="183"/>
      <c r="E475" s="29"/>
      <c r="F475" s="27"/>
      <c r="G475" s="27"/>
      <c r="H475" s="27"/>
      <c r="I475" s="103"/>
      <c r="J475" s="27"/>
      <c r="K475" s="103"/>
      <c r="L475" s="27"/>
      <c r="M475" s="27"/>
    </row>
    <row r="476" spans="1:13" ht="15.75">
      <c r="A476" s="272"/>
      <c r="B476" s="29"/>
      <c r="C476" s="183"/>
      <c r="D476" s="183"/>
      <c r="E476" s="29"/>
      <c r="F476" s="27"/>
      <c r="G476" s="27"/>
      <c r="H476" s="27"/>
      <c r="I476" s="103"/>
      <c r="J476" s="27"/>
      <c r="K476" s="103"/>
      <c r="L476" s="27"/>
      <c r="M476" s="27"/>
    </row>
    <row r="477" spans="1:13" ht="15.75">
      <c r="A477" s="272"/>
      <c r="B477" s="29"/>
      <c r="C477" s="183"/>
      <c r="D477" s="183"/>
      <c r="E477" s="29"/>
      <c r="F477" s="27"/>
      <c r="G477" s="27"/>
      <c r="H477" s="27"/>
      <c r="I477" s="103"/>
      <c r="J477" s="27"/>
      <c r="K477" s="103"/>
      <c r="L477" s="27"/>
      <c r="M477" s="27"/>
    </row>
    <row r="478" spans="1:13" ht="15.75">
      <c r="A478" s="272"/>
      <c r="B478" s="29"/>
      <c r="C478" s="183"/>
      <c r="D478" s="183"/>
      <c r="E478" s="29"/>
      <c r="F478" s="27"/>
      <c r="G478" s="27"/>
      <c r="H478" s="27"/>
      <c r="I478" s="103"/>
      <c r="J478" s="27"/>
      <c r="K478" s="103"/>
      <c r="L478" s="27"/>
      <c r="M478" s="27"/>
    </row>
    <row r="479" spans="1:13" ht="15.75">
      <c r="A479" s="272"/>
      <c r="B479" s="29"/>
      <c r="C479" s="183"/>
      <c r="D479" s="183"/>
      <c r="E479" s="29"/>
      <c r="F479" s="27"/>
      <c r="G479" s="27"/>
      <c r="H479" s="27"/>
      <c r="I479" s="103"/>
      <c r="J479" s="27"/>
      <c r="K479" s="103"/>
      <c r="L479" s="27"/>
      <c r="M479" s="27"/>
    </row>
    <row r="480" spans="1:13" ht="15.75">
      <c r="A480" s="272"/>
      <c r="B480" s="29"/>
      <c r="C480" s="183"/>
      <c r="D480" s="183"/>
      <c r="E480" s="29"/>
      <c r="F480" s="27"/>
      <c r="G480" s="27"/>
      <c r="H480" s="27"/>
      <c r="I480" s="103"/>
      <c r="J480" s="27"/>
      <c r="K480" s="103"/>
      <c r="L480" s="27"/>
      <c r="M480" s="27"/>
    </row>
    <row r="481" spans="1:13" ht="15.75">
      <c r="A481" s="272"/>
      <c r="B481" s="29"/>
      <c r="C481" s="183"/>
      <c r="D481" s="183"/>
      <c r="E481" s="29"/>
      <c r="F481" s="27"/>
      <c r="G481" s="27"/>
      <c r="H481" s="27"/>
      <c r="I481" s="103"/>
      <c r="J481" s="27"/>
      <c r="K481" s="103"/>
      <c r="L481" s="27"/>
      <c r="M481" s="27"/>
    </row>
    <row r="482" spans="1:13" ht="15.75">
      <c r="A482" s="272"/>
      <c r="B482" s="29"/>
      <c r="C482" s="183"/>
      <c r="D482" s="183"/>
      <c r="E482" s="29"/>
      <c r="F482" s="27"/>
      <c r="G482" s="27"/>
      <c r="H482" s="27"/>
      <c r="I482" s="103"/>
      <c r="J482" s="27"/>
      <c r="K482" s="103"/>
      <c r="L482" s="27"/>
      <c r="M482" s="27"/>
    </row>
    <row r="483" spans="1:13" ht="15.75">
      <c r="A483" s="272"/>
      <c r="B483" s="29"/>
      <c r="C483" s="183"/>
      <c r="D483" s="183"/>
      <c r="E483" s="29"/>
      <c r="F483" s="27"/>
      <c r="G483" s="27"/>
      <c r="H483" s="27"/>
      <c r="I483" s="103"/>
      <c r="J483" s="27"/>
      <c r="K483" s="103"/>
      <c r="L483" s="27"/>
      <c r="M483" s="27"/>
    </row>
    <row r="484" spans="1:13" ht="15.75">
      <c r="A484" s="272"/>
      <c r="B484" s="29"/>
      <c r="C484" s="183"/>
      <c r="D484" s="183"/>
      <c r="E484" s="29"/>
      <c r="F484" s="27"/>
      <c r="G484" s="27"/>
      <c r="H484" s="27"/>
      <c r="I484" s="103"/>
      <c r="J484" s="27"/>
      <c r="K484" s="103"/>
      <c r="L484" s="27"/>
      <c r="M484" s="27"/>
    </row>
    <row r="485" spans="1:13" ht="15.75">
      <c r="A485" s="272"/>
      <c r="B485" s="29"/>
      <c r="C485" s="183"/>
      <c r="D485" s="183"/>
      <c r="E485" s="29"/>
      <c r="F485" s="27"/>
      <c r="G485" s="27"/>
      <c r="H485" s="27"/>
      <c r="I485" s="103"/>
      <c r="J485" s="27"/>
      <c r="K485" s="103"/>
      <c r="L485" s="27"/>
      <c r="M485" s="27"/>
    </row>
    <row r="486" spans="1:13" ht="15.75">
      <c r="A486" s="272"/>
      <c r="B486" s="29"/>
      <c r="C486" s="183"/>
      <c r="D486" s="183"/>
      <c r="E486" s="29"/>
      <c r="F486" s="27"/>
      <c r="G486" s="27"/>
      <c r="H486" s="27"/>
      <c r="I486" s="103"/>
      <c r="J486" s="27"/>
      <c r="K486" s="103"/>
      <c r="L486" s="27"/>
      <c r="M486" s="27"/>
    </row>
    <row r="487" spans="1:13" ht="15.75">
      <c r="A487" s="272"/>
      <c r="B487" s="29"/>
      <c r="C487" s="183"/>
      <c r="D487" s="183"/>
      <c r="E487" s="29"/>
      <c r="F487" s="27"/>
      <c r="G487" s="27"/>
      <c r="H487" s="27"/>
      <c r="I487" s="103"/>
      <c r="J487" s="27"/>
      <c r="K487" s="103"/>
      <c r="L487" s="27"/>
      <c r="M487" s="27"/>
    </row>
    <row r="488" spans="1:13" ht="15.75">
      <c r="A488" s="272"/>
      <c r="B488" s="29"/>
      <c r="C488" s="183"/>
      <c r="D488" s="183"/>
      <c r="E488" s="29"/>
      <c r="F488" s="27"/>
      <c r="G488" s="27"/>
      <c r="H488" s="27"/>
      <c r="I488" s="103"/>
      <c r="J488" s="27"/>
      <c r="K488" s="103"/>
      <c r="L488" s="27"/>
      <c r="M488" s="27"/>
    </row>
    <row r="489" spans="1:13" ht="15.75">
      <c r="A489" s="272"/>
      <c r="B489" s="29"/>
      <c r="C489" s="183"/>
      <c r="D489" s="183"/>
      <c r="E489" s="29"/>
      <c r="F489" s="27"/>
      <c r="G489" s="27"/>
      <c r="H489" s="27"/>
      <c r="I489" s="103"/>
      <c r="J489" s="27"/>
      <c r="K489" s="103"/>
      <c r="L489" s="27"/>
      <c r="M489" s="27"/>
    </row>
    <row r="490" spans="1:13" ht="15.75">
      <c r="A490" s="272"/>
      <c r="B490" s="29"/>
      <c r="C490" s="183"/>
      <c r="D490" s="183"/>
      <c r="E490" s="29"/>
      <c r="F490" s="27"/>
      <c r="G490" s="27"/>
      <c r="H490" s="27"/>
      <c r="I490" s="103"/>
      <c r="J490" s="27"/>
      <c r="K490" s="103"/>
      <c r="L490" s="27"/>
      <c r="M490" s="27"/>
    </row>
    <row r="491" spans="1:13" ht="15.75">
      <c r="A491" s="272"/>
      <c r="B491" s="29"/>
      <c r="C491" s="183"/>
      <c r="D491" s="183"/>
      <c r="E491" s="29"/>
      <c r="F491" s="27"/>
      <c r="G491" s="27"/>
      <c r="H491" s="27"/>
      <c r="I491" s="103"/>
      <c r="J491" s="27"/>
      <c r="K491" s="103"/>
      <c r="L491" s="27"/>
      <c r="M491" s="27"/>
    </row>
    <row r="492" spans="1:13" ht="15.75">
      <c r="A492" s="272"/>
      <c r="B492" s="29"/>
      <c r="C492" s="183"/>
      <c r="D492" s="183"/>
      <c r="E492" s="29"/>
      <c r="F492" s="27"/>
      <c r="G492" s="27"/>
      <c r="H492" s="27"/>
      <c r="I492" s="103"/>
      <c r="J492" s="27"/>
      <c r="K492" s="103"/>
      <c r="L492" s="27"/>
      <c r="M492" s="27"/>
    </row>
    <row r="493" spans="1:13" ht="15.75">
      <c r="A493" s="272"/>
      <c r="B493" s="29"/>
      <c r="C493" s="183"/>
      <c r="D493" s="183"/>
      <c r="E493" s="29"/>
      <c r="F493" s="27"/>
      <c r="G493" s="27"/>
      <c r="H493" s="27"/>
      <c r="I493" s="103"/>
      <c r="J493" s="27"/>
      <c r="K493" s="103"/>
      <c r="L493" s="27"/>
      <c r="M493" s="27"/>
    </row>
    <row r="494" spans="1:13" ht="15.75">
      <c r="A494" s="272"/>
      <c r="B494" s="29"/>
      <c r="C494" s="183"/>
      <c r="D494" s="183"/>
      <c r="E494" s="29"/>
      <c r="F494" s="27"/>
      <c r="G494" s="27"/>
      <c r="H494" s="27"/>
      <c r="I494" s="103"/>
      <c r="J494" s="27"/>
      <c r="K494" s="103"/>
      <c r="L494" s="27"/>
      <c r="M494" s="27"/>
    </row>
    <row r="495" spans="1:13" ht="15.75">
      <c r="A495" s="272"/>
      <c r="B495" s="29"/>
      <c r="C495" s="183"/>
      <c r="D495" s="183"/>
      <c r="E495" s="29"/>
      <c r="F495" s="27"/>
      <c r="G495" s="27"/>
      <c r="H495" s="27"/>
      <c r="I495" s="103"/>
      <c r="J495" s="27"/>
      <c r="K495" s="103"/>
      <c r="L495" s="27"/>
      <c r="M495" s="27"/>
    </row>
    <row r="496" spans="1:13" ht="15.75">
      <c r="A496" s="272"/>
      <c r="B496" s="29"/>
      <c r="C496" s="183"/>
      <c r="D496" s="183"/>
      <c r="E496" s="29"/>
      <c r="F496" s="27"/>
      <c r="G496" s="27"/>
      <c r="H496" s="27"/>
      <c r="I496" s="103"/>
      <c r="J496" s="27"/>
      <c r="K496" s="103"/>
      <c r="L496" s="27"/>
      <c r="M496" s="27"/>
    </row>
    <row r="497" spans="1:13" ht="15.75">
      <c r="A497" s="272"/>
      <c r="B497" s="29"/>
      <c r="C497" s="183"/>
      <c r="D497" s="183"/>
      <c r="E497" s="29"/>
      <c r="F497" s="27"/>
      <c r="G497" s="27"/>
      <c r="H497" s="27"/>
      <c r="I497" s="103"/>
      <c r="J497" s="27"/>
      <c r="K497" s="103"/>
      <c r="L497" s="27"/>
      <c r="M497" s="27"/>
    </row>
    <row r="498" spans="1:13" ht="15.75">
      <c r="A498" s="272"/>
      <c r="B498" s="29"/>
      <c r="C498" s="183"/>
      <c r="D498" s="183"/>
      <c r="E498" s="29"/>
      <c r="F498" s="27"/>
      <c r="G498" s="27"/>
      <c r="H498" s="27"/>
      <c r="I498" s="103"/>
      <c r="J498" s="27"/>
      <c r="K498" s="103"/>
      <c r="L498" s="27"/>
      <c r="M498" s="27"/>
    </row>
    <row r="499" spans="1:13" ht="15.75">
      <c r="A499" s="272"/>
      <c r="B499" s="29"/>
      <c r="C499" s="183"/>
      <c r="D499" s="183"/>
      <c r="E499" s="29"/>
      <c r="F499" s="27"/>
      <c r="G499" s="27"/>
      <c r="H499" s="27"/>
      <c r="I499" s="103"/>
      <c r="J499" s="27"/>
      <c r="K499" s="103"/>
      <c r="L499" s="27"/>
      <c r="M499" s="27"/>
    </row>
    <row r="500" spans="1:13" ht="15.75">
      <c r="A500" s="272"/>
      <c r="B500" s="29"/>
      <c r="C500" s="183"/>
      <c r="D500" s="183"/>
      <c r="E500" s="29"/>
      <c r="F500" s="27"/>
      <c r="G500" s="27"/>
      <c r="H500" s="27"/>
      <c r="I500" s="103"/>
      <c r="J500" s="27"/>
      <c r="K500" s="103"/>
      <c r="L500" s="27"/>
      <c r="M500" s="27"/>
    </row>
    <row r="501" spans="1:13" ht="15.75">
      <c r="A501" s="272"/>
      <c r="B501" s="29"/>
      <c r="C501" s="183"/>
      <c r="D501" s="183"/>
      <c r="E501" s="29"/>
      <c r="F501" s="27"/>
      <c r="G501" s="27"/>
      <c r="H501" s="27"/>
      <c r="I501" s="103"/>
      <c r="J501" s="27"/>
      <c r="K501" s="103"/>
      <c r="L501" s="27"/>
      <c r="M501" s="27"/>
    </row>
    <row r="502" spans="1:13" ht="15.75">
      <c r="A502" s="272"/>
      <c r="B502" s="29"/>
      <c r="C502" s="183"/>
      <c r="D502" s="183"/>
      <c r="E502" s="29"/>
      <c r="F502" s="27"/>
      <c r="G502" s="27"/>
      <c r="H502" s="27"/>
      <c r="I502" s="103"/>
      <c r="J502" s="27"/>
      <c r="K502" s="103"/>
      <c r="L502" s="27"/>
      <c r="M502" s="27"/>
    </row>
    <row r="503" spans="1:13" ht="15.75">
      <c r="A503" s="272"/>
      <c r="B503" s="29"/>
      <c r="C503" s="183"/>
      <c r="D503" s="183"/>
      <c r="E503" s="29"/>
      <c r="F503" s="27"/>
      <c r="G503" s="27"/>
      <c r="H503" s="27"/>
      <c r="I503" s="103"/>
      <c r="J503" s="27"/>
      <c r="K503" s="103"/>
      <c r="L503" s="27"/>
      <c r="M503" s="27"/>
    </row>
    <row r="504" spans="1:13" ht="15.75">
      <c r="A504" s="272"/>
      <c r="B504" s="29"/>
      <c r="C504" s="183"/>
      <c r="D504" s="183"/>
      <c r="E504" s="29"/>
      <c r="F504" s="27"/>
      <c r="G504" s="27"/>
      <c r="H504" s="27"/>
      <c r="I504" s="103"/>
      <c r="J504" s="27"/>
      <c r="K504" s="103"/>
      <c r="L504" s="27"/>
      <c r="M504" s="27"/>
    </row>
    <row r="505" spans="1:13" ht="15.75">
      <c r="A505" s="272"/>
      <c r="B505" s="29"/>
      <c r="C505" s="183"/>
      <c r="D505" s="183"/>
      <c r="E505" s="29"/>
      <c r="F505" s="27"/>
      <c r="G505" s="27"/>
      <c r="H505" s="27"/>
      <c r="I505" s="103"/>
      <c r="J505" s="27"/>
      <c r="K505" s="103"/>
      <c r="L505" s="27"/>
      <c r="M505" s="27"/>
    </row>
    <row r="506" spans="1:13" ht="15.75">
      <c r="A506" s="272"/>
      <c r="B506" s="29"/>
      <c r="C506" s="183"/>
      <c r="D506" s="183"/>
      <c r="E506" s="29"/>
      <c r="F506" s="27"/>
      <c r="G506" s="27"/>
      <c r="H506" s="27"/>
      <c r="I506" s="103"/>
      <c r="J506" s="27"/>
      <c r="K506" s="103"/>
      <c r="L506" s="27"/>
      <c r="M506" s="27"/>
    </row>
    <row r="507" spans="1:13" ht="15.75">
      <c r="A507" s="272"/>
      <c r="B507" s="29"/>
      <c r="C507" s="183"/>
      <c r="D507" s="183"/>
      <c r="E507" s="29"/>
      <c r="F507" s="27"/>
      <c r="G507" s="27"/>
      <c r="H507" s="27"/>
      <c r="I507" s="103"/>
      <c r="J507" s="27"/>
      <c r="K507" s="103"/>
      <c r="L507" s="27"/>
      <c r="M507" s="27"/>
    </row>
    <row r="508" spans="1:13" ht="15.75">
      <c r="A508" s="272"/>
      <c r="B508" s="29"/>
      <c r="C508" s="183"/>
      <c r="D508" s="183"/>
      <c r="E508" s="29"/>
      <c r="F508" s="27"/>
      <c r="G508" s="27"/>
      <c r="H508" s="27"/>
      <c r="I508" s="103"/>
      <c r="J508" s="27"/>
      <c r="K508" s="103"/>
      <c r="L508" s="27"/>
      <c r="M508" s="27"/>
    </row>
    <row r="509" spans="1:13" ht="15.75">
      <c r="A509" s="272"/>
      <c r="B509" s="29"/>
      <c r="C509" s="183"/>
      <c r="D509" s="183"/>
      <c r="E509" s="29"/>
      <c r="F509" s="27"/>
      <c r="G509" s="27"/>
      <c r="H509" s="27"/>
      <c r="I509" s="103"/>
      <c r="J509" s="27"/>
      <c r="K509" s="103"/>
      <c r="L509" s="27"/>
      <c r="M509" s="27"/>
    </row>
    <row r="510" spans="1:13" ht="15.75">
      <c r="A510" s="272"/>
      <c r="B510" s="29"/>
      <c r="C510" s="183"/>
      <c r="D510" s="183"/>
      <c r="E510" s="29"/>
      <c r="F510" s="27"/>
      <c r="G510" s="27"/>
      <c r="H510" s="27"/>
      <c r="I510" s="103"/>
      <c r="J510" s="27"/>
      <c r="K510" s="103"/>
      <c r="L510" s="27"/>
      <c r="M510" s="27"/>
    </row>
    <row r="511" spans="1:13" ht="15.75">
      <c r="A511" s="272"/>
      <c r="B511" s="29"/>
      <c r="C511" s="183"/>
      <c r="D511" s="183"/>
      <c r="E511" s="29"/>
      <c r="F511" s="27"/>
      <c r="G511" s="27"/>
      <c r="H511" s="27"/>
      <c r="I511" s="103"/>
      <c r="J511" s="27"/>
      <c r="K511" s="103"/>
      <c r="L511" s="27"/>
      <c r="M511" s="27"/>
    </row>
    <row r="512" spans="1:13" ht="15.75">
      <c r="A512" s="272"/>
      <c r="B512" s="29"/>
      <c r="C512" s="183"/>
      <c r="D512" s="183"/>
      <c r="E512" s="29"/>
      <c r="F512" s="27"/>
      <c r="G512" s="27"/>
      <c r="H512" s="27"/>
      <c r="I512" s="103"/>
      <c r="J512" s="27"/>
      <c r="K512" s="103"/>
      <c r="L512" s="27"/>
      <c r="M512" s="27"/>
    </row>
    <row r="513" spans="1:13" ht="15.75">
      <c r="A513" s="272"/>
      <c r="B513" s="29"/>
      <c r="C513" s="183"/>
      <c r="D513" s="183"/>
      <c r="E513" s="29"/>
      <c r="F513" s="27"/>
      <c r="G513" s="27"/>
      <c r="H513" s="27"/>
      <c r="I513" s="103"/>
      <c r="J513" s="27"/>
      <c r="K513" s="103"/>
      <c r="L513" s="27"/>
      <c r="M513" s="27"/>
    </row>
    <row r="514" spans="1:13" ht="15.75">
      <c r="A514" s="272"/>
      <c r="B514" s="29"/>
      <c r="C514" s="183"/>
      <c r="D514" s="183"/>
      <c r="E514" s="29"/>
      <c r="F514" s="27"/>
      <c r="G514" s="27"/>
      <c r="H514" s="27"/>
      <c r="I514" s="103"/>
      <c r="J514" s="27"/>
      <c r="K514" s="103"/>
      <c r="L514" s="27"/>
      <c r="M514" s="27"/>
    </row>
    <row r="515" spans="1:13" ht="15.75">
      <c r="A515" s="272"/>
      <c r="B515" s="29"/>
      <c r="C515" s="183"/>
      <c r="D515" s="183"/>
      <c r="E515" s="29"/>
      <c r="F515" s="27"/>
      <c r="G515" s="27"/>
      <c r="H515" s="27"/>
      <c r="I515" s="103"/>
      <c r="J515" s="27"/>
      <c r="K515" s="103"/>
      <c r="L515" s="27"/>
      <c r="M515" s="27"/>
    </row>
    <row r="516" spans="1:13" ht="15.75">
      <c r="A516" s="272"/>
      <c r="B516" s="29"/>
      <c r="C516" s="183"/>
      <c r="D516" s="183"/>
      <c r="E516" s="29"/>
      <c r="F516" s="27"/>
      <c r="G516" s="27"/>
      <c r="H516" s="27"/>
      <c r="I516" s="103"/>
      <c r="J516" s="27"/>
      <c r="K516" s="103"/>
      <c r="L516" s="27"/>
      <c r="M516" s="27"/>
    </row>
    <row r="517" spans="1:13" ht="15.75">
      <c r="A517" s="272"/>
      <c r="B517" s="29"/>
      <c r="C517" s="183"/>
      <c r="D517" s="183"/>
      <c r="E517" s="29"/>
      <c r="F517" s="27"/>
      <c r="G517" s="27"/>
      <c r="H517" s="27"/>
      <c r="I517" s="103"/>
      <c r="J517" s="27"/>
      <c r="K517" s="103"/>
      <c r="L517" s="27"/>
      <c r="M517" s="27"/>
    </row>
    <row r="518" spans="1:13" ht="15.75">
      <c r="A518" s="272"/>
      <c r="B518" s="29"/>
      <c r="C518" s="183"/>
      <c r="D518" s="183"/>
      <c r="E518" s="29"/>
      <c r="F518" s="27"/>
      <c r="G518" s="27"/>
      <c r="H518" s="27"/>
      <c r="I518" s="103"/>
      <c r="J518" s="27"/>
      <c r="K518" s="103"/>
      <c r="L518" s="27"/>
      <c r="M518" s="27"/>
    </row>
    <row r="519" spans="1:13" ht="15.75">
      <c r="A519" s="272"/>
      <c r="B519" s="29"/>
      <c r="C519" s="183"/>
      <c r="D519" s="183"/>
      <c r="E519" s="29"/>
      <c r="F519" s="27"/>
      <c r="G519" s="27"/>
      <c r="H519" s="27"/>
      <c r="I519" s="103"/>
      <c r="J519" s="27"/>
      <c r="K519" s="103"/>
      <c r="L519" s="27"/>
      <c r="M519" s="27"/>
    </row>
    <row r="520" spans="1:13" ht="15.75">
      <c r="A520" s="272"/>
      <c r="B520" s="29"/>
      <c r="C520" s="183"/>
      <c r="D520" s="183"/>
      <c r="E520" s="29"/>
      <c r="F520" s="27"/>
      <c r="G520" s="27"/>
      <c r="H520" s="27"/>
      <c r="I520" s="103"/>
      <c r="J520" s="27"/>
      <c r="K520" s="103"/>
      <c r="L520" s="27"/>
      <c r="M520" s="27"/>
    </row>
    <row r="521" spans="1:13" ht="15.75">
      <c r="A521" s="272"/>
      <c r="B521" s="29"/>
      <c r="C521" s="183"/>
      <c r="D521" s="183"/>
      <c r="E521" s="29"/>
      <c r="F521" s="27"/>
      <c r="G521" s="27"/>
      <c r="H521" s="27"/>
      <c r="I521" s="103"/>
      <c r="J521" s="27"/>
      <c r="K521" s="103"/>
      <c r="L521" s="27"/>
      <c r="M521" s="27"/>
    </row>
    <row r="522" spans="1:13" ht="15.75">
      <c r="A522" s="272"/>
      <c r="B522" s="29"/>
      <c r="C522" s="183"/>
      <c r="D522" s="183"/>
      <c r="E522" s="29"/>
      <c r="F522" s="27"/>
      <c r="G522" s="27"/>
      <c r="H522" s="27"/>
      <c r="I522" s="103"/>
      <c r="J522" s="27"/>
      <c r="K522" s="103"/>
      <c r="L522" s="27"/>
      <c r="M522" s="27"/>
    </row>
    <row r="523" spans="1:13" ht="15.75">
      <c r="A523" s="272"/>
      <c r="B523" s="29"/>
      <c r="C523" s="183"/>
      <c r="D523" s="183"/>
      <c r="E523" s="29"/>
      <c r="F523" s="27"/>
      <c r="G523" s="27"/>
      <c r="H523" s="27"/>
      <c r="I523" s="103"/>
      <c r="J523" s="27"/>
      <c r="K523" s="103"/>
      <c r="L523" s="27"/>
      <c r="M523" s="27"/>
    </row>
    <row r="524" spans="1:13" ht="15.75">
      <c r="A524" s="272"/>
      <c r="B524" s="29"/>
      <c r="C524" s="183"/>
      <c r="D524" s="183"/>
      <c r="E524" s="29"/>
      <c r="F524" s="27"/>
      <c r="G524" s="27"/>
      <c r="H524" s="27"/>
      <c r="I524" s="103"/>
      <c r="J524" s="27"/>
      <c r="K524" s="103"/>
      <c r="L524" s="27"/>
      <c r="M524" s="27"/>
    </row>
    <row r="525" spans="1:13" ht="15.75">
      <c r="A525" s="272"/>
      <c r="B525" s="29"/>
      <c r="C525" s="183"/>
      <c r="D525" s="183"/>
      <c r="E525" s="29"/>
      <c r="F525" s="27"/>
      <c r="G525" s="27"/>
      <c r="H525" s="27"/>
      <c r="I525" s="103"/>
      <c r="J525" s="27"/>
      <c r="K525" s="103"/>
      <c r="L525" s="27"/>
      <c r="M525" s="27"/>
    </row>
    <row r="526" spans="1:13" ht="15.75">
      <c r="A526" s="272"/>
      <c r="B526" s="29"/>
      <c r="C526" s="183"/>
      <c r="D526" s="183"/>
      <c r="E526" s="29"/>
      <c r="F526" s="27"/>
      <c r="G526" s="27"/>
      <c r="H526" s="27"/>
      <c r="I526" s="103"/>
      <c r="J526" s="27"/>
      <c r="K526" s="103"/>
      <c r="L526" s="27"/>
      <c r="M526" s="27"/>
    </row>
    <row r="527" spans="1:13" ht="15.75">
      <c r="A527" s="272"/>
      <c r="B527" s="29"/>
      <c r="C527" s="183"/>
      <c r="D527" s="183"/>
      <c r="E527" s="29"/>
      <c r="F527" s="27"/>
      <c r="G527" s="27"/>
      <c r="H527" s="27"/>
      <c r="I527" s="103"/>
      <c r="J527" s="27"/>
      <c r="K527" s="103"/>
      <c r="L527" s="27"/>
      <c r="M527" s="27"/>
    </row>
    <row r="528" spans="1:13" ht="15.75">
      <c r="A528" s="272"/>
      <c r="B528" s="29"/>
      <c r="C528" s="183"/>
      <c r="D528" s="183"/>
      <c r="E528" s="29"/>
      <c r="F528" s="27"/>
      <c r="G528" s="27"/>
      <c r="H528" s="27"/>
      <c r="I528" s="103"/>
      <c r="J528" s="27"/>
      <c r="K528" s="103"/>
      <c r="L528" s="27"/>
      <c r="M528" s="27"/>
    </row>
    <row r="529" spans="1:13" ht="15.75">
      <c r="A529" s="272"/>
      <c r="B529" s="29"/>
      <c r="C529" s="183"/>
      <c r="D529" s="183"/>
      <c r="E529" s="29"/>
      <c r="F529" s="27"/>
      <c r="G529" s="27"/>
      <c r="H529" s="27"/>
      <c r="I529" s="103"/>
      <c r="J529" s="27"/>
      <c r="K529" s="103"/>
      <c r="L529" s="27"/>
      <c r="M529" s="27"/>
    </row>
    <row r="530" spans="1:13" ht="15.75">
      <c r="A530" s="272"/>
      <c r="B530" s="29"/>
      <c r="C530" s="183"/>
      <c r="D530" s="183"/>
      <c r="E530" s="29"/>
      <c r="F530" s="27"/>
      <c r="G530" s="27"/>
      <c r="H530" s="27"/>
      <c r="I530" s="103"/>
      <c r="J530" s="27"/>
      <c r="K530" s="103"/>
      <c r="L530" s="27"/>
      <c r="M530" s="27"/>
    </row>
    <row r="531" spans="1:13" ht="15.75">
      <c r="A531" s="272"/>
      <c r="B531" s="29"/>
      <c r="C531" s="183"/>
      <c r="D531" s="183"/>
      <c r="E531" s="29"/>
      <c r="F531" s="27"/>
      <c r="G531" s="27"/>
      <c r="H531" s="27"/>
      <c r="I531" s="103"/>
      <c r="J531" s="27"/>
      <c r="K531" s="103"/>
      <c r="L531" s="27"/>
      <c r="M531" s="27"/>
    </row>
    <row r="532" spans="1:13" ht="15.75">
      <c r="A532" s="272"/>
      <c r="B532" s="29"/>
      <c r="C532" s="183"/>
      <c r="D532" s="183"/>
      <c r="E532" s="29"/>
      <c r="F532" s="27"/>
      <c r="G532" s="27"/>
      <c r="H532" s="27"/>
      <c r="I532" s="103"/>
      <c r="J532" s="27"/>
      <c r="K532" s="103"/>
      <c r="L532" s="27"/>
      <c r="M532" s="27"/>
    </row>
    <row r="533" spans="1:13" ht="15.75">
      <c r="A533" s="272"/>
      <c r="B533" s="29"/>
      <c r="C533" s="183"/>
      <c r="D533" s="183"/>
      <c r="E533" s="29"/>
      <c r="F533" s="27"/>
      <c r="G533" s="27"/>
      <c r="H533" s="27"/>
      <c r="I533" s="103"/>
      <c r="J533" s="27"/>
      <c r="K533" s="103"/>
      <c r="L533" s="27"/>
      <c r="M533" s="27"/>
    </row>
    <row r="534" spans="1:13" ht="15.75">
      <c r="A534" s="272"/>
      <c r="B534" s="29"/>
      <c r="C534" s="183"/>
      <c r="D534" s="183"/>
      <c r="E534" s="29"/>
      <c r="F534" s="27"/>
      <c r="G534" s="27"/>
      <c r="H534" s="27"/>
      <c r="I534" s="103"/>
      <c r="J534" s="27"/>
      <c r="K534" s="103"/>
      <c r="L534" s="27"/>
      <c r="M534" s="27"/>
    </row>
    <row r="535" spans="1:13" ht="15.75">
      <c r="A535" s="272"/>
      <c r="B535" s="29"/>
      <c r="C535" s="183"/>
      <c r="D535" s="183"/>
      <c r="E535" s="29"/>
      <c r="F535" s="27"/>
      <c r="G535" s="27"/>
      <c r="H535" s="27"/>
      <c r="I535" s="103"/>
      <c r="J535" s="27"/>
      <c r="K535" s="103"/>
      <c r="L535" s="27"/>
      <c r="M535" s="27"/>
    </row>
    <row r="536" spans="1:13" ht="15.75">
      <c r="A536" s="272"/>
      <c r="B536" s="29"/>
      <c r="C536" s="183"/>
      <c r="D536" s="183"/>
      <c r="E536" s="29"/>
      <c r="F536" s="27"/>
      <c r="G536" s="27"/>
      <c r="H536" s="27"/>
      <c r="I536" s="103"/>
      <c r="J536" s="27"/>
      <c r="K536" s="103"/>
      <c r="L536" s="27"/>
      <c r="M536" s="27"/>
    </row>
    <row r="537" spans="1:13" ht="15.75">
      <c r="A537" s="272"/>
      <c r="B537" s="29"/>
      <c r="C537" s="183"/>
      <c r="D537" s="183"/>
      <c r="E537" s="29"/>
      <c r="F537" s="27"/>
      <c r="G537" s="27"/>
      <c r="H537" s="27"/>
      <c r="I537" s="103"/>
      <c r="J537" s="27"/>
      <c r="K537" s="103"/>
      <c r="L537" s="27"/>
      <c r="M537" s="27"/>
    </row>
    <row r="538" spans="1:13" ht="15.75">
      <c r="A538" s="272"/>
      <c r="B538" s="29"/>
      <c r="C538" s="183"/>
      <c r="D538" s="183"/>
      <c r="E538" s="29"/>
      <c r="F538" s="27"/>
      <c r="G538" s="27"/>
      <c r="H538" s="27"/>
      <c r="I538" s="103"/>
      <c r="J538" s="27"/>
      <c r="K538" s="103"/>
      <c r="L538" s="27"/>
      <c r="M538" s="27"/>
    </row>
    <row r="539" spans="1:13" ht="15.75">
      <c r="A539" s="272"/>
      <c r="B539" s="29"/>
      <c r="C539" s="183"/>
      <c r="D539" s="183"/>
      <c r="E539" s="29"/>
      <c r="F539" s="27"/>
      <c r="G539" s="27"/>
      <c r="H539" s="27"/>
      <c r="I539" s="103"/>
      <c r="J539" s="27"/>
      <c r="K539" s="103"/>
      <c r="L539" s="27"/>
      <c r="M539" s="27"/>
    </row>
    <row r="540" spans="1:13" ht="15.75">
      <c r="A540" s="272"/>
      <c r="B540" s="29"/>
      <c r="C540" s="183"/>
      <c r="D540" s="183"/>
      <c r="E540" s="29"/>
      <c r="F540" s="27"/>
      <c r="G540" s="27"/>
      <c r="H540" s="27"/>
      <c r="I540" s="103"/>
      <c r="J540" s="27"/>
      <c r="K540" s="103"/>
      <c r="L540" s="27"/>
      <c r="M540" s="27"/>
    </row>
    <row r="541" spans="1:13" ht="15.75">
      <c r="A541" s="272"/>
      <c r="B541" s="29"/>
      <c r="C541" s="183"/>
      <c r="D541" s="183"/>
      <c r="E541" s="29"/>
      <c r="F541" s="27"/>
      <c r="G541" s="27"/>
      <c r="H541" s="27"/>
      <c r="I541" s="103"/>
      <c r="J541" s="27"/>
      <c r="K541" s="103"/>
      <c r="L541" s="27"/>
      <c r="M541" s="27"/>
    </row>
    <row r="542" spans="1:13" ht="15.75">
      <c r="A542" s="272"/>
      <c r="B542" s="29"/>
      <c r="C542" s="183"/>
      <c r="D542" s="183"/>
      <c r="E542" s="29"/>
      <c r="F542" s="27"/>
      <c r="G542" s="27"/>
      <c r="H542" s="27"/>
      <c r="I542" s="103"/>
      <c r="J542" s="27"/>
      <c r="K542" s="103"/>
      <c r="L542" s="27"/>
      <c r="M542" s="27"/>
    </row>
    <row r="543" spans="1:13" ht="15.75">
      <c r="A543" s="272"/>
      <c r="B543" s="29"/>
      <c r="C543" s="183"/>
      <c r="D543" s="183"/>
      <c r="E543" s="29"/>
      <c r="F543" s="27"/>
      <c r="G543" s="27"/>
      <c r="H543" s="27"/>
      <c r="I543" s="103"/>
      <c r="J543" s="27"/>
      <c r="K543" s="103"/>
      <c r="L543" s="27"/>
      <c r="M543" s="27"/>
    </row>
    <row r="544" spans="1:13" ht="15.75">
      <c r="A544" s="272"/>
      <c r="B544" s="29"/>
      <c r="C544" s="183"/>
      <c r="D544" s="183"/>
      <c r="E544" s="29"/>
      <c r="F544" s="27"/>
      <c r="G544" s="27"/>
      <c r="H544" s="27"/>
      <c r="I544" s="103"/>
      <c r="J544" s="27"/>
      <c r="K544" s="103"/>
      <c r="L544" s="27"/>
      <c r="M544" s="27"/>
    </row>
    <row r="545" spans="1:13" ht="15.75">
      <c r="A545" s="272"/>
      <c r="B545" s="29"/>
      <c r="C545" s="183"/>
      <c r="D545" s="183"/>
      <c r="E545" s="29"/>
      <c r="F545" s="27"/>
      <c r="G545" s="27"/>
      <c r="H545" s="27"/>
      <c r="I545" s="103"/>
      <c r="J545" s="27"/>
      <c r="K545" s="103"/>
      <c r="L545" s="27"/>
      <c r="M545" s="27"/>
    </row>
    <row r="546" spans="1:13" ht="15.75">
      <c r="A546" s="272"/>
      <c r="B546" s="29"/>
      <c r="C546" s="183"/>
      <c r="D546" s="183"/>
      <c r="E546" s="29"/>
      <c r="F546" s="27"/>
      <c r="G546" s="27"/>
      <c r="H546" s="27"/>
      <c r="I546" s="103"/>
      <c r="J546" s="27"/>
      <c r="K546" s="103"/>
      <c r="L546" s="27"/>
      <c r="M546" s="27"/>
    </row>
    <row r="547" spans="1:13" ht="15.75">
      <c r="A547" s="272"/>
      <c r="B547" s="29"/>
      <c r="C547" s="183"/>
      <c r="D547" s="183"/>
      <c r="E547" s="29"/>
      <c r="F547" s="27"/>
      <c r="G547" s="27"/>
      <c r="H547" s="27"/>
      <c r="I547" s="103"/>
      <c r="J547" s="27"/>
      <c r="K547" s="103"/>
      <c r="L547" s="27"/>
      <c r="M547" s="27"/>
    </row>
    <row r="548" spans="1:13" ht="15.75">
      <c r="A548" s="272"/>
      <c r="B548" s="29"/>
      <c r="C548" s="183"/>
      <c r="D548" s="183"/>
      <c r="E548" s="29"/>
      <c r="F548" s="27"/>
      <c r="G548" s="27"/>
      <c r="H548" s="27"/>
      <c r="I548" s="103"/>
      <c r="J548" s="27"/>
      <c r="K548" s="103"/>
      <c r="L548" s="27"/>
      <c r="M548" s="27"/>
    </row>
    <row r="549" spans="1:13" ht="15.75">
      <c r="A549" s="272"/>
      <c r="B549" s="29"/>
      <c r="C549" s="183"/>
      <c r="D549" s="183"/>
      <c r="E549" s="29"/>
      <c r="F549" s="27"/>
      <c r="G549" s="27"/>
      <c r="H549" s="27"/>
      <c r="I549" s="103"/>
      <c r="J549" s="27"/>
      <c r="K549" s="103"/>
      <c r="L549" s="27"/>
      <c r="M549" s="27"/>
    </row>
    <row r="550" spans="1:13" ht="15.75">
      <c r="A550" s="272"/>
      <c r="B550" s="29"/>
      <c r="C550" s="183"/>
      <c r="D550" s="183"/>
      <c r="E550" s="29"/>
      <c r="F550" s="27"/>
      <c r="G550" s="27"/>
      <c r="H550" s="27"/>
      <c r="I550" s="103"/>
      <c r="J550" s="27"/>
      <c r="K550" s="103"/>
      <c r="L550" s="27"/>
      <c r="M550" s="27"/>
    </row>
    <row r="551" spans="1:13" ht="15.75">
      <c r="A551" s="272"/>
      <c r="B551" s="29"/>
      <c r="C551" s="183"/>
      <c r="D551" s="183"/>
      <c r="E551" s="29"/>
      <c r="F551" s="27"/>
      <c r="G551" s="27"/>
      <c r="H551" s="27"/>
      <c r="I551" s="103"/>
      <c r="J551" s="27"/>
      <c r="K551" s="103"/>
      <c r="L551" s="27"/>
      <c r="M551" s="27"/>
    </row>
    <row r="552" spans="1:13" ht="15.75">
      <c r="A552" s="272"/>
      <c r="B552" s="29"/>
      <c r="C552" s="183"/>
      <c r="D552" s="183"/>
      <c r="E552" s="29"/>
      <c r="F552" s="27"/>
      <c r="G552" s="27"/>
      <c r="H552" s="27"/>
      <c r="I552" s="103"/>
      <c r="J552" s="27"/>
      <c r="K552" s="103"/>
      <c r="L552" s="27"/>
      <c r="M552" s="27"/>
    </row>
    <row r="553" spans="1:13" ht="15.75">
      <c r="A553" s="272"/>
      <c r="B553" s="29"/>
      <c r="C553" s="183"/>
      <c r="D553" s="183"/>
      <c r="E553" s="29"/>
      <c r="F553" s="27"/>
      <c r="G553" s="27"/>
      <c r="H553" s="27"/>
      <c r="I553" s="103"/>
      <c r="J553" s="27"/>
      <c r="K553" s="103"/>
      <c r="L553" s="27"/>
      <c r="M553" s="27"/>
    </row>
    <row r="554" spans="1:13" ht="15.75">
      <c r="A554" s="272"/>
      <c r="B554" s="29"/>
      <c r="C554" s="183"/>
      <c r="D554" s="183"/>
      <c r="E554" s="29"/>
      <c r="F554" s="27"/>
      <c r="G554" s="27"/>
      <c r="H554" s="27"/>
      <c r="I554" s="103"/>
      <c r="J554" s="27"/>
      <c r="K554" s="103"/>
      <c r="L554" s="27"/>
      <c r="M554" s="27"/>
    </row>
    <row r="555" spans="1:13" ht="15.75">
      <c r="A555" s="272"/>
      <c r="B555" s="29"/>
      <c r="C555" s="183"/>
      <c r="D555" s="183"/>
      <c r="E555" s="29"/>
      <c r="F555" s="27"/>
      <c r="G555" s="27"/>
      <c r="H555" s="27"/>
      <c r="I555" s="103"/>
      <c r="J555" s="27"/>
      <c r="K555" s="103"/>
      <c r="L555" s="27"/>
      <c r="M555" s="27"/>
    </row>
    <row r="556" spans="1:13" ht="15.75">
      <c r="A556" s="272"/>
      <c r="B556" s="29"/>
      <c r="C556" s="183"/>
      <c r="D556" s="183"/>
      <c r="E556" s="29"/>
      <c r="F556" s="27"/>
      <c r="G556" s="27"/>
      <c r="H556" s="27"/>
      <c r="I556" s="103"/>
      <c r="J556" s="27"/>
      <c r="K556" s="103"/>
      <c r="L556" s="27"/>
      <c r="M556" s="27"/>
    </row>
    <row r="557" spans="1:13" ht="15.75">
      <c r="A557" s="272"/>
      <c r="B557" s="29"/>
      <c r="C557" s="183"/>
      <c r="D557" s="183"/>
      <c r="E557" s="29"/>
      <c r="F557" s="27"/>
      <c r="G557" s="27"/>
      <c r="H557" s="27"/>
      <c r="I557" s="103"/>
      <c r="J557" s="27"/>
      <c r="K557" s="103"/>
      <c r="L557" s="27"/>
      <c r="M557" s="27"/>
    </row>
    <row r="558" spans="1:13" ht="15.75">
      <c r="A558" s="272"/>
      <c r="B558" s="29"/>
      <c r="C558" s="183"/>
      <c r="D558" s="183"/>
      <c r="E558" s="29"/>
      <c r="F558" s="27"/>
      <c r="G558" s="27"/>
      <c r="H558" s="27"/>
      <c r="I558" s="103"/>
      <c r="J558" s="27"/>
      <c r="K558" s="103"/>
      <c r="L558" s="27"/>
      <c r="M558" s="27"/>
    </row>
    <row r="559" spans="1:13" ht="15.75">
      <c r="A559" s="272"/>
      <c r="B559" s="29"/>
      <c r="C559" s="183"/>
      <c r="D559" s="183"/>
      <c r="E559" s="29"/>
      <c r="F559" s="27"/>
      <c r="G559" s="27"/>
      <c r="H559" s="27"/>
      <c r="I559" s="103"/>
      <c r="J559" s="27"/>
      <c r="K559" s="103"/>
      <c r="L559" s="27"/>
      <c r="M559" s="27"/>
    </row>
    <row r="560" spans="1:13" ht="15.75">
      <c r="A560" s="272"/>
      <c r="B560" s="29"/>
      <c r="C560" s="183"/>
      <c r="D560" s="183"/>
      <c r="E560" s="29"/>
      <c r="F560" s="27"/>
      <c r="G560" s="27"/>
      <c r="H560" s="27"/>
      <c r="I560" s="103"/>
      <c r="J560" s="27"/>
      <c r="K560" s="103"/>
      <c r="L560" s="27"/>
      <c r="M560" s="27"/>
    </row>
    <row r="561" spans="1:13" ht="15.75">
      <c r="A561" s="272"/>
      <c r="B561" s="29"/>
      <c r="C561" s="183"/>
      <c r="D561" s="183"/>
      <c r="E561" s="29"/>
      <c r="F561" s="27"/>
      <c r="G561" s="27"/>
      <c r="H561" s="27"/>
      <c r="I561" s="103"/>
      <c r="J561" s="27"/>
      <c r="K561" s="103"/>
      <c r="L561" s="27"/>
      <c r="M561" s="27"/>
    </row>
    <row r="562" spans="1:13" ht="15.75">
      <c r="A562" s="272"/>
      <c r="B562" s="29"/>
      <c r="C562" s="183"/>
      <c r="D562" s="183"/>
      <c r="E562" s="29"/>
      <c r="F562" s="27"/>
      <c r="G562" s="27"/>
      <c r="H562" s="27"/>
      <c r="I562" s="103"/>
      <c r="J562" s="27"/>
      <c r="K562" s="103"/>
      <c r="L562" s="27"/>
      <c r="M562" s="27"/>
    </row>
    <row r="563" spans="1:13" ht="15.75">
      <c r="A563" s="272"/>
      <c r="B563" s="29"/>
      <c r="C563" s="183"/>
      <c r="D563" s="183"/>
      <c r="E563" s="29"/>
      <c r="F563" s="27"/>
      <c r="G563" s="27"/>
      <c r="H563" s="27"/>
      <c r="I563" s="103"/>
      <c r="J563" s="27"/>
      <c r="K563" s="103"/>
      <c r="L563" s="27"/>
      <c r="M563" s="27"/>
    </row>
    <row r="564" spans="1:13" ht="15.75">
      <c r="A564" s="272"/>
      <c r="B564" s="29"/>
      <c r="C564" s="183"/>
      <c r="D564" s="183"/>
      <c r="E564" s="29"/>
      <c r="F564" s="27"/>
      <c r="G564" s="27"/>
      <c r="H564" s="27"/>
      <c r="I564" s="103"/>
      <c r="J564" s="27"/>
      <c r="K564" s="103"/>
      <c r="L564" s="27"/>
      <c r="M564" s="27"/>
    </row>
    <row r="565" spans="1:13" ht="15.75">
      <c r="A565" s="272"/>
      <c r="B565" s="29"/>
      <c r="C565" s="183"/>
      <c r="D565" s="183"/>
      <c r="E565" s="29"/>
      <c r="F565" s="27"/>
      <c r="G565" s="27"/>
      <c r="H565" s="27"/>
      <c r="I565" s="103"/>
      <c r="J565" s="27"/>
      <c r="K565" s="103"/>
      <c r="L565" s="27"/>
      <c r="M565" s="27"/>
    </row>
    <row r="566" spans="1:13" ht="15.75">
      <c r="A566" s="272"/>
      <c r="B566" s="29"/>
      <c r="C566" s="183"/>
      <c r="D566" s="183"/>
      <c r="E566" s="29"/>
      <c r="F566" s="27"/>
      <c r="G566" s="27"/>
      <c r="H566" s="27"/>
      <c r="I566" s="103"/>
      <c r="J566" s="27"/>
      <c r="K566" s="103"/>
      <c r="L566" s="27"/>
      <c r="M566" s="27"/>
    </row>
    <row r="567" spans="1:13" ht="15.75">
      <c r="A567" s="272"/>
      <c r="B567" s="29"/>
      <c r="C567" s="183"/>
      <c r="D567" s="183"/>
      <c r="E567" s="29"/>
      <c r="F567" s="27"/>
      <c r="G567" s="27"/>
      <c r="H567" s="27"/>
      <c r="I567" s="103"/>
      <c r="J567" s="27"/>
      <c r="K567" s="103"/>
      <c r="L567" s="27"/>
      <c r="M567" s="27"/>
    </row>
    <row r="568" spans="1:13" ht="15.75">
      <c r="A568" s="272"/>
      <c r="B568" s="29"/>
      <c r="C568" s="183"/>
      <c r="D568" s="183"/>
      <c r="E568" s="29"/>
      <c r="F568" s="27"/>
      <c r="G568" s="27"/>
      <c r="H568" s="27"/>
      <c r="I568" s="103"/>
      <c r="J568" s="27"/>
      <c r="K568" s="103"/>
      <c r="L568" s="27"/>
      <c r="M568" s="27"/>
    </row>
    <row r="569" spans="1:13" ht="15.75">
      <c r="A569" s="272"/>
      <c r="B569" s="29"/>
      <c r="C569" s="183"/>
      <c r="D569" s="183"/>
      <c r="E569" s="29"/>
      <c r="F569" s="27"/>
      <c r="G569" s="27"/>
      <c r="H569" s="27"/>
      <c r="I569" s="103"/>
      <c r="J569" s="27"/>
      <c r="K569" s="103"/>
      <c r="L569" s="27"/>
      <c r="M569" s="27"/>
    </row>
    <row r="570" spans="1:13" ht="15.75">
      <c r="A570" s="272"/>
      <c r="B570" s="29"/>
      <c r="C570" s="183"/>
      <c r="D570" s="183"/>
      <c r="E570" s="29"/>
      <c r="F570" s="27"/>
      <c r="G570" s="27"/>
      <c r="H570" s="27"/>
      <c r="I570" s="103"/>
      <c r="J570" s="27"/>
      <c r="K570" s="103"/>
      <c r="L570" s="27"/>
      <c r="M570" s="27"/>
    </row>
    <row r="571" spans="1:13" ht="15.75">
      <c r="A571" s="272"/>
      <c r="B571" s="29"/>
      <c r="C571" s="183"/>
      <c r="D571" s="183"/>
      <c r="E571" s="29"/>
      <c r="F571" s="27"/>
      <c r="G571" s="27"/>
      <c r="H571" s="27"/>
      <c r="I571" s="103"/>
      <c r="J571" s="27"/>
      <c r="K571" s="103"/>
      <c r="L571" s="27"/>
      <c r="M571" s="27"/>
    </row>
    <row r="572" spans="1:13" ht="15.75">
      <c r="A572" s="272"/>
      <c r="B572" s="29"/>
      <c r="C572" s="183"/>
      <c r="D572" s="183"/>
      <c r="E572" s="29"/>
      <c r="F572" s="27"/>
      <c r="G572" s="27"/>
      <c r="H572" s="27"/>
      <c r="I572" s="103"/>
      <c r="J572" s="27"/>
      <c r="K572" s="103"/>
      <c r="L572" s="27"/>
      <c r="M572" s="27"/>
    </row>
    <row r="573" spans="1:13" ht="15.75">
      <c r="A573" s="272"/>
      <c r="B573" s="29"/>
      <c r="C573" s="183"/>
      <c r="D573" s="183"/>
      <c r="E573" s="29"/>
      <c r="F573" s="27"/>
      <c r="G573" s="27"/>
      <c r="H573" s="27"/>
      <c r="I573" s="103"/>
      <c r="J573" s="27"/>
      <c r="K573" s="103"/>
      <c r="L573" s="27"/>
      <c r="M573" s="27"/>
    </row>
    <row r="574" spans="1:13" ht="15.75">
      <c r="A574" s="272"/>
      <c r="B574" s="29"/>
      <c r="C574" s="183"/>
      <c r="D574" s="183"/>
      <c r="E574" s="29"/>
      <c r="F574" s="27"/>
      <c r="G574" s="27"/>
      <c r="H574" s="27"/>
      <c r="I574" s="103"/>
      <c r="J574" s="27"/>
      <c r="K574" s="103"/>
      <c r="L574" s="27"/>
      <c r="M574" s="27"/>
    </row>
    <row r="575" spans="1:13" ht="15.75">
      <c r="A575" s="272"/>
      <c r="B575" s="29"/>
      <c r="C575" s="183"/>
      <c r="D575" s="183"/>
      <c r="E575" s="29"/>
      <c r="F575" s="27"/>
      <c r="G575" s="27"/>
      <c r="H575" s="27"/>
      <c r="I575" s="103"/>
      <c r="J575" s="27"/>
      <c r="K575" s="103"/>
      <c r="L575" s="27"/>
      <c r="M575" s="27"/>
    </row>
    <row r="576" spans="1:13" ht="15.75">
      <c r="A576" s="272"/>
      <c r="B576" s="29"/>
      <c r="C576" s="183"/>
      <c r="D576" s="183"/>
      <c r="E576" s="29"/>
      <c r="F576" s="27"/>
      <c r="G576" s="27"/>
      <c r="H576" s="27"/>
      <c r="I576" s="103"/>
      <c r="J576" s="27"/>
      <c r="K576" s="103"/>
      <c r="L576" s="27"/>
      <c r="M576" s="27"/>
    </row>
    <row r="577" spans="1:13" ht="15.75">
      <c r="A577" s="272"/>
      <c r="B577" s="29"/>
      <c r="C577" s="183"/>
      <c r="D577" s="183"/>
      <c r="E577" s="29"/>
      <c r="F577" s="27"/>
      <c r="G577" s="27"/>
      <c r="H577" s="27"/>
      <c r="I577" s="103"/>
      <c r="J577" s="27"/>
      <c r="K577" s="103"/>
      <c r="L577" s="27"/>
      <c r="M577" s="27"/>
    </row>
    <row r="578" spans="1:13" ht="15.75">
      <c r="A578" s="272"/>
      <c r="B578" s="29"/>
      <c r="C578" s="183"/>
      <c r="D578" s="183"/>
      <c r="E578" s="29"/>
      <c r="F578" s="27"/>
      <c r="G578" s="27"/>
      <c r="H578" s="27"/>
      <c r="I578" s="103"/>
      <c r="J578" s="27"/>
      <c r="K578" s="103"/>
      <c r="L578" s="27"/>
      <c r="M578" s="27"/>
    </row>
    <row r="579" spans="1:13" ht="15.75">
      <c r="A579" s="272"/>
      <c r="B579" s="29"/>
      <c r="C579" s="183"/>
      <c r="D579" s="183"/>
      <c r="E579" s="29"/>
      <c r="F579" s="27"/>
      <c r="G579" s="27"/>
      <c r="H579" s="27"/>
      <c r="I579" s="103"/>
      <c r="J579" s="27"/>
      <c r="K579" s="103"/>
      <c r="L579" s="27"/>
      <c r="M579" s="27"/>
    </row>
    <row r="580" spans="1:13" ht="15.75">
      <c r="A580" s="272"/>
      <c r="B580" s="29"/>
      <c r="C580" s="183"/>
      <c r="D580" s="183"/>
      <c r="E580" s="29"/>
      <c r="F580" s="27"/>
      <c r="G580" s="27"/>
      <c r="H580" s="27"/>
      <c r="I580" s="103"/>
      <c r="J580" s="27"/>
      <c r="K580" s="103"/>
      <c r="L580" s="27"/>
      <c r="M580" s="27"/>
    </row>
    <row r="581" spans="1:13" ht="15.75">
      <c r="A581" s="272"/>
      <c r="B581" s="29"/>
      <c r="C581" s="183"/>
      <c r="D581" s="183"/>
      <c r="E581" s="29"/>
      <c r="F581" s="27"/>
      <c r="G581" s="27"/>
      <c r="H581" s="27"/>
      <c r="I581" s="103"/>
      <c r="J581" s="27"/>
      <c r="K581" s="103"/>
      <c r="L581" s="27"/>
      <c r="M581" s="27"/>
    </row>
    <row r="582" spans="1:13" ht="15.75">
      <c r="A582" s="272"/>
      <c r="B582" s="29"/>
      <c r="C582" s="183"/>
      <c r="D582" s="183"/>
      <c r="E582" s="29"/>
      <c r="F582" s="27"/>
      <c r="G582" s="27"/>
      <c r="H582" s="27"/>
      <c r="I582" s="103"/>
      <c r="J582" s="27"/>
      <c r="K582" s="103"/>
      <c r="L582" s="27"/>
      <c r="M582" s="27"/>
    </row>
    <row r="583" spans="1:13" ht="15.75">
      <c r="A583" s="272"/>
      <c r="B583" s="29"/>
      <c r="C583" s="183"/>
      <c r="D583" s="183"/>
      <c r="E583" s="29"/>
      <c r="F583" s="27"/>
      <c r="G583" s="27"/>
      <c r="H583" s="27"/>
      <c r="I583" s="103"/>
      <c r="J583" s="27"/>
      <c r="K583" s="103"/>
      <c r="L583" s="27"/>
      <c r="M583" s="27"/>
    </row>
    <row r="584" spans="1:13" ht="15.75">
      <c r="A584" s="272"/>
      <c r="B584" s="29"/>
      <c r="C584" s="183"/>
      <c r="D584" s="183"/>
      <c r="E584" s="29"/>
      <c r="F584" s="27"/>
      <c r="G584" s="27"/>
      <c r="H584" s="27"/>
      <c r="I584" s="103"/>
      <c r="J584" s="27"/>
      <c r="K584" s="103"/>
      <c r="L584" s="27"/>
      <c r="M584" s="27"/>
    </row>
    <row r="585" spans="1:13" ht="15.75">
      <c r="A585" s="272"/>
      <c r="B585" s="29"/>
      <c r="C585" s="183"/>
      <c r="D585" s="183"/>
      <c r="E585" s="29"/>
      <c r="F585" s="27"/>
      <c r="G585" s="27"/>
      <c r="H585" s="27"/>
      <c r="I585" s="103"/>
      <c r="J585" s="27"/>
      <c r="K585" s="103"/>
      <c r="L585" s="27"/>
      <c r="M585" s="27"/>
    </row>
    <row r="586" spans="1:13" ht="15.75">
      <c r="A586" s="272"/>
      <c r="B586" s="29"/>
      <c r="C586" s="183"/>
      <c r="D586" s="183"/>
      <c r="E586" s="29"/>
      <c r="F586" s="27"/>
      <c r="G586" s="27"/>
      <c r="H586" s="27"/>
      <c r="I586" s="103"/>
      <c r="J586" s="27"/>
      <c r="K586" s="103"/>
      <c r="L586" s="27"/>
      <c r="M586" s="27"/>
    </row>
    <row r="587" spans="1:13" ht="15.75">
      <c r="A587" s="272"/>
      <c r="B587" s="29"/>
      <c r="C587" s="183"/>
      <c r="D587" s="183"/>
      <c r="E587" s="29"/>
      <c r="F587" s="27"/>
      <c r="G587" s="27"/>
      <c r="H587" s="27"/>
      <c r="I587" s="103"/>
      <c r="J587" s="27"/>
      <c r="K587" s="103"/>
      <c r="L587" s="27"/>
      <c r="M587" s="27"/>
    </row>
    <row r="588" spans="1:13" ht="15.75">
      <c r="A588" s="272"/>
      <c r="B588" s="29"/>
      <c r="C588" s="183"/>
      <c r="D588" s="183"/>
      <c r="E588" s="29"/>
      <c r="F588" s="27"/>
      <c r="G588" s="27"/>
      <c r="H588" s="27"/>
      <c r="I588" s="103"/>
      <c r="J588" s="27"/>
      <c r="K588" s="103"/>
      <c r="L588" s="27"/>
      <c r="M588" s="27"/>
    </row>
    <row r="589" spans="1:13" ht="15.75">
      <c r="A589" s="272"/>
      <c r="B589" s="29"/>
      <c r="C589" s="183"/>
      <c r="D589" s="183"/>
      <c r="E589" s="29"/>
      <c r="F589" s="27"/>
      <c r="G589" s="27"/>
      <c r="H589" s="27"/>
      <c r="I589" s="103"/>
      <c r="J589" s="27"/>
      <c r="K589" s="103"/>
      <c r="L589" s="27"/>
      <c r="M589" s="27"/>
    </row>
    <row r="590" spans="1:13" ht="15.75">
      <c r="A590" s="272"/>
      <c r="B590" s="29"/>
      <c r="C590" s="183"/>
      <c r="D590" s="183"/>
      <c r="E590" s="29"/>
      <c r="F590" s="27"/>
      <c r="G590" s="27"/>
      <c r="H590" s="27"/>
      <c r="I590" s="103"/>
      <c r="J590" s="27"/>
      <c r="K590" s="103"/>
      <c r="L590" s="27"/>
      <c r="M590" s="27"/>
    </row>
    <row r="591" spans="1:13" ht="15.75">
      <c r="A591" s="272"/>
      <c r="B591" s="29"/>
      <c r="C591" s="183"/>
      <c r="D591" s="183"/>
      <c r="E591" s="29"/>
      <c r="F591" s="27"/>
      <c r="G591" s="27"/>
      <c r="H591" s="27"/>
      <c r="I591" s="103"/>
      <c r="J591" s="27"/>
      <c r="K591" s="103"/>
      <c r="L591" s="27"/>
      <c r="M591" s="27"/>
    </row>
    <row r="592" spans="1:13" ht="15.75">
      <c r="A592" s="272"/>
      <c r="B592" s="29"/>
      <c r="C592" s="183"/>
      <c r="D592" s="183"/>
      <c r="E592" s="29"/>
      <c r="F592" s="27"/>
      <c r="G592" s="27"/>
      <c r="H592" s="27"/>
      <c r="I592" s="103"/>
      <c r="J592" s="27"/>
      <c r="K592" s="103"/>
      <c r="L592" s="27"/>
      <c r="M592" s="27"/>
    </row>
    <row r="593" spans="1:13" ht="15.75">
      <c r="A593" s="272"/>
      <c r="B593" s="29"/>
      <c r="C593" s="183"/>
      <c r="D593" s="183"/>
      <c r="E593" s="29"/>
      <c r="F593" s="27"/>
      <c r="G593" s="27"/>
      <c r="H593" s="27"/>
      <c r="I593" s="103"/>
      <c r="J593" s="27"/>
      <c r="K593" s="103"/>
      <c r="L593" s="27"/>
      <c r="M593" s="27"/>
    </row>
    <row r="594" spans="1:13" ht="15.75">
      <c r="A594" s="272"/>
      <c r="B594" s="29"/>
      <c r="C594" s="183"/>
      <c r="D594" s="183"/>
      <c r="E594" s="29"/>
      <c r="F594" s="27"/>
      <c r="G594" s="27"/>
      <c r="H594" s="27"/>
      <c r="I594" s="103"/>
      <c r="J594" s="27"/>
      <c r="K594" s="103"/>
      <c r="L594" s="27"/>
      <c r="M594" s="27"/>
    </row>
    <row r="595" spans="1:13" ht="15.75">
      <c r="A595" s="272"/>
      <c r="B595" s="29"/>
      <c r="C595" s="183"/>
      <c r="D595" s="183"/>
      <c r="E595" s="29"/>
      <c r="F595" s="27"/>
      <c r="G595" s="27"/>
      <c r="H595" s="27"/>
      <c r="I595" s="103"/>
      <c r="J595" s="27"/>
      <c r="K595" s="103"/>
      <c r="L595" s="27"/>
      <c r="M595" s="27"/>
    </row>
    <row r="596" spans="1:13" ht="15.75">
      <c r="A596" s="272"/>
      <c r="B596" s="29"/>
      <c r="C596" s="183"/>
      <c r="D596" s="183"/>
      <c r="E596" s="29"/>
      <c r="F596" s="27"/>
      <c r="G596" s="27"/>
      <c r="H596" s="27"/>
      <c r="I596" s="103"/>
      <c r="J596" s="27"/>
      <c r="K596" s="103"/>
      <c r="L596" s="27"/>
      <c r="M596" s="27"/>
    </row>
    <row r="597" spans="1:13" ht="15.75">
      <c r="A597" s="272"/>
      <c r="B597" s="29"/>
      <c r="C597" s="183"/>
      <c r="D597" s="183"/>
      <c r="E597" s="29"/>
      <c r="F597" s="27"/>
      <c r="G597" s="27"/>
      <c r="H597" s="27"/>
      <c r="I597" s="103"/>
      <c r="J597" s="27"/>
      <c r="K597" s="103"/>
      <c r="L597" s="27"/>
      <c r="M597" s="27"/>
    </row>
    <row r="598" spans="1:13" ht="15.75">
      <c r="A598" s="272"/>
      <c r="B598" s="29"/>
      <c r="C598" s="183"/>
      <c r="D598" s="183"/>
      <c r="E598" s="29"/>
      <c r="F598" s="27"/>
      <c r="G598" s="27"/>
      <c r="H598" s="27"/>
      <c r="I598" s="103"/>
      <c r="J598" s="27"/>
      <c r="K598" s="103"/>
      <c r="L598" s="27"/>
      <c r="M598" s="27"/>
    </row>
    <row r="599" spans="1:13" ht="15.75">
      <c r="A599" s="272"/>
      <c r="B599" s="29"/>
      <c r="C599" s="183"/>
      <c r="D599" s="183"/>
      <c r="E599" s="29"/>
      <c r="F599" s="27"/>
      <c r="G599" s="27"/>
      <c r="H599" s="27"/>
      <c r="I599" s="103"/>
      <c r="J599" s="27"/>
      <c r="K599" s="103"/>
      <c r="L599" s="27"/>
      <c r="M599" s="27"/>
    </row>
    <row r="600" spans="1:13" ht="15.75">
      <c r="A600" s="272"/>
      <c r="B600" s="29"/>
      <c r="C600" s="183"/>
      <c r="D600" s="183"/>
      <c r="E600" s="29"/>
      <c r="F600" s="27"/>
      <c r="G600" s="27"/>
      <c r="H600" s="27"/>
      <c r="I600" s="103"/>
      <c r="J600" s="27"/>
      <c r="K600" s="103"/>
      <c r="L600" s="27"/>
      <c r="M600" s="27"/>
    </row>
    <row r="601" spans="1:13" ht="15.75">
      <c r="A601" s="272"/>
      <c r="B601" s="29"/>
      <c r="C601" s="183"/>
      <c r="D601" s="183"/>
      <c r="E601" s="29"/>
      <c r="F601" s="27"/>
      <c r="G601" s="27"/>
      <c r="H601" s="27"/>
      <c r="I601" s="103"/>
      <c r="J601" s="27"/>
      <c r="K601" s="103"/>
      <c r="L601" s="27"/>
      <c r="M601" s="27"/>
    </row>
    <row r="602" spans="1:13" ht="15.75">
      <c r="A602" s="272"/>
      <c r="B602" s="29"/>
      <c r="C602" s="183"/>
      <c r="D602" s="183"/>
      <c r="E602" s="29"/>
      <c r="F602" s="27"/>
      <c r="G602" s="27"/>
      <c r="H602" s="27"/>
      <c r="I602" s="103"/>
      <c r="J602" s="27"/>
      <c r="K602" s="103"/>
      <c r="L602" s="27"/>
      <c r="M602" s="27"/>
    </row>
    <row r="603" spans="1:13" ht="15.75">
      <c r="A603" s="272"/>
      <c r="B603" s="29"/>
      <c r="C603" s="183"/>
      <c r="D603" s="183"/>
      <c r="E603" s="29"/>
      <c r="F603" s="27"/>
      <c r="G603" s="27"/>
      <c r="H603" s="27"/>
      <c r="I603" s="103"/>
      <c r="J603" s="27"/>
      <c r="K603" s="103"/>
      <c r="L603" s="27"/>
      <c r="M603" s="27"/>
    </row>
    <row r="604" spans="1:13" ht="15.75">
      <c r="A604" s="272"/>
      <c r="B604" s="29"/>
      <c r="C604" s="183"/>
      <c r="D604" s="183"/>
      <c r="E604" s="29"/>
      <c r="F604" s="27"/>
      <c r="G604" s="27"/>
      <c r="H604" s="27"/>
      <c r="I604" s="103"/>
      <c r="J604" s="27"/>
      <c r="K604" s="103"/>
      <c r="L604" s="27"/>
      <c r="M604" s="27"/>
    </row>
    <row r="605" spans="1:13" ht="15.75">
      <c r="A605" s="272"/>
      <c r="B605" s="29"/>
      <c r="C605" s="183"/>
      <c r="D605" s="183"/>
      <c r="E605" s="29"/>
      <c r="F605" s="27"/>
      <c r="G605" s="27"/>
      <c r="H605" s="27"/>
      <c r="I605" s="103"/>
      <c r="J605" s="27"/>
      <c r="K605" s="103"/>
      <c r="L605" s="27"/>
      <c r="M605" s="27"/>
    </row>
    <row r="606" spans="1:13" ht="15.75">
      <c r="A606" s="272"/>
      <c r="B606" s="29"/>
      <c r="C606" s="183"/>
      <c r="D606" s="183"/>
      <c r="E606" s="29"/>
      <c r="F606" s="27"/>
      <c r="G606" s="27"/>
      <c r="H606" s="27"/>
      <c r="I606" s="103"/>
      <c r="J606" s="27"/>
      <c r="K606" s="103"/>
      <c r="L606" s="27"/>
      <c r="M606" s="27"/>
    </row>
    <row r="607" spans="1:13" ht="15.75">
      <c r="A607" s="272"/>
      <c r="B607" s="29"/>
      <c r="C607" s="183"/>
      <c r="D607" s="183"/>
      <c r="E607" s="29"/>
      <c r="F607" s="27"/>
      <c r="G607" s="27"/>
      <c r="H607" s="27"/>
      <c r="I607" s="103"/>
      <c r="J607" s="27"/>
      <c r="K607" s="103"/>
      <c r="L607" s="27"/>
      <c r="M607" s="27"/>
    </row>
    <row r="608" spans="1:13" ht="15.75">
      <c r="A608" s="272"/>
      <c r="B608" s="29"/>
      <c r="C608" s="183"/>
      <c r="D608" s="183"/>
      <c r="E608" s="29"/>
      <c r="F608" s="27"/>
      <c r="G608" s="27"/>
      <c r="H608" s="27"/>
      <c r="I608" s="103"/>
      <c r="J608" s="27"/>
      <c r="K608" s="103"/>
      <c r="L608" s="27"/>
      <c r="M608" s="27"/>
    </row>
    <row r="609" spans="1:13" ht="15.75">
      <c r="A609" s="272"/>
      <c r="B609" s="29"/>
      <c r="C609" s="183"/>
      <c r="D609" s="183"/>
      <c r="E609" s="29"/>
      <c r="F609" s="27"/>
      <c r="G609" s="27"/>
      <c r="H609" s="27"/>
      <c r="I609" s="103"/>
      <c r="J609" s="27"/>
      <c r="K609" s="103"/>
      <c r="L609" s="27"/>
      <c r="M609" s="27"/>
    </row>
    <row r="610" spans="1:13" ht="15.75">
      <c r="A610" s="272"/>
      <c r="B610" s="29"/>
      <c r="C610" s="183"/>
      <c r="D610" s="183"/>
      <c r="E610" s="29"/>
      <c r="F610" s="27"/>
      <c r="G610" s="27"/>
      <c r="H610" s="27"/>
      <c r="I610" s="103"/>
      <c r="J610" s="27"/>
      <c r="K610" s="103"/>
      <c r="L610" s="27"/>
      <c r="M610" s="27"/>
    </row>
    <row r="611" spans="1:13" ht="15.75">
      <c r="A611" s="272"/>
      <c r="B611" s="29"/>
      <c r="C611" s="183"/>
      <c r="D611" s="183"/>
      <c r="E611" s="29"/>
      <c r="F611" s="27"/>
      <c r="G611" s="27"/>
      <c r="H611" s="27"/>
      <c r="I611" s="103"/>
      <c r="J611" s="27"/>
      <c r="K611" s="103"/>
      <c r="L611" s="27"/>
      <c r="M611" s="27"/>
    </row>
    <row r="612" spans="1:13" ht="15.75">
      <c r="A612" s="272"/>
      <c r="B612" s="29"/>
      <c r="C612" s="183"/>
      <c r="D612" s="183"/>
      <c r="E612" s="29"/>
      <c r="F612" s="27"/>
      <c r="G612" s="27"/>
      <c r="H612" s="27"/>
      <c r="I612" s="103"/>
      <c r="J612" s="27"/>
      <c r="K612" s="103"/>
      <c r="L612" s="27"/>
      <c r="M612" s="27"/>
    </row>
    <row r="613" spans="1:13" ht="15.75">
      <c r="A613" s="272"/>
      <c r="B613" s="29"/>
      <c r="C613" s="183"/>
      <c r="D613" s="183"/>
      <c r="E613" s="29"/>
      <c r="F613" s="27"/>
      <c r="G613" s="27"/>
      <c r="H613" s="27"/>
      <c r="I613" s="103"/>
      <c r="J613" s="27"/>
      <c r="K613" s="103"/>
      <c r="L613" s="27"/>
      <c r="M613" s="27"/>
    </row>
    <row r="614" spans="1:13" ht="15.75">
      <c r="A614" s="272"/>
      <c r="B614" s="29"/>
      <c r="C614" s="183"/>
      <c r="D614" s="183"/>
      <c r="E614" s="29"/>
      <c r="F614" s="27"/>
      <c r="G614" s="27"/>
      <c r="H614" s="27"/>
      <c r="I614" s="103"/>
      <c r="J614" s="27"/>
      <c r="K614" s="103"/>
      <c r="L614" s="27"/>
      <c r="M614" s="27"/>
    </row>
    <row r="615" spans="1:13" ht="15.75">
      <c r="A615" s="272"/>
      <c r="B615" s="29"/>
      <c r="C615" s="183"/>
      <c r="D615" s="183"/>
      <c r="E615" s="29"/>
      <c r="F615" s="27"/>
      <c r="G615" s="27"/>
      <c r="H615" s="27"/>
      <c r="I615" s="103"/>
      <c r="J615" s="27"/>
      <c r="K615" s="103"/>
      <c r="L615" s="27"/>
      <c r="M615" s="27"/>
    </row>
    <row r="616" spans="1:13" ht="15.75">
      <c r="A616" s="272"/>
      <c r="B616" s="29"/>
      <c r="C616" s="183"/>
      <c r="D616" s="183"/>
      <c r="E616" s="29"/>
      <c r="F616" s="27"/>
      <c r="G616" s="27"/>
      <c r="H616" s="27"/>
      <c r="I616" s="103"/>
      <c r="J616" s="27"/>
      <c r="K616" s="103"/>
      <c r="L616" s="27"/>
      <c r="M616" s="27"/>
    </row>
    <row r="617" spans="1:13" ht="15.75">
      <c r="A617" s="272"/>
      <c r="B617" s="29"/>
      <c r="C617" s="183"/>
      <c r="D617" s="183"/>
      <c r="E617" s="29"/>
      <c r="F617" s="27"/>
      <c r="G617" s="27"/>
      <c r="H617" s="27"/>
      <c r="I617" s="103"/>
      <c r="J617" s="27"/>
      <c r="K617" s="103"/>
      <c r="L617" s="27"/>
      <c r="M617" s="27"/>
    </row>
    <row r="618" spans="1:13" ht="15.75">
      <c r="A618" s="272"/>
      <c r="B618" s="29"/>
      <c r="C618" s="183"/>
      <c r="D618" s="183"/>
      <c r="E618" s="29"/>
      <c r="F618" s="27"/>
      <c r="G618" s="27"/>
      <c r="H618" s="27"/>
      <c r="I618" s="103"/>
      <c r="J618" s="27"/>
      <c r="K618" s="103"/>
      <c r="L618" s="27"/>
      <c r="M618" s="27"/>
    </row>
    <row r="619" spans="1:13" ht="15.75">
      <c r="A619" s="272"/>
      <c r="B619" s="29"/>
      <c r="C619" s="183"/>
      <c r="D619" s="183"/>
      <c r="E619" s="29"/>
      <c r="F619" s="27"/>
      <c r="G619" s="27"/>
      <c r="H619" s="27"/>
      <c r="I619" s="103"/>
      <c r="J619" s="27"/>
      <c r="K619" s="103"/>
      <c r="L619" s="27"/>
      <c r="M619" s="27"/>
    </row>
    <row r="620" spans="1:13" ht="15.75">
      <c r="A620" s="272"/>
      <c r="B620" s="29"/>
      <c r="C620" s="183"/>
      <c r="D620" s="183"/>
      <c r="E620" s="29"/>
      <c r="F620" s="27"/>
      <c r="G620" s="27"/>
      <c r="H620" s="27"/>
      <c r="I620" s="103"/>
      <c r="J620" s="27"/>
      <c r="K620" s="103"/>
      <c r="L620" s="27"/>
      <c r="M620" s="27"/>
    </row>
    <row r="621" spans="1:13" ht="15.75">
      <c r="A621" s="272"/>
      <c r="B621" s="29"/>
      <c r="C621" s="183"/>
      <c r="D621" s="183"/>
      <c r="E621" s="29"/>
      <c r="F621" s="27"/>
      <c r="G621" s="27"/>
      <c r="H621" s="27"/>
      <c r="I621" s="103"/>
      <c r="J621" s="27"/>
      <c r="K621" s="103"/>
      <c r="L621" s="27"/>
      <c r="M621" s="27"/>
    </row>
    <row r="622" spans="1:13" ht="15.75">
      <c r="A622" s="272"/>
      <c r="B622" s="29"/>
      <c r="C622" s="183"/>
      <c r="D622" s="183"/>
      <c r="E622" s="29"/>
      <c r="F622" s="27"/>
      <c r="G622" s="27"/>
      <c r="H622" s="27"/>
      <c r="I622" s="103"/>
      <c r="J622" s="27"/>
      <c r="K622" s="103"/>
      <c r="L622" s="27"/>
      <c r="M622" s="27"/>
    </row>
    <row r="623" spans="1:13" ht="15.75">
      <c r="A623" s="272"/>
      <c r="B623" s="29"/>
      <c r="C623" s="183"/>
      <c r="D623" s="183"/>
      <c r="E623" s="29"/>
      <c r="F623" s="27"/>
      <c r="G623" s="27"/>
      <c r="H623" s="27"/>
      <c r="I623" s="103"/>
      <c r="J623" s="27"/>
      <c r="K623" s="103"/>
      <c r="L623" s="27"/>
      <c r="M623" s="27"/>
    </row>
    <row r="624" spans="1:13" ht="15.75">
      <c r="A624" s="272"/>
      <c r="B624" s="29"/>
      <c r="C624" s="183"/>
      <c r="D624" s="183"/>
      <c r="E624" s="29"/>
      <c r="F624" s="27"/>
      <c r="G624" s="27"/>
      <c r="H624" s="27"/>
      <c r="I624" s="103"/>
      <c r="J624" s="27"/>
      <c r="K624" s="103"/>
      <c r="L624" s="27"/>
      <c r="M624" s="27"/>
    </row>
    <row r="625" spans="1:13" ht="15.75">
      <c r="A625" s="272"/>
      <c r="B625" s="29"/>
      <c r="C625" s="183"/>
      <c r="D625" s="183"/>
      <c r="E625" s="29"/>
      <c r="F625" s="27"/>
      <c r="G625" s="27"/>
      <c r="H625" s="27"/>
      <c r="I625" s="103"/>
      <c r="J625" s="27"/>
      <c r="K625" s="103"/>
      <c r="L625" s="27"/>
      <c r="M625" s="27"/>
    </row>
    <row r="626" spans="1:13" ht="15.75">
      <c r="A626" s="272"/>
      <c r="B626" s="29"/>
      <c r="C626" s="183"/>
      <c r="D626" s="183"/>
      <c r="E626" s="29"/>
      <c r="F626" s="27"/>
      <c r="G626" s="27"/>
      <c r="H626" s="27"/>
      <c r="I626" s="103"/>
      <c r="J626" s="27"/>
      <c r="K626" s="103"/>
      <c r="L626" s="27"/>
      <c r="M626" s="27"/>
    </row>
    <row r="627" spans="1:13" ht="15.75">
      <c r="A627" s="272"/>
      <c r="B627" s="29"/>
      <c r="C627" s="183"/>
      <c r="D627" s="183"/>
      <c r="E627" s="29"/>
      <c r="F627" s="27"/>
      <c r="G627" s="27"/>
      <c r="H627" s="27"/>
      <c r="I627" s="103"/>
      <c r="J627" s="27"/>
      <c r="K627" s="103"/>
      <c r="L627" s="27"/>
      <c r="M627" s="27"/>
    </row>
    <row r="628" spans="1:13" ht="15.75">
      <c r="A628" s="272"/>
      <c r="B628" s="29"/>
      <c r="C628" s="183"/>
      <c r="D628" s="183"/>
      <c r="E628" s="29"/>
      <c r="F628" s="27"/>
      <c r="G628" s="27"/>
      <c r="H628" s="27"/>
      <c r="I628" s="103"/>
      <c r="J628" s="27"/>
      <c r="K628" s="103"/>
      <c r="L628" s="27"/>
      <c r="M628" s="27"/>
    </row>
    <row r="629" spans="1:13" ht="15.75">
      <c r="A629" s="272"/>
      <c r="B629" s="29"/>
      <c r="C629" s="183"/>
      <c r="D629" s="183"/>
      <c r="E629" s="29"/>
      <c r="F629" s="27"/>
      <c r="G629" s="27"/>
      <c r="H629" s="27"/>
      <c r="I629" s="103"/>
      <c r="J629" s="27"/>
      <c r="K629" s="103"/>
      <c r="L629" s="27"/>
      <c r="M629" s="27"/>
    </row>
    <row r="630" spans="1:13" ht="15.75">
      <c r="A630" s="272"/>
      <c r="B630" s="29"/>
      <c r="C630" s="183"/>
      <c r="D630" s="183"/>
      <c r="E630" s="29"/>
      <c r="F630" s="27"/>
      <c r="G630" s="27"/>
      <c r="H630" s="27"/>
      <c r="I630" s="103"/>
      <c r="J630" s="27"/>
      <c r="K630" s="103"/>
      <c r="L630" s="27"/>
      <c r="M630" s="27"/>
    </row>
    <row r="631" spans="1:13" ht="15.75">
      <c r="A631" s="272"/>
      <c r="B631" s="29"/>
      <c r="C631" s="183"/>
      <c r="D631" s="183"/>
      <c r="E631" s="29"/>
      <c r="F631" s="27"/>
      <c r="G631" s="27"/>
      <c r="H631" s="27"/>
      <c r="I631" s="103"/>
      <c r="J631" s="27"/>
      <c r="K631" s="103"/>
      <c r="L631" s="27"/>
      <c r="M631" s="27"/>
    </row>
    <row r="632" spans="1:13" ht="15.75">
      <c r="A632" s="272"/>
      <c r="B632" s="29"/>
      <c r="C632" s="183"/>
      <c r="D632" s="183"/>
      <c r="E632" s="29"/>
      <c r="F632" s="27"/>
      <c r="G632" s="27"/>
      <c r="H632" s="27"/>
      <c r="I632" s="103"/>
      <c r="J632" s="27"/>
      <c r="K632" s="103"/>
      <c r="L632" s="27"/>
      <c r="M632" s="27"/>
    </row>
    <row r="633" spans="1:13" ht="15.75">
      <c r="A633" s="272"/>
      <c r="B633" s="29"/>
      <c r="C633" s="183"/>
      <c r="D633" s="183"/>
      <c r="E633" s="29"/>
      <c r="F633" s="27"/>
      <c r="G633" s="27"/>
      <c r="H633" s="27"/>
      <c r="I633" s="103"/>
      <c r="J633" s="27"/>
      <c r="K633" s="103"/>
      <c r="L633" s="27"/>
      <c r="M633" s="27"/>
    </row>
    <row r="634" spans="1:13" ht="15.75">
      <c r="A634" s="272"/>
      <c r="B634" s="29"/>
      <c r="C634" s="183"/>
      <c r="D634" s="183"/>
      <c r="E634" s="29"/>
      <c r="F634" s="27"/>
      <c r="G634" s="27"/>
      <c r="H634" s="27"/>
      <c r="I634" s="103"/>
      <c r="J634" s="27"/>
      <c r="K634" s="103"/>
      <c r="L634" s="27"/>
      <c r="M634" s="27"/>
    </row>
    <row r="635" spans="1:13" ht="15.75">
      <c r="A635" s="272"/>
      <c r="B635" s="29"/>
      <c r="C635" s="183"/>
      <c r="D635" s="183"/>
      <c r="E635" s="29"/>
      <c r="F635" s="27"/>
      <c r="G635" s="27"/>
      <c r="H635" s="27"/>
      <c r="I635" s="103"/>
      <c r="J635" s="27"/>
      <c r="K635" s="103"/>
      <c r="L635" s="27"/>
      <c r="M635" s="27"/>
    </row>
    <row r="636" spans="1:13" ht="15.75">
      <c r="A636" s="272"/>
      <c r="B636" s="29"/>
      <c r="C636" s="183"/>
      <c r="D636" s="183"/>
      <c r="E636" s="29"/>
      <c r="F636" s="27"/>
      <c r="G636" s="27"/>
      <c r="H636" s="27"/>
      <c r="I636" s="103"/>
      <c r="J636" s="27"/>
      <c r="K636" s="103"/>
      <c r="L636" s="27"/>
      <c r="M636" s="27"/>
    </row>
    <row r="637" spans="1:13" ht="15.75">
      <c r="A637" s="272"/>
      <c r="B637" s="29"/>
      <c r="C637" s="183"/>
      <c r="D637" s="183"/>
      <c r="E637" s="29"/>
      <c r="F637" s="27"/>
      <c r="G637" s="27"/>
      <c r="H637" s="27"/>
      <c r="I637" s="103"/>
      <c r="J637" s="27"/>
      <c r="K637" s="103"/>
      <c r="L637" s="27"/>
      <c r="M637" s="27"/>
    </row>
    <row r="638" spans="1:13" ht="15.75">
      <c r="A638" s="272"/>
      <c r="B638" s="29"/>
      <c r="C638" s="183"/>
      <c r="D638" s="183"/>
      <c r="E638" s="29"/>
      <c r="F638" s="27"/>
      <c r="G638" s="27"/>
      <c r="H638" s="27"/>
      <c r="I638" s="103"/>
      <c r="J638" s="27"/>
      <c r="K638" s="103"/>
      <c r="L638" s="27"/>
      <c r="M638" s="27"/>
    </row>
    <row r="639" spans="1:13" ht="15.75">
      <c r="A639" s="272"/>
      <c r="B639" s="29"/>
      <c r="C639" s="183"/>
      <c r="D639" s="183"/>
      <c r="E639" s="29"/>
      <c r="F639" s="27"/>
      <c r="G639" s="27"/>
      <c r="H639" s="27"/>
      <c r="I639" s="103"/>
      <c r="J639" s="27"/>
      <c r="K639" s="103"/>
      <c r="L639" s="27"/>
      <c r="M639" s="27"/>
    </row>
    <row r="640" spans="1:13" ht="15.75">
      <c r="A640" s="272"/>
      <c r="B640" s="29"/>
      <c r="C640" s="183"/>
      <c r="D640" s="183"/>
      <c r="E640" s="29"/>
      <c r="F640" s="27"/>
      <c r="G640" s="27"/>
      <c r="H640" s="27"/>
      <c r="I640" s="103"/>
      <c r="J640" s="27"/>
      <c r="K640" s="103"/>
      <c r="L640" s="27"/>
      <c r="M640" s="27"/>
    </row>
    <row r="641" spans="1:13" ht="15.75">
      <c r="A641" s="272"/>
      <c r="B641" s="29"/>
      <c r="C641" s="183"/>
      <c r="D641" s="183"/>
      <c r="E641" s="29"/>
      <c r="F641" s="27"/>
      <c r="G641" s="27"/>
      <c r="H641" s="27"/>
      <c r="I641" s="103"/>
      <c r="J641" s="27"/>
      <c r="K641" s="103"/>
      <c r="L641" s="27"/>
      <c r="M641" s="27"/>
    </row>
    <row r="642" spans="1:13" ht="15.75">
      <c r="A642" s="272"/>
      <c r="B642" s="29"/>
      <c r="C642" s="183"/>
      <c r="D642" s="183"/>
      <c r="E642" s="29"/>
      <c r="F642" s="27"/>
      <c r="G642" s="27"/>
      <c r="H642" s="27"/>
      <c r="I642" s="103"/>
      <c r="J642" s="27"/>
      <c r="K642" s="103"/>
      <c r="L642" s="27"/>
      <c r="M642" s="27"/>
    </row>
    <row r="643" spans="1:13" ht="15.75">
      <c r="A643" s="272"/>
      <c r="B643" s="29"/>
      <c r="C643" s="183"/>
      <c r="D643" s="183"/>
      <c r="E643" s="29"/>
      <c r="F643" s="27"/>
      <c r="G643" s="27"/>
      <c r="H643" s="27"/>
      <c r="I643" s="103"/>
      <c r="J643" s="27"/>
      <c r="K643" s="103"/>
      <c r="L643" s="27"/>
      <c r="M643" s="27"/>
    </row>
    <row r="644" spans="1:13" ht="15.75">
      <c r="A644" s="272"/>
      <c r="B644" s="29"/>
      <c r="C644" s="183"/>
      <c r="D644" s="183"/>
      <c r="E644" s="29"/>
      <c r="F644" s="27"/>
      <c r="G644" s="27"/>
      <c r="H644" s="27"/>
      <c r="I644" s="103"/>
      <c r="J644" s="27"/>
      <c r="K644" s="103"/>
      <c r="L644" s="27"/>
      <c r="M644" s="27"/>
    </row>
    <row r="645" spans="1:13" ht="15.75">
      <c r="A645" s="272"/>
      <c r="B645" s="29"/>
      <c r="C645" s="183"/>
      <c r="D645" s="183"/>
      <c r="E645" s="29"/>
      <c r="F645" s="27"/>
      <c r="G645" s="27"/>
      <c r="H645" s="27"/>
      <c r="I645" s="103"/>
      <c r="J645" s="27"/>
      <c r="K645" s="103"/>
      <c r="L645" s="27"/>
      <c r="M645" s="27"/>
    </row>
    <row r="646" spans="1:13" ht="15.75">
      <c r="A646" s="272"/>
      <c r="B646" s="29"/>
      <c r="C646" s="183"/>
      <c r="D646" s="183"/>
      <c r="E646" s="29"/>
      <c r="F646" s="27"/>
      <c r="G646" s="27"/>
      <c r="H646" s="27"/>
      <c r="I646" s="103"/>
      <c r="J646" s="27"/>
      <c r="K646" s="103"/>
      <c r="L646" s="27"/>
      <c r="M646" s="27"/>
    </row>
    <row r="647" spans="1:13" ht="15.75">
      <c r="A647" s="272"/>
      <c r="B647" s="29"/>
      <c r="C647" s="183"/>
      <c r="D647" s="183"/>
      <c r="E647" s="29"/>
      <c r="F647" s="27"/>
      <c r="G647" s="27"/>
      <c r="H647" s="27"/>
      <c r="I647" s="103"/>
      <c r="J647" s="27"/>
      <c r="K647" s="103"/>
      <c r="L647" s="27"/>
      <c r="M647" s="27"/>
    </row>
    <row r="648" spans="1:13" ht="15.75">
      <c r="A648" s="272"/>
      <c r="B648" s="29"/>
      <c r="C648" s="183"/>
      <c r="D648" s="183"/>
      <c r="E648" s="29"/>
      <c r="F648" s="27"/>
      <c r="G648" s="27"/>
      <c r="H648" s="27"/>
      <c r="I648" s="103"/>
      <c r="J648" s="27"/>
      <c r="K648" s="103"/>
      <c r="L648" s="27"/>
      <c r="M648" s="27"/>
    </row>
    <row r="649" spans="1:13" ht="15.75">
      <c r="A649" s="272"/>
      <c r="B649" s="29"/>
      <c r="C649" s="183"/>
      <c r="D649" s="183"/>
      <c r="E649" s="29"/>
      <c r="F649" s="27"/>
      <c r="G649" s="27"/>
      <c r="H649" s="27"/>
      <c r="I649" s="103"/>
      <c r="J649" s="27"/>
      <c r="K649" s="103"/>
      <c r="L649" s="27"/>
      <c r="M649" s="27"/>
    </row>
    <row r="650" spans="1:13" ht="15.75">
      <c r="A650" s="272"/>
      <c r="B650" s="29"/>
      <c r="C650" s="183"/>
      <c r="D650" s="183"/>
      <c r="E650" s="29"/>
      <c r="F650" s="27"/>
      <c r="G650" s="27"/>
      <c r="H650" s="27"/>
      <c r="I650" s="103"/>
      <c r="J650" s="27"/>
      <c r="K650" s="103"/>
      <c r="L650" s="27"/>
      <c r="M650" s="27"/>
    </row>
    <row r="651" spans="1:13" ht="15.75">
      <c r="A651" s="272"/>
      <c r="B651" s="29"/>
      <c r="C651" s="183"/>
      <c r="D651" s="183"/>
      <c r="E651" s="29"/>
      <c r="F651" s="27"/>
      <c r="G651" s="27"/>
      <c r="H651" s="27"/>
      <c r="I651" s="103"/>
      <c r="J651" s="27"/>
      <c r="K651" s="103"/>
      <c r="L651" s="27"/>
      <c r="M651" s="27"/>
    </row>
    <row r="652" spans="1:13" ht="15.75">
      <c r="A652" s="272"/>
      <c r="B652" s="29"/>
      <c r="C652" s="183"/>
      <c r="D652" s="183"/>
      <c r="E652" s="29"/>
      <c r="F652" s="27"/>
      <c r="G652" s="27"/>
      <c r="H652" s="27"/>
      <c r="I652" s="103"/>
      <c r="J652" s="27"/>
      <c r="K652" s="103"/>
      <c r="L652" s="27"/>
      <c r="M652" s="27"/>
    </row>
    <row r="653" spans="1:13" ht="15.75">
      <c r="A653" s="272"/>
      <c r="B653" s="29"/>
      <c r="C653" s="183"/>
      <c r="D653" s="183"/>
      <c r="E653" s="29"/>
      <c r="F653" s="27"/>
      <c r="G653" s="27"/>
      <c r="H653" s="27"/>
      <c r="I653" s="103"/>
      <c r="J653" s="27"/>
      <c r="K653" s="103"/>
      <c r="L653" s="27"/>
      <c r="M653" s="27"/>
    </row>
    <row r="654" spans="1:13" ht="15.75">
      <c r="A654" s="272"/>
      <c r="B654" s="29"/>
      <c r="C654" s="183"/>
      <c r="D654" s="183"/>
      <c r="E654" s="29"/>
      <c r="F654" s="27"/>
      <c r="G654" s="27"/>
      <c r="H654" s="27"/>
      <c r="I654" s="103"/>
      <c r="J654" s="27"/>
      <c r="K654" s="103"/>
      <c r="L654" s="27"/>
      <c r="M654" s="27"/>
    </row>
    <row r="655" spans="1:13" ht="15.75">
      <c r="A655" s="272"/>
      <c r="B655" s="29"/>
      <c r="C655" s="183"/>
      <c r="D655" s="183"/>
      <c r="E655" s="29"/>
      <c r="F655" s="27"/>
      <c r="G655" s="27"/>
      <c r="H655" s="27"/>
      <c r="I655" s="103"/>
      <c r="J655" s="27"/>
      <c r="K655" s="103"/>
      <c r="L655" s="27"/>
      <c r="M655" s="27"/>
    </row>
    <row r="656" spans="1:13" ht="15.75">
      <c r="A656" s="272"/>
      <c r="B656" s="29"/>
      <c r="C656" s="183"/>
      <c r="D656" s="183"/>
      <c r="E656" s="29"/>
      <c r="F656" s="27"/>
      <c r="G656" s="27"/>
      <c r="H656" s="27"/>
      <c r="I656" s="103"/>
      <c r="J656" s="27"/>
      <c r="K656" s="103"/>
      <c r="L656" s="27"/>
      <c r="M656" s="27"/>
    </row>
    <row r="657" spans="1:13" ht="15.75">
      <c r="A657" s="272"/>
      <c r="B657" s="29"/>
      <c r="C657" s="183"/>
      <c r="D657" s="183"/>
      <c r="E657" s="29"/>
      <c r="F657" s="27"/>
      <c r="G657" s="27"/>
      <c r="H657" s="27"/>
      <c r="I657" s="103"/>
      <c r="J657" s="27"/>
      <c r="K657" s="103"/>
      <c r="L657" s="27"/>
      <c r="M657" s="27"/>
    </row>
    <row r="658" spans="1:13" ht="15.75">
      <c r="A658" s="272"/>
      <c r="B658" s="29"/>
      <c r="C658" s="183"/>
      <c r="D658" s="183"/>
      <c r="E658" s="29"/>
      <c r="F658" s="27"/>
      <c r="G658" s="27"/>
      <c r="H658" s="27"/>
      <c r="I658" s="103"/>
      <c r="J658" s="27"/>
      <c r="K658" s="103"/>
      <c r="L658" s="27"/>
      <c r="M658" s="27"/>
    </row>
    <row r="659" spans="1:13" ht="15.75">
      <c r="A659" s="272"/>
      <c r="B659" s="29"/>
      <c r="C659" s="183"/>
      <c r="D659" s="183"/>
      <c r="E659" s="29"/>
      <c r="F659" s="27"/>
      <c r="G659" s="27"/>
      <c r="H659" s="27"/>
      <c r="I659" s="103"/>
      <c r="J659" s="27"/>
      <c r="K659" s="103"/>
      <c r="L659" s="27"/>
      <c r="M659" s="27"/>
    </row>
    <row r="660" spans="1:13" ht="15.75">
      <c r="A660" s="272"/>
      <c r="B660" s="29"/>
      <c r="C660" s="183"/>
      <c r="D660" s="183"/>
      <c r="E660" s="29"/>
      <c r="F660" s="27"/>
      <c r="G660" s="27"/>
      <c r="H660" s="27"/>
      <c r="I660" s="103"/>
      <c r="J660" s="27"/>
      <c r="K660" s="103"/>
      <c r="L660" s="27"/>
      <c r="M660" s="27"/>
    </row>
    <row r="661" spans="1:13" ht="15.75">
      <c r="A661" s="272"/>
      <c r="B661" s="29"/>
      <c r="C661" s="183"/>
      <c r="D661" s="183"/>
      <c r="E661" s="29"/>
      <c r="F661" s="27"/>
      <c r="G661" s="27"/>
      <c r="H661" s="27"/>
      <c r="I661" s="103"/>
      <c r="J661" s="27"/>
      <c r="K661" s="103"/>
      <c r="L661" s="27"/>
      <c r="M661" s="27"/>
    </row>
    <row r="662" spans="1:13" ht="15.75">
      <c r="A662" s="272"/>
      <c r="B662" s="29"/>
      <c r="C662" s="183"/>
      <c r="D662" s="183"/>
      <c r="E662" s="29"/>
      <c r="F662" s="27"/>
      <c r="G662" s="27"/>
      <c r="H662" s="27"/>
      <c r="I662" s="103"/>
      <c r="J662" s="27"/>
      <c r="K662" s="103"/>
      <c r="L662" s="27"/>
      <c r="M662" s="27"/>
    </row>
    <row r="663" spans="1:13" ht="15.75">
      <c r="A663" s="272"/>
      <c r="B663" s="29"/>
      <c r="C663" s="183"/>
      <c r="D663" s="183"/>
      <c r="E663" s="29"/>
      <c r="F663" s="27"/>
      <c r="G663" s="27"/>
      <c r="H663" s="27"/>
      <c r="I663" s="103"/>
      <c r="J663" s="27"/>
      <c r="K663" s="103"/>
      <c r="L663" s="27"/>
      <c r="M663" s="27"/>
    </row>
    <row r="664" spans="1:13" ht="15.75">
      <c r="A664" s="272"/>
      <c r="B664" s="29"/>
      <c r="C664" s="183"/>
      <c r="D664" s="183"/>
      <c r="E664" s="29"/>
      <c r="F664" s="27"/>
      <c r="G664" s="27"/>
      <c r="H664" s="27"/>
      <c r="I664" s="103"/>
      <c r="J664" s="27"/>
      <c r="K664" s="103"/>
      <c r="L664" s="27"/>
      <c r="M664" s="27"/>
    </row>
    <row r="665" spans="1:13" ht="15.75">
      <c r="A665" s="272"/>
      <c r="B665" s="29"/>
      <c r="C665" s="183"/>
      <c r="D665" s="183"/>
      <c r="E665" s="29"/>
      <c r="F665" s="27"/>
      <c r="G665" s="27"/>
      <c r="H665" s="27"/>
      <c r="I665" s="103"/>
      <c r="J665" s="27"/>
      <c r="K665" s="103"/>
      <c r="L665" s="27"/>
      <c r="M665" s="27"/>
    </row>
    <row r="666" spans="1:13" ht="15.75">
      <c r="A666" s="272"/>
      <c r="B666" s="29"/>
      <c r="C666" s="183"/>
      <c r="D666" s="183"/>
      <c r="E666" s="29"/>
      <c r="F666" s="27"/>
      <c r="G666" s="27"/>
      <c r="H666" s="27"/>
      <c r="I666" s="103"/>
      <c r="J666" s="27"/>
      <c r="K666" s="103"/>
      <c r="L666" s="27"/>
      <c r="M666" s="27"/>
    </row>
    <row r="667" spans="1:13" ht="15.75">
      <c r="A667" s="272"/>
      <c r="B667" s="29"/>
      <c r="C667" s="183"/>
      <c r="D667" s="183"/>
      <c r="E667" s="29"/>
      <c r="F667" s="27"/>
      <c r="G667" s="27"/>
      <c r="H667" s="27"/>
      <c r="I667" s="103"/>
      <c r="J667" s="27"/>
      <c r="K667" s="103"/>
      <c r="L667" s="27"/>
      <c r="M667" s="27"/>
    </row>
    <row r="668" spans="1:13" ht="15.75">
      <c r="A668" s="272"/>
      <c r="B668" s="29"/>
      <c r="C668" s="183"/>
      <c r="D668" s="183"/>
      <c r="E668" s="29"/>
      <c r="F668" s="27"/>
      <c r="G668" s="27"/>
      <c r="H668" s="27"/>
      <c r="I668" s="103"/>
      <c r="J668" s="27"/>
      <c r="K668" s="103"/>
      <c r="L668" s="27"/>
      <c r="M668" s="27"/>
    </row>
    <row r="669" spans="1:13" ht="15.75">
      <c r="A669" s="272"/>
      <c r="B669" s="29"/>
      <c r="C669" s="183"/>
      <c r="D669" s="183"/>
      <c r="E669" s="29"/>
      <c r="F669" s="27"/>
      <c r="G669" s="27"/>
      <c r="H669" s="27"/>
      <c r="I669" s="103"/>
      <c r="J669" s="27"/>
      <c r="K669" s="103"/>
      <c r="L669" s="27"/>
      <c r="M669" s="27"/>
    </row>
    <row r="670" spans="1:13" ht="15.75">
      <c r="A670" s="272"/>
      <c r="B670" s="29"/>
      <c r="C670" s="183"/>
      <c r="D670" s="183"/>
      <c r="E670" s="29"/>
      <c r="F670" s="27"/>
      <c r="G670" s="27"/>
      <c r="H670" s="27"/>
      <c r="I670" s="103"/>
      <c r="J670" s="27"/>
      <c r="K670" s="103"/>
      <c r="L670" s="27"/>
      <c r="M670" s="27"/>
    </row>
    <row r="671" spans="1:13" ht="15.75">
      <c r="A671" s="272"/>
      <c r="B671" s="29"/>
      <c r="C671" s="183"/>
      <c r="D671" s="183"/>
      <c r="E671" s="29"/>
      <c r="F671" s="27"/>
      <c r="G671" s="27"/>
      <c r="H671" s="27"/>
      <c r="I671" s="103"/>
      <c r="J671" s="27"/>
      <c r="K671" s="103"/>
      <c r="L671" s="27"/>
      <c r="M671" s="27"/>
    </row>
    <row r="672" spans="1:13" ht="15.75">
      <c r="A672" s="272"/>
      <c r="B672" s="29"/>
      <c r="C672" s="183"/>
      <c r="D672" s="183"/>
      <c r="E672" s="29"/>
      <c r="F672" s="27"/>
      <c r="G672" s="27"/>
      <c r="H672" s="27"/>
      <c r="I672" s="103"/>
      <c r="J672" s="27"/>
      <c r="K672" s="103"/>
      <c r="L672" s="27"/>
      <c r="M672" s="27"/>
    </row>
    <row r="673" spans="1:13" ht="15.75">
      <c r="A673" s="272"/>
      <c r="B673" s="29"/>
      <c r="C673" s="183"/>
      <c r="D673" s="183"/>
      <c r="E673" s="29"/>
      <c r="F673" s="27"/>
      <c r="G673" s="27"/>
      <c r="H673" s="27"/>
      <c r="I673" s="103"/>
      <c r="J673" s="27"/>
      <c r="K673" s="103"/>
      <c r="L673" s="27"/>
      <c r="M673" s="27"/>
    </row>
    <row r="674" spans="1:13" ht="15.75">
      <c r="A674" s="272"/>
      <c r="B674" s="29"/>
      <c r="C674" s="183"/>
      <c r="D674" s="183"/>
      <c r="E674" s="29"/>
      <c r="F674" s="27"/>
      <c r="G674" s="27"/>
      <c r="H674" s="27"/>
      <c r="I674" s="103"/>
      <c r="J674" s="27"/>
      <c r="K674" s="103"/>
      <c r="L674" s="27"/>
      <c r="M674" s="27"/>
    </row>
    <row r="675" spans="1:13" ht="15.75">
      <c r="A675" s="272"/>
      <c r="B675" s="29"/>
      <c r="C675" s="183"/>
      <c r="D675" s="183"/>
      <c r="E675" s="29"/>
      <c r="F675" s="27"/>
      <c r="G675" s="27"/>
      <c r="H675" s="27"/>
      <c r="I675" s="103"/>
      <c r="J675" s="27"/>
      <c r="K675" s="103"/>
      <c r="L675" s="27"/>
      <c r="M675" s="27"/>
    </row>
    <row r="676" spans="1:13" ht="15.75">
      <c r="A676" s="272"/>
      <c r="B676" s="29"/>
      <c r="C676" s="183"/>
      <c r="D676" s="183"/>
      <c r="E676" s="29"/>
      <c r="F676" s="27"/>
      <c r="G676" s="27"/>
      <c r="H676" s="27"/>
      <c r="I676" s="103"/>
      <c r="J676" s="27"/>
      <c r="K676" s="103"/>
      <c r="L676" s="27"/>
      <c r="M676" s="27"/>
    </row>
    <row r="677" spans="1:13" ht="15.75">
      <c r="A677" s="272"/>
      <c r="B677" s="29"/>
      <c r="C677" s="183"/>
      <c r="D677" s="183"/>
      <c r="E677" s="29"/>
      <c r="F677" s="27"/>
      <c r="G677" s="27"/>
      <c r="H677" s="27"/>
      <c r="I677" s="103"/>
      <c r="J677" s="27"/>
      <c r="K677" s="103"/>
      <c r="L677" s="27"/>
      <c r="M677" s="27"/>
    </row>
    <row r="678" spans="1:13" ht="15.75">
      <c r="A678" s="272"/>
      <c r="B678" s="29"/>
      <c r="C678" s="183"/>
      <c r="D678" s="183"/>
      <c r="E678" s="29"/>
      <c r="F678" s="27"/>
      <c r="G678" s="27"/>
      <c r="H678" s="27"/>
      <c r="I678" s="103"/>
      <c r="J678" s="27"/>
      <c r="K678" s="103"/>
      <c r="L678" s="27"/>
      <c r="M678" s="27"/>
    </row>
    <row r="679" spans="1:13" ht="15.75">
      <c r="A679" s="272"/>
      <c r="B679" s="29"/>
      <c r="C679" s="183"/>
      <c r="D679" s="183"/>
      <c r="E679" s="29"/>
      <c r="F679" s="27"/>
      <c r="G679" s="27"/>
      <c r="H679" s="27"/>
      <c r="I679" s="103"/>
      <c r="J679" s="27"/>
      <c r="K679" s="103"/>
      <c r="L679" s="27"/>
      <c r="M679" s="27"/>
    </row>
    <row r="680" spans="1:13" ht="15.75">
      <c r="A680" s="272"/>
      <c r="B680" s="29"/>
      <c r="C680" s="183"/>
      <c r="D680" s="183"/>
      <c r="E680" s="29"/>
      <c r="F680" s="27"/>
      <c r="G680" s="27"/>
      <c r="H680" s="27"/>
      <c r="I680" s="103"/>
      <c r="J680" s="27"/>
      <c r="K680" s="103"/>
      <c r="L680" s="27"/>
      <c r="M680" s="27"/>
    </row>
    <row r="681" spans="1:13" ht="15.75">
      <c r="A681" s="272"/>
      <c r="B681" s="29"/>
      <c r="C681" s="183"/>
      <c r="D681" s="183"/>
      <c r="E681" s="29"/>
      <c r="F681" s="27"/>
      <c r="G681" s="27"/>
      <c r="H681" s="27"/>
      <c r="I681" s="103"/>
      <c r="J681" s="27"/>
      <c r="K681" s="103"/>
      <c r="L681" s="27"/>
      <c r="M681" s="27"/>
    </row>
    <row r="682" spans="1:13" ht="15.75">
      <c r="A682" s="272"/>
      <c r="B682" s="29"/>
      <c r="C682" s="183"/>
      <c r="D682" s="183"/>
      <c r="E682" s="29"/>
      <c r="F682" s="27"/>
      <c r="G682" s="27"/>
      <c r="H682" s="27"/>
      <c r="I682" s="103"/>
      <c r="J682" s="27"/>
      <c r="K682" s="103"/>
      <c r="L682" s="27"/>
      <c r="M682" s="27"/>
    </row>
    <row r="683" spans="1:13" ht="15.75">
      <c r="A683" s="272"/>
      <c r="B683" s="29"/>
      <c r="C683" s="183"/>
      <c r="D683" s="183"/>
      <c r="E683" s="29"/>
      <c r="F683" s="27"/>
      <c r="G683" s="27"/>
      <c r="H683" s="27"/>
      <c r="I683" s="103"/>
      <c r="J683" s="27"/>
      <c r="K683" s="103"/>
      <c r="L683" s="27"/>
      <c r="M683" s="27"/>
    </row>
    <row r="684" spans="1:13" ht="15.75">
      <c r="A684" s="272"/>
      <c r="B684" s="29"/>
      <c r="C684" s="183"/>
      <c r="D684" s="183"/>
      <c r="E684" s="29"/>
      <c r="F684" s="27"/>
      <c r="G684" s="27"/>
      <c r="H684" s="27"/>
      <c r="I684" s="103"/>
      <c r="J684" s="27"/>
      <c r="K684" s="103"/>
      <c r="L684" s="27"/>
      <c r="M684" s="27"/>
    </row>
    <row r="685" spans="1:13" ht="15.75">
      <c r="A685" s="272"/>
      <c r="B685" s="29"/>
      <c r="C685" s="183"/>
      <c r="D685" s="183"/>
      <c r="E685" s="29"/>
      <c r="F685" s="27"/>
      <c r="G685" s="27"/>
      <c r="H685" s="27"/>
      <c r="I685" s="103"/>
      <c r="J685" s="27"/>
      <c r="K685" s="103"/>
      <c r="L685" s="27"/>
      <c r="M685" s="27"/>
    </row>
    <row r="686" spans="1:13" ht="15.75">
      <c r="A686" s="272"/>
      <c r="B686" s="29"/>
      <c r="C686" s="183"/>
      <c r="D686" s="183"/>
      <c r="E686" s="29"/>
      <c r="F686" s="27"/>
      <c r="G686" s="27"/>
      <c r="H686" s="27"/>
      <c r="I686" s="103"/>
      <c r="J686" s="27"/>
      <c r="K686" s="103"/>
      <c r="L686" s="27"/>
      <c r="M686" s="27"/>
    </row>
    <row r="687" spans="1:13" ht="15.75">
      <c r="A687" s="272"/>
      <c r="B687" s="29"/>
      <c r="C687" s="183"/>
      <c r="D687" s="183"/>
      <c r="E687" s="29"/>
      <c r="F687" s="27"/>
      <c r="G687" s="27"/>
      <c r="H687" s="27"/>
      <c r="I687" s="103"/>
      <c r="J687" s="27"/>
      <c r="K687" s="103"/>
      <c r="L687" s="27"/>
      <c r="M687" s="27"/>
    </row>
    <row r="688" spans="1:13" ht="15.75">
      <c r="A688" s="272"/>
      <c r="B688" s="29"/>
      <c r="C688" s="183"/>
      <c r="D688" s="183"/>
      <c r="E688" s="29"/>
      <c r="F688" s="27"/>
      <c r="G688" s="27"/>
      <c r="H688" s="27"/>
      <c r="I688" s="103"/>
      <c r="J688" s="27"/>
      <c r="K688" s="103"/>
      <c r="L688" s="27"/>
      <c r="M688" s="27"/>
    </row>
    <row r="689" spans="1:13" ht="15.75">
      <c r="A689" s="272"/>
      <c r="B689" s="29"/>
      <c r="C689" s="183"/>
      <c r="D689" s="183"/>
      <c r="E689" s="29"/>
      <c r="F689" s="27"/>
      <c r="G689" s="27"/>
      <c r="H689" s="27"/>
      <c r="I689" s="103"/>
      <c r="J689" s="27"/>
      <c r="K689" s="103"/>
      <c r="L689" s="27"/>
      <c r="M689" s="27"/>
    </row>
    <row r="690" spans="1:13" ht="15.75">
      <c r="A690" s="272"/>
      <c r="B690" s="29"/>
      <c r="C690" s="183"/>
      <c r="D690" s="183"/>
      <c r="E690" s="29"/>
      <c r="F690" s="27"/>
      <c r="G690" s="27"/>
      <c r="H690" s="27"/>
      <c r="I690" s="103"/>
      <c r="J690" s="27"/>
      <c r="K690" s="103"/>
      <c r="L690" s="27"/>
      <c r="M690" s="27"/>
    </row>
    <row r="691" spans="1:13" ht="15.75">
      <c r="A691" s="272"/>
      <c r="B691" s="29"/>
      <c r="C691" s="183"/>
      <c r="D691" s="183"/>
      <c r="E691" s="29"/>
      <c r="F691" s="27"/>
      <c r="G691" s="27"/>
      <c r="H691" s="27"/>
      <c r="I691" s="103"/>
      <c r="J691" s="27"/>
      <c r="K691" s="103"/>
      <c r="L691" s="27"/>
      <c r="M691" s="27"/>
    </row>
    <row r="692" spans="1:13" ht="15.75">
      <c r="A692" s="272"/>
      <c r="B692" s="29"/>
      <c r="C692" s="183"/>
      <c r="D692" s="183"/>
      <c r="E692" s="29"/>
      <c r="F692" s="27"/>
      <c r="G692" s="27"/>
      <c r="H692" s="27"/>
      <c r="I692" s="103"/>
      <c r="J692" s="27"/>
      <c r="K692" s="103"/>
      <c r="L692" s="27"/>
      <c r="M692" s="27"/>
    </row>
    <row r="693" spans="1:13" ht="15.75">
      <c r="A693" s="272"/>
      <c r="B693" s="29"/>
      <c r="C693" s="183"/>
      <c r="D693" s="183"/>
      <c r="E693" s="29"/>
      <c r="F693" s="27"/>
      <c r="G693" s="27"/>
      <c r="H693" s="27"/>
      <c r="I693" s="103"/>
      <c r="J693" s="27"/>
      <c r="K693" s="103"/>
      <c r="L693" s="27"/>
      <c r="M693" s="27"/>
    </row>
    <row r="694" spans="1:13" ht="15.75">
      <c r="A694" s="272"/>
      <c r="B694" s="29"/>
      <c r="C694" s="183"/>
      <c r="D694" s="183"/>
      <c r="E694" s="29"/>
      <c r="F694" s="27"/>
      <c r="G694" s="27"/>
      <c r="H694" s="27"/>
      <c r="I694" s="103"/>
      <c r="J694" s="27"/>
      <c r="K694" s="103"/>
      <c r="L694" s="27"/>
      <c r="M694" s="27"/>
    </row>
    <row r="695" spans="1:13" ht="15.75">
      <c r="A695" s="272"/>
      <c r="B695" s="29"/>
      <c r="C695" s="183"/>
      <c r="D695" s="183"/>
      <c r="E695" s="29"/>
      <c r="F695" s="27"/>
      <c r="G695" s="27"/>
      <c r="H695" s="27"/>
      <c r="I695" s="103"/>
      <c r="J695" s="27"/>
      <c r="K695" s="103"/>
      <c r="L695" s="27"/>
      <c r="M695" s="27"/>
    </row>
    <row r="696" spans="1:13" ht="15.75">
      <c r="A696" s="272"/>
      <c r="B696" s="29"/>
      <c r="C696" s="183"/>
      <c r="D696" s="183"/>
      <c r="E696" s="29"/>
      <c r="F696" s="27"/>
      <c r="G696" s="27"/>
      <c r="H696" s="27"/>
      <c r="I696" s="103"/>
      <c r="J696" s="27"/>
      <c r="K696" s="103"/>
      <c r="L696" s="27"/>
      <c r="M696" s="27"/>
    </row>
    <row r="697" spans="1:13" ht="15.75">
      <c r="A697" s="272"/>
      <c r="B697" s="29"/>
      <c r="C697" s="183"/>
      <c r="D697" s="183"/>
      <c r="E697" s="29"/>
      <c r="F697" s="27"/>
      <c r="G697" s="27"/>
      <c r="H697" s="27"/>
      <c r="I697" s="103"/>
      <c r="J697" s="27"/>
      <c r="K697" s="103"/>
      <c r="L697" s="27"/>
      <c r="M697" s="27"/>
    </row>
    <row r="698" spans="1:13" ht="15.75">
      <c r="A698" s="272"/>
      <c r="B698" s="29"/>
      <c r="C698" s="183"/>
      <c r="D698" s="183"/>
      <c r="E698" s="29"/>
      <c r="F698" s="27"/>
      <c r="G698" s="27"/>
      <c r="H698" s="27"/>
      <c r="I698" s="103"/>
      <c r="J698" s="27"/>
      <c r="K698" s="103"/>
      <c r="L698" s="27"/>
      <c r="M698" s="27"/>
    </row>
    <row r="699" spans="1:13" ht="15.75">
      <c r="A699" s="272"/>
      <c r="B699" s="29"/>
      <c r="C699" s="183"/>
      <c r="D699" s="183"/>
      <c r="E699" s="29"/>
      <c r="F699" s="27"/>
      <c r="G699" s="27"/>
      <c r="H699" s="27"/>
      <c r="I699" s="103"/>
      <c r="J699" s="27"/>
      <c r="K699" s="103"/>
      <c r="L699" s="27"/>
      <c r="M699" s="27"/>
    </row>
    <row r="700" spans="1:13" ht="15.75">
      <c r="A700" s="272"/>
      <c r="B700" s="29"/>
      <c r="C700" s="183"/>
      <c r="D700" s="183"/>
      <c r="E700" s="29"/>
      <c r="F700" s="27"/>
      <c r="G700" s="27"/>
      <c r="H700" s="27"/>
      <c r="I700" s="103"/>
      <c r="J700" s="27"/>
      <c r="K700" s="103"/>
      <c r="L700" s="27"/>
      <c r="M700" s="27"/>
    </row>
    <row r="701" spans="1:13" ht="15.75">
      <c r="A701" s="272"/>
      <c r="B701" s="29"/>
      <c r="C701" s="183"/>
      <c r="D701" s="183"/>
      <c r="E701" s="29"/>
      <c r="F701" s="27"/>
      <c r="G701" s="27"/>
      <c r="H701" s="27"/>
      <c r="I701" s="103"/>
      <c r="J701" s="27"/>
      <c r="K701" s="103"/>
      <c r="L701" s="27"/>
      <c r="M701" s="27"/>
    </row>
    <row r="702" spans="1:13" ht="15.75">
      <c r="A702" s="272"/>
      <c r="B702" s="29"/>
      <c r="C702" s="183"/>
      <c r="D702" s="183"/>
      <c r="E702" s="29"/>
      <c r="F702" s="27"/>
      <c r="G702" s="27"/>
      <c r="H702" s="27"/>
      <c r="I702" s="103"/>
      <c r="J702" s="27"/>
      <c r="K702" s="103"/>
      <c r="L702" s="27"/>
      <c r="M702" s="27"/>
    </row>
    <row r="703" spans="1:13" ht="15.75">
      <c r="A703" s="272"/>
      <c r="B703" s="29"/>
      <c r="C703" s="183"/>
      <c r="D703" s="183"/>
      <c r="E703" s="29"/>
      <c r="F703" s="27"/>
      <c r="G703" s="27"/>
      <c r="H703" s="27"/>
      <c r="I703" s="103"/>
      <c r="J703" s="27"/>
      <c r="K703" s="103"/>
      <c r="L703" s="27"/>
      <c r="M703" s="27"/>
    </row>
    <row r="704" spans="1:13" ht="15.75">
      <c r="A704" s="272"/>
      <c r="B704" s="29"/>
      <c r="C704" s="183"/>
      <c r="D704" s="183"/>
      <c r="E704" s="29"/>
      <c r="F704" s="27"/>
      <c r="G704" s="27"/>
      <c r="H704" s="27"/>
      <c r="I704" s="103"/>
      <c r="J704" s="27"/>
      <c r="K704" s="103"/>
      <c r="L704" s="27"/>
      <c r="M704" s="27"/>
    </row>
    <row r="705" spans="1:13" ht="15.75">
      <c r="A705" s="272"/>
      <c r="B705" s="29"/>
      <c r="C705" s="183"/>
      <c r="D705" s="183"/>
      <c r="E705" s="29"/>
      <c r="F705" s="27"/>
      <c r="G705" s="27"/>
      <c r="H705" s="27"/>
      <c r="I705" s="103"/>
      <c r="J705" s="27"/>
      <c r="K705" s="103"/>
      <c r="L705" s="27"/>
      <c r="M705" s="27"/>
    </row>
    <row r="706" spans="1:13" ht="15.75">
      <c r="A706" s="272"/>
      <c r="B706" s="29"/>
      <c r="C706" s="183"/>
      <c r="D706" s="183"/>
      <c r="E706" s="29"/>
      <c r="F706" s="27"/>
      <c r="G706" s="27"/>
      <c r="H706" s="27"/>
      <c r="I706" s="103"/>
      <c r="J706" s="27"/>
      <c r="K706" s="103"/>
      <c r="L706" s="27"/>
      <c r="M706" s="27"/>
    </row>
    <row r="707" spans="1:13" ht="15.75">
      <c r="A707" s="272"/>
      <c r="B707" s="29"/>
      <c r="C707" s="183"/>
      <c r="D707" s="183"/>
      <c r="E707" s="29"/>
      <c r="F707" s="27"/>
      <c r="G707" s="27"/>
      <c r="H707" s="27"/>
      <c r="I707" s="103"/>
      <c r="J707" s="27"/>
      <c r="K707" s="103"/>
      <c r="L707" s="27"/>
      <c r="M707" s="27"/>
    </row>
    <row r="708" spans="1:13" ht="15.75">
      <c r="A708" s="272"/>
      <c r="B708" s="29"/>
      <c r="C708" s="183"/>
      <c r="D708" s="183"/>
      <c r="E708" s="29"/>
      <c r="F708" s="27"/>
      <c r="G708" s="27"/>
      <c r="H708" s="27"/>
      <c r="I708" s="103"/>
      <c r="J708" s="27"/>
      <c r="K708" s="103"/>
      <c r="L708" s="27"/>
      <c r="M708" s="27"/>
    </row>
    <row r="709" spans="1:13" ht="15.75">
      <c r="A709" s="272"/>
      <c r="B709" s="29"/>
      <c r="C709" s="183"/>
      <c r="D709" s="183"/>
      <c r="E709" s="29"/>
      <c r="F709" s="27"/>
      <c r="G709" s="27"/>
      <c r="H709" s="27"/>
      <c r="I709" s="103"/>
      <c r="J709" s="27"/>
      <c r="K709" s="103"/>
      <c r="L709" s="27"/>
      <c r="M709" s="27"/>
    </row>
    <row r="710" spans="1:13" ht="15.75">
      <c r="A710" s="272"/>
      <c r="B710" s="29"/>
      <c r="C710" s="183"/>
      <c r="D710" s="183"/>
      <c r="E710" s="29"/>
      <c r="F710" s="27"/>
      <c r="G710" s="27"/>
      <c r="H710" s="27"/>
      <c r="I710" s="103"/>
      <c r="J710" s="27"/>
      <c r="K710" s="103"/>
      <c r="L710" s="27"/>
      <c r="M710" s="27"/>
    </row>
    <row r="711" spans="1:13" ht="15.75">
      <c r="A711" s="272"/>
      <c r="B711" s="29"/>
      <c r="C711" s="183"/>
      <c r="D711" s="183"/>
      <c r="E711" s="29"/>
      <c r="F711" s="27"/>
      <c r="G711" s="27"/>
      <c r="H711" s="27"/>
      <c r="I711" s="103"/>
      <c r="J711" s="27"/>
      <c r="K711" s="103"/>
      <c r="L711" s="27"/>
      <c r="M711" s="27"/>
    </row>
    <row r="712" spans="1:13" ht="15.75">
      <c r="A712" s="272"/>
      <c r="B712" s="29"/>
      <c r="C712" s="183"/>
      <c r="D712" s="183"/>
      <c r="E712" s="29"/>
      <c r="F712" s="27"/>
      <c r="G712" s="27"/>
      <c r="H712" s="27"/>
      <c r="I712" s="103"/>
      <c r="J712" s="27"/>
      <c r="K712" s="103"/>
      <c r="L712" s="27"/>
      <c r="M712" s="27"/>
    </row>
    <row r="713" spans="1:13" ht="15.75">
      <c r="A713" s="272"/>
      <c r="B713" s="29"/>
      <c r="C713" s="183"/>
      <c r="D713" s="183"/>
      <c r="E713" s="29"/>
      <c r="F713" s="27"/>
      <c r="G713" s="27"/>
      <c r="H713" s="27"/>
      <c r="I713" s="103"/>
      <c r="J713" s="27"/>
      <c r="K713" s="103"/>
      <c r="L713" s="27"/>
      <c r="M713" s="27"/>
    </row>
    <row r="714" spans="1:13" ht="15.75">
      <c r="A714" s="272"/>
      <c r="B714" s="29"/>
      <c r="C714" s="183"/>
      <c r="D714" s="183"/>
      <c r="E714" s="29"/>
      <c r="F714" s="27"/>
      <c r="G714" s="27"/>
      <c r="H714" s="27"/>
      <c r="I714" s="103"/>
      <c r="J714" s="27"/>
      <c r="K714" s="103"/>
      <c r="L714" s="27"/>
      <c r="M714" s="27"/>
    </row>
    <row r="715" spans="1:13" ht="15.75">
      <c r="A715" s="272"/>
      <c r="B715" s="29"/>
      <c r="C715" s="183"/>
      <c r="D715" s="183"/>
      <c r="E715" s="29"/>
      <c r="F715" s="27"/>
      <c r="G715" s="27"/>
      <c r="H715" s="27"/>
      <c r="I715" s="103"/>
      <c r="J715" s="27"/>
      <c r="K715" s="103"/>
      <c r="L715" s="27"/>
      <c r="M715" s="27"/>
    </row>
    <row r="716" spans="1:13" ht="15.75">
      <c r="A716" s="272"/>
      <c r="B716" s="29"/>
      <c r="C716" s="183"/>
      <c r="D716" s="183"/>
      <c r="E716" s="29"/>
      <c r="F716" s="27"/>
      <c r="G716" s="27"/>
      <c r="H716" s="27"/>
      <c r="I716" s="103"/>
      <c r="J716" s="27"/>
      <c r="K716" s="103"/>
      <c r="L716" s="27"/>
      <c r="M716" s="27"/>
    </row>
    <row r="717" spans="1:13" ht="15.75">
      <c r="A717" s="272"/>
      <c r="B717" s="29"/>
      <c r="C717" s="183"/>
      <c r="D717" s="183"/>
      <c r="E717" s="29"/>
      <c r="F717" s="27"/>
      <c r="G717" s="27"/>
      <c r="H717" s="27"/>
      <c r="I717" s="103"/>
      <c r="J717" s="27"/>
      <c r="K717" s="103"/>
      <c r="L717" s="27"/>
      <c r="M717" s="27"/>
    </row>
    <row r="718" spans="1:13" ht="15.75">
      <c r="A718" s="272"/>
      <c r="B718" s="29"/>
      <c r="C718" s="183"/>
      <c r="D718" s="183"/>
      <c r="E718" s="29"/>
      <c r="F718" s="27"/>
      <c r="G718" s="27"/>
      <c r="H718" s="27"/>
      <c r="I718" s="103"/>
      <c r="J718" s="27"/>
      <c r="K718" s="103"/>
      <c r="L718" s="27"/>
      <c r="M718" s="27"/>
    </row>
    <row r="719" spans="1:13" ht="15.75">
      <c r="A719" s="272"/>
      <c r="B719" s="29"/>
      <c r="C719" s="183"/>
      <c r="D719" s="183"/>
      <c r="E719" s="29"/>
      <c r="F719" s="27"/>
      <c r="G719" s="27"/>
      <c r="H719" s="27"/>
      <c r="I719" s="103"/>
      <c r="J719" s="27"/>
      <c r="K719" s="103"/>
      <c r="L719" s="27"/>
      <c r="M719" s="27"/>
    </row>
    <row r="720" spans="1:13" ht="15.75">
      <c r="A720" s="272"/>
      <c r="B720" s="29"/>
      <c r="C720" s="183"/>
      <c r="D720" s="183"/>
      <c r="E720" s="29"/>
      <c r="F720" s="27"/>
      <c r="G720" s="27"/>
      <c r="H720" s="27"/>
      <c r="I720" s="103"/>
      <c r="J720" s="27"/>
      <c r="K720" s="103"/>
      <c r="L720" s="27"/>
      <c r="M720" s="27"/>
    </row>
    <row r="721" spans="1:13" ht="15.75">
      <c r="A721" s="272"/>
      <c r="B721" s="29"/>
      <c r="C721" s="183"/>
      <c r="D721" s="183"/>
      <c r="E721" s="29"/>
      <c r="F721" s="27"/>
      <c r="G721" s="27"/>
      <c r="H721" s="27"/>
      <c r="I721" s="103"/>
      <c r="J721" s="27"/>
      <c r="K721" s="103"/>
      <c r="L721" s="27"/>
      <c r="M721" s="27"/>
    </row>
    <row r="722" spans="1:13" ht="15.75">
      <c r="A722" s="272"/>
      <c r="B722" s="29"/>
      <c r="C722" s="183"/>
      <c r="D722" s="183"/>
      <c r="E722" s="29"/>
      <c r="F722" s="27"/>
      <c r="G722" s="27"/>
      <c r="H722" s="27"/>
      <c r="I722" s="103"/>
      <c r="J722" s="27"/>
      <c r="K722" s="103"/>
      <c r="L722" s="27"/>
      <c r="M722" s="27"/>
    </row>
    <row r="723" spans="1:13" ht="15.75">
      <c r="A723" s="272"/>
      <c r="B723" s="29"/>
      <c r="C723" s="183"/>
      <c r="D723" s="183"/>
      <c r="E723" s="29"/>
      <c r="F723" s="27"/>
      <c r="G723" s="27"/>
      <c r="H723" s="27"/>
      <c r="I723" s="103"/>
      <c r="J723" s="27"/>
      <c r="K723" s="103"/>
      <c r="L723" s="27"/>
      <c r="M723" s="27"/>
    </row>
    <row r="724" spans="1:13" ht="15.75">
      <c r="A724" s="272"/>
      <c r="B724" s="29"/>
      <c r="C724" s="183"/>
      <c r="D724" s="183"/>
      <c r="E724" s="29"/>
      <c r="F724" s="27"/>
      <c r="G724" s="27"/>
      <c r="H724" s="27"/>
      <c r="I724" s="103"/>
      <c r="J724" s="27"/>
      <c r="K724" s="103"/>
      <c r="L724" s="27"/>
      <c r="M724" s="27"/>
    </row>
    <row r="725" spans="1:13" ht="15.75">
      <c r="A725" s="272"/>
      <c r="B725" s="29"/>
      <c r="C725" s="183"/>
      <c r="D725" s="183"/>
      <c r="E725" s="29"/>
      <c r="F725" s="27"/>
      <c r="G725" s="27"/>
      <c r="H725" s="27"/>
      <c r="I725" s="103"/>
      <c r="J725" s="27"/>
      <c r="K725" s="103"/>
      <c r="L725" s="27"/>
      <c r="M725" s="27"/>
    </row>
    <row r="726" spans="1:13" ht="15.75">
      <c r="A726" s="272"/>
      <c r="B726" s="29"/>
      <c r="C726" s="183"/>
      <c r="D726" s="183"/>
      <c r="E726" s="29"/>
      <c r="F726" s="27"/>
      <c r="G726" s="27"/>
      <c r="H726" s="27"/>
      <c r="I726" s="103"/>
      <c r="J726" s="27"/>
      <c r="K726" s="103"/>
      <c r="L726" s="27"/>
      <c r="M726" s="27"/>
    </row>
    <row r="727" spans="1:13" ht="15.75">
      <c r="A727" s="272"/>
      <c r="B727" s="29"/>
      <c r="C727" s="183"/>
      <c r="D727" s="183"/>
      <c r="E727" s="29"/>
      <c r="F727" s="27"/>
      <c r="G727" s="27"/>
      <c r="H727" s="27"/>
      <c r="I727" s="103"/>
      <c r="J727" s="27"/>
      <c r="K727" s="103"/>
      <c r="L727" s="27"/>
      <c r="M727" s="27"/>
    </row>
    <row r="728" spans="1:13" ht="15.75">
      <c r="A728" s="272"/>
      <c r="B728" s="29"/>
      <c r="C728" s="183"/>
      <c r="D728" s="183"/>
      <c r="E728" s="29"/>
      <c r="F728" s="27"/>
      <c r="G728" s="27"/>
      <c r="H728" s="27"/>
      <c r="I728" s="103"/>
      <c r="J728" s="27"/>
      <c r="K728" s="103"/>
      <c r="L728" s="27"/>
      <c r="M728" s="27"/>
    </row>
    <row r="729" spans="1:13" ht="15.75">
      <c r="A729" s="272"/>
      <c r="B729" s="29"/>
      <c r="C729" s="183"/>
      <c r="D729" s="183"/>
      <c r="E729" s="29"/>
      <c r="F729" s="27"/>
      <c r="G729" s="27"/>
      <c r="H729" s="27"/>
      <c r="I729" s="103"/>
      <c r="J729" s="27"/>
      <c r="K729" s="103"/>
      <c r="L729" s="27"/>
      <c r="M729" s="27"/>
    </row>
    <row r="730" spans="1:13" ht="15.75">
      <c r="A730" s="272"/>
      <c r="B730" s="29"/>
      <c r="C730" s="183"/>
      <c r="D730" s="183"/>
      <c r="E730" s="29"/>
      <c r="F730" s="27"/>
      <c r="G730" s="27"/>
      <c r="H730" s="27"/>
      <c r="I730" s="103"/>
      <c r="J730" s="27"/>
      <c r="K730" s="103"/>
      <c r="L730" s="27"/>
      <c r="M730" s="27"/>
    </row>
    <row r="731" spans="1:13" ht="15.75">
      <c r="A731" s="272"/>
      <c r="B731" s="29"/>
      <c r="C731" s="183"/>
      <c r="D731" s="183"/>
      <c r="E731" s="29"/>
      <c r="F731" s="27"/>
      <c r="G731" s="27"/>
      <c r="H731" s="27"/>
      <c r="I731" s="103"/>
      <c r="J731" s="27"/>
      <c r="K731" s="103"/>
      <c r="L731" s="27"/>
      <c r="M731" s="27"/>
    </row>
    <row r="732" spans="1:13" ht="15.75">
      <c r="A732" s="272"/>
      <c r="B732" s="29"/>
      <c r="C732" s="183"/>
      <c r="D732" s="183"/>
      <c r="E732" s="29"/>
      <c r="F732" s="27"/>
      <c r="G732" s="27"/>
      <c r="H732" s="27"/>
      <c r="I732" s="103"/>
      <c r="J732" s="27"/>
      <c r="K732" s="103"/>
      <c r="L732" s="27"/>
      <c r="M732" s="27"/>
    </row>
    <row r="733" spans="1:13" ht="15.75">
      <c r="A733" s="272"/>
      <c r="B733" s="29"/>
      <c r="C733" s="183"/>
      <c r="D733" s="183"/>
      <c r="E733" s="29"/>
      <c r="F733" s="27"/>
      <c r="G733" s="27"/>
      <c r="H733" s="27"/>
      <c r="I733" s="103"/>
      <c r="J733" s="27"/>
      <c r="K733" s="103"/>
      <c r="L733" s="27"/>
      <c r="M733" s="27"/>
    </row>
    <row r="734" spans="1:13" ht="15.75">
      <c r="A734" s="272"/>
      <c r="B734" s="29"/>
      <c r="C734" s="183"/>
      <c r="D734" s="183"/>
      <c r="E734" s="29"/>
      <c r="F734" s="27"/>
      <c r="G734" s="27"/>
      <c r="H734" s="27"/>
      <c r="I734" s="103"/>
      <c r="J734" s="27"/>
      <c r="K734" s="103"/>
      <c r="L734" s="27"/>
      <c r="M734" s="27"/>
    </row>
    <row r="735" spans="1:13" ht="15.75">
      <c r="A735" s="272"/>
      <c r="B735" s="29"/>
      <c r="C735" s="183"/>
      <c r="D735" s="183"/>
      <c r="E735" s="29"/>
      <c r="F735" s="27"/>
      <c r="G735" s="27"/>
      <c r="H735" s="27"/>
      <c r="I735" s="103"/>
      <c r="J735" s="27"/>
      <c r="K735" s="103"/>
      <c r="L735" s="27"/>
      <c r="M735" s="27"/>
    </row>
    <row r="736" spans="1:13" ht="15.75">
      <c r="A736" s="272"/>
      <c r="B736" s="29"/>
      <c r="C736" s="183"/>
      <c r="D736" s="183"/>
      <c r="E736" s="29"/>
      <c r="F736" s="27"/>
      <c r="G736" s="27"/>
      <c r="H736" s="27"/>
      <c r="I736" s="103"/>
      <c r="J736" s="27"/>
      <c r="K736" s="103"/>
      <c r="L736" s="27"/>
      <c r="M736" s="27"/>
    </row>
    <row r="737" spans="1:13" ht="15.75">
      <c r="A737" s="272"/>
      <c r="B737" s="29"/>
      <c r="C737" s="183"/>
      <c r="D737" s="183"/>
      <c r="E737" s="29"/>
      <c r="F737" s="27"/>
      <c r="G737" s="27"/>
      <c r="H737" s="27"/>
      <c r="I737" s="103"/>
      <c r="J737" s="27"/>
      <c r="K737" s="103"/>
      <c r="L737" s="27"/>
      <c r="M737" s="27"/>
    </row>
    <row r="738" spans="1:13" ht="15.75">
      <c r="A738" s="272"/>
      <c r="B738" s="29"/>
      <c r="C738" s="183"/>
      <c r="D738" s="183"/>
      <c r="E738" s="29"/>
      <c r="F738" s="27"/>
      <c r="G738" s="27"/>
      <c r="H738" s="27"/>
      <c r="I738" s="103"/>
      <c r="J738" s="27"/>
      <c r="K738" s="103"/>
      <c r="L738" s="27"/>
      <c r="M738" s="27"/>
    </row>
    <row r="739" spans="1:13" ht="15.75">
      <c r="A739" s="272"/>
      <c r="B739" s="29"/>
      <c r="C739" s="183"/>
      <c r="D739" s="183"/>
      <c r="E739" s="29"/>
      <c r="F739" s="27"/>
      <c r="G739" s="27"/>
      <c r="H739" s="27"/>
      <c r="I739" s="103"/>
      <c r="J739" s="27"/>
      <c r="K739" s="103"/>
      <c r="L739" s="27"/>
      <c r="M739" s="27"/>
    </row>
    <row r="740" spans="1:13" ht="15.75">
      <c r="A740" s="272"/>
      <c r="B740" s="29"/>
      <c r="C740" s="183"/>
      <c r="D740" s="183"/>
      <c r="E740" s="29"/>
      <c r="F740" s="27"/>
      <c r="G740" s="27"/>
      <c r="H740" s="27"/>
      <c r="I740" s="103"/>
      <c r="J740" s="27"/>
      <c r="K740" s="103"/>
      <c r="L740" s="27"/>
      <c r="M740" s="27"/>
    </row>
    <row r="741" spans="1:13" ht="15.75">
      <c r="A741" s="272"/>
      <c r="B741" s="29"/>
      <c r="C741" s="183"/>
      <c r="D741" s="183"/>
      <c r="E741" s="29"/>
      <c r="F741" s="27"/>
      <c r="G741" s="27"/>
      <c r="H741" s="27"/>
      <c r="I741" s="103"/>
      <c r="J741" s="27"/>
      <c r="K741" s="103"/>
      <c r="L741" s="27"/>
      <c r="M741" s="27"/>
    </row>
    <row r="742" spans="1:13" ht="15.75">
      <c r="A742" s="272"/>
      <c r="B742" s="29"/>
      <c r="C742" s="183"/>
      <c r="D742" s="183"/>
      <c r="E742" s="29"/>
      <c r="F742" s="27"/>
      <c r="G742" s="27"/>
      <c r="H742" s="27"/>
      <c r="I742" s="103"/>
      <c r="J742" s="27"/>
      <c r="K742" s="103"/>
      <c r="L742" s="27"/>
      <c r="M742" s="27"/>
    </row>
    <row r="743" spans="1:13" ht="15.75">
      <c r="A743" s="272"/>
      <c r="B743" s="29"/>
      <c r="C743" s="183"/>
      <c r="D743" s="183"/>
      <c r="E743" s="29"/>
      <c r="F743" s="27"/>
      <c r="G743" s="27"/>
      <c r="H743" s="27"/>
      <c r="I743" s="103"/>
      <c r="J743" s="27"/>
      <c r="K743" s="103"/>
      <c r="L743" s="27"/>
      <c r="M743" s="27"/>
    </row>
    <row r="744" spans="1:13" ht="15.75">
      <c r="A744" s="272"/>
      <c r="B744" s="29"/>
      <c r="C744" s="183"/>
      <c r="D744" s="183"/>
      <c r="E744" s="29"/>
      <c r="F744" s="27"/>
      <c r="G744" s="27"/>
      <c r="H744" s="27"/>
      <c r="I744" s="103"/>
      <c r="J744" s="27"/>
      <c r="K744" s="103"/>
      <c r="L744" s="27"/>
      <c r="M744" s="27"/>
    </row>
    <row r="745" spans="1:13" ht="15.75">
      <c r="A745" s="272"/>
      <c r="B745" s="29"/>
      <c r="C745" s="183"/>
      <c r="D745" s="183"/>
      <c r="E745" s="29"/>
      <c r="F745" s="27"/>
      <c r="G745" s="27"/>
      <c r="H745" s="27"/>
      <c r="I745" s="103"/>
      <c r="J745" s="27"/>
      <c r="K745" s="103"/>
      <c r="L745" s="27"/>
      <c r="M745" s="27"/>
    </row>
    <row r="746" spans="1:13" ht="15.75">
      <c r="A746" s="272"/>
      <c r="B746" s="29"/>
      <c r="C746" s="183"/>
      <c r="D746" s="183"/>
      <c r="E746" s="29"/>
      <c r="F746" s="27"/>
      <c r="G746" s="27"/>
      <c r="H746" s="27"/>
      <c r="I746" s="103"/>
      <c r="J746" s="27"/>
      <c r="K746" s="103"/>
      <c r="L746" s="27"/>
      <c r="M746" s="27"/>
    </row>
    <row r="747" spans="1:13" ht="15.75">
      <c r="A747" s="272"/>
      <c r="B747" s="29"/>
      <c r="C747" s="183"/>
      <c r="D747" s="183"/>
      <c r="E747" s="29"/>
      <c r="F747" s="27"/>
      <c r="G747" s="27"/>
      <c r="H747" s="27"/>
      <c r="I747" s="103"/>
      <c r="J747" s="27"/>
      <c r="K747" s="103"/>
      <c r="L747" s="27"/>
      <c r="M747" s="27"/>
    </row>
    <row r="748" spans="1:13" ht="15.75">
      <c r="A748" s="272"/>
      <c r="B748" s="29"/>
      <c r="C748" s="183"/>
      <c r="D748" s="183"/>
      <c r="E748" s="29"/>
      <c r="F748" s="27"/>
      <c r="G748" s="27"/>
      <c r="H748" s="27"/>
      <c r="I748" s="103"/>
      <c r="J748" s="27"/>
      <c r="K748" s="103"/>
      <c r="L748" s="27"/>
      <c r="M748" s="27"/>
    </row>
    <row r="749" spans="1:13" ht="15.75">
      <c r="A749" s="272"/>
      <c r="B749" s="29"/>
      <c r="C749" s="183"/>
      <c r="D749" s="183"/>
      <c r="E749" s="29"/>
      <c r="F749" s="27"/>
      <c r="G749" s="27"/>
      <c r="H749" s="27"/>
      <c r="I749" s="103"/>
      <c r="J749" s="27"/>
      <c r="K749" s="103"/>
      <c r="L749" s="27"/>
      <c r="M749" s="27"/>
    </row>
    <row r="750" spans="1:13" ht="15.75">
      <c r="A750" s="272"/>
      <c r="B750" s="29"/>
      <c r="C750" s="183"/>
      <c r="D750" s="183"/>
      <c r="E750" s="29"/>
      <c r="F750" s="27"/>
      <c r="G750" s="27"/>
      <c r="H750" s="27"/>
      <c r="I750" s="103"/>
      <c r="J750" s="27"/>
      <c r="K750" s="103"/>
      <c r="L750" s="27"/>
      <c r="M750" s="27"/>
    </row>
    <row r="751" spans="1:13" ht="15.75">
      <c r="A751" s="272"/>
      <c r="B751" s="29"/>
      <c r="C751" s="183"/>
      <c r="D751" s="183"/>
      <c r="E751" s="29"/>
      <c r="F751" s="27"/>
      <c r="G751" s="27"/>
      <c r="H751" s="27"/>
      <c r="I751" s="103"/>
      <c r="J751" s="27"/>
      <c r="K751" s="103"/>
      <c r="L751" s="27"/>
      <c r="M751" s="27"/>
    </row>
    <row r="752" spans="1:13" ht="15.75">
      <c r="A752" s="272"/>
      <c r="B752" s="29"/>
      <c r="C752" s="183"/>
      <c r="D752" s="183"/>
      <c r="E752" s="29"/>
      <c r="F752" s="27"/>
      <c r="G752" s="27"/>
      <c r="H752" s="27"/>
      <c r="I752" s="103"/>
      <c r="J752" s="27"/>
      <c r="K752" s="103"/>
      <c r="L752" s="27"/>
      <c r="M752" s="27"/>
    </row>
    <row r="753" spans="1:13" ht="15.75">
      <c r="A753" s="272"/>
      <c r="B753" s="29"/>
      <c r="C753" s="183"/>
      <c r="D753" s="183"/>
      <c r="E753" s="29"/>
      <c r="F753" s="27"/>
      <c r="G753" s="27"/>
      <c r="H753" s="27"/>
      <c r="I753" s="103"/>
      <c r="J753" s="27"/>
      <c r="K753" s="103"/>
      <c r="L753" s="27"/>
      <c r="M753" s="27"/>
    </row>
    <row r="754" spans="1:13" ht="15.75">
      <c r="A754" s="272"/>
      <c r="B754" s="29"/>
      <c r="C754" s="183"/>
      <c r="D754" s="183"/>
      <c r="E754" s="29"/>
      <c r="F754" s="27"/>
      <c r="G754" s="27"/>
      <c r="H754" s="27"/>
      <c r="I754" s="103"/>
      <c r="J754" s="27"/>
      <c r="K754" s="103"/>
      <c r="L754" s="27"/>
      <c r="M754" s="27"/>
    </row>
    <row r="755" spans="1:13" ht="15.75">
      <c r="A755" s="272"/>
      <c r="B755" s="29"/>
      <c r="C755" s="183"/>
      <c r="D755" s="183"/>
      <c r="E755" s="29"/>
      <c r="F755" s="27"/>
      <c r="G755" s="27"/>
      <c r="H755" s="27"/>
      <c r="I755" s="103"/>
      <c r="J755" s="27"/>
      <c r="K755" s="103"/>
      <c r="L755" s="27"/>
      <c r="M755" s="27"/>
    </row>
    <row r="756" spans="1:13" ht="15.75">
      <c r="A756" s="272"/>
      <c r="B756" s="29"/>
      <c r="C756" s="183"/>
      <c r="D756" s="183"/>
      <c r="E756" s="29"/>
      <c r="F756" s="27"/>
      <c r="G756" s="27"/>
      <c r="H756" s="27"/>
      <c r="I756" s="103"/>
      <c r="J756" s="27"/>
      <c r="K756" s="103"/>
      <c r="L756" s="27"/>
      <c r="M756" s="27"/>
    </row>
    <row r="757" spans="1:13" ht="15.75">
      <c r="A757" s="272"/>
      <c r="B757" s="29"/>
      <c r="C757" s="183"/>
      <c r="D757" s="183"/>
      <c r="E757" s="29"/>
      <c r="F757" s="27"/>
      <c r="G757" s="27"/>
      <c r="H757" s="27"/>
      <c r="I757" s="103"/>
      <c r="J757" s="27"/>
      <c r="K757" s="103"/>
      <c r="L757" s="27"/>
      <c r="M757" s="27"/>
    </row>
    <row r="758" spans="1:13" ht="15.75">
      <c r="A758" s="272"/>
      <c r="B758" s="29"/>
      <c r="C758" s="183"/>
      <c r="D758" s="183"/>
      <c r="E758" s="29"/>
      <c r="F758" s="27"/>
      <c r="G758" s="27"/>
      <c r="H758" s="27"/>
      <c r="I758" s="103"/>
      <c r="J758" s="27"/>
      <c r="K758" s="103"/>
      <c r="L758" s="27"/>
      <c r="M758" s="27"/>
    </row>
    <row r="759" spans="1:13" ht="15.75">
      <c r="A759" s="272"/>
      <c r="B759" s="29"/>
      <c r="C759" s="183"/>
      <c r="D759" s="183"/>
      <c r="E759" s="29"/>
      <c r="F759" s="27"/>
      <c r="G759" s="27"/>
      <c r="H759" s="27"/>
      <c r="I759" s="103"/>
      <c r="J759" s="27"/>
      <c r="K759" s="103"/>
      <c r="L759" s="27"/>
      <c r="M759" s="27"/>
    </row>
    <row r="760" spans="1:13" ht="15.75">
      <c r="A760" s="272"/>
      <c r="B760" s="29"/>
      <c r="C760" s="183"/>
      <c r="D760" s="183"/>
      <c r="E760" s="29"/>
      <c r="F760" s="27"/>
      <c r="G760" s="27"/>
      <c r="H760" s="27"/>
      <c r="I760" s="103"/>
      <c r="J760" s="27"/>
      <c r="K760" s="103"/>
      <c r="L760" s="27"/>
      <c r="M760" s="27"/>
    </row>
    <row r="761" spans="1:13" ht="15.75">
      <c r="A761" s="272"/>
      <c r="B761" s="29"/>
      <c r="C761" s="183"/>
      <c r="D761" s="183"/>
      <c r="E761" s="29"/>
      <c r="F761" s="27"/>
      <c r="G761" s="27"/>
      <c r="H761" s="27"/>
      <c r="I761" s="103"/>
      <c r="J761" s="27"/>
      <c r="K761" s="103"/>
      <c r="L761" s="27"/>
      <c r="M761" s="27"/>
    </row>
    <row r="762" spans="1:13" ht="15.75">
      <c r="A762" s="272"/>
      <c r="B762" s="29"/>
      <c r="C762" s="183"/>
      <c r="D762" s="183"/>
      <c r="E762" s="29"/>
      <c r="F762" s="27"/>
      <c r="G762" s="27"/>
      <c r="H762" s="27"/>
      <c r="I762" s="103"/>
      <c r="J762" s="27"/>
      <c r="K762" s="103"/>
      <c r="L762" s="27"/>
      <c r="M762" s="27"/>
    </row>
    <row r="763" spans="1:13" ht="15.75">
      <c r="A763" s="272"/>
      <c r="B763" s="29"/>
      <c r="C763" s="183"/>
      <c r="D763" s="183"/>
      <c r="E763" s="29"/>
      <c r="F763" s="27"/>
      <c r="G763" s="27"/>
      <c r="H763" s="27"/>
      <c r="I763" s="103"/>
      <c r="J763" s="27"/>
      <c r="K763" s="103"/>
      <c r="L763" s="27"/>
      <c r="M763" s="27"/>
    </row>
    <row r="764" spans="1:13" ht="15.75">
      <c r="A764" s="272"/>
      <c r="B764" s="29"/>
      <c r="C764" s="183"/>
      <c r="D764" s="183"/>
      <c r="E764" s="29"/>
      <c r="F764" s="27"/>
      <c r="G764" s="27"/>
      <c r="H764" s="27"/>
      <c r="I764" s="103"/>
      <c r="J764" s="27"/>
      <c r="K764" s="103"/>
      <c r="L764" s="27"/>
      <c r="M764" s="27"/>
    </row>
    <row r="765" spans="1:13" ht="15.75">
      <c r="A765" s="272"/>
      <c r="B765" s="29"/>
      <c r="C765" s="183"/>
      <c r="D765" s="183"/>
      <c r="E765" s="29"/>
      <c r="F765" s="27"/>
      <c r="G765" s="27"/>
      <c r="H765" s="27"/>
      <c r="I765" s="103"/>
      <c r="J765" s="27"/>
      <c r="K765" s="103"/>
      <c r="L765" s="27"/>
      <c r="M765" s="27"/>
    </row>
    <row r="766" spans="1:13" ht="15.75">
      <c r="A766" s="272"/>
      <c r="B766" s="29"/>
      <c r="C766" s="183"/>
      <c r="D766" s="183"/>
      <c r="E766" s="29"/>
      <c r="F766" s="27"/>
      <c r="G766" s="27"/>
      <c r="H766" s="27"/>
      <c r="I766" s="103"/>
      <c r="J766" s="27"/>
      <c r="K766" s="103"/>
      <c r="L766" s="27"/>
      <c r="M766" s="27"/>
    </row>
    <row r="767" spans="1:13" ht="15.75">
      <c r="A767" s="272"/>
      <c r="B767" s="29"/>
      <c r="C767" s="183"/>
      <c r="D767" s="183"/>
      <c r="E767" s="29"/>
      <c r="F767" s="27"/>
      <c r="G767" s="27"/>
      <c r="H767" s="27"/>
      <c r="I767" s="103"/>
      <c r="J767" s="27"/>
      <c r="K767" s="103"/>
      <c r="L767" s="27"/>
      <c r="M767" s="27"/>
    </row>
    <row r="768" spans="1:13" ht="15.75">
      <c r="A768" s="272"/>
      <c r="B768" s="29"/>
      <c r="C768" s="183"/>
      <c r="D768" s="183"/>
      <c r="E768" s="29"/>
      <c r="F768" s="27"/>
      <c r="G768" s="27"/>
      <c r="H768" s="27"/>
      <c r="I768" s="103"/>
      <c r="J768" s="27"/>
      <c r="K768" s="103"/>
      <c r="L768" s="27"/>
      <c r="M768" s="27"/>
    </row>
    <row r="769" spans="1:13" ht="15.75">
      <c r="A769" s="272"/>
      <c r="B769" s="29"/>
      <c r="C769" s="183"/>
      <c r="D769" s="183"/>
      <c r="E769" s="29"/>
      <c r="F769" s="27"/>
      <c r="G769" s="27"/>
      <c r="H769" s="27"/>
      <c r="I769" s="103"/>
      <c r="J769" s="27"/>
      <c r="K769" s="103"/>
      <c r="L769" s="27"/>
      <c r="M769" s="27"/>
    </row>
    <row r="770" spans="1:13" ht="15.75">
      <c r="A770" s="272"/>
      <c r="B770" s="29"/>
      <c r="C770" s="183"/>
      <c r="D770" s="183"/>
      <c r="E770" s="29"/>
      <c r="F770" s="27"/>
      <c r="G770" s="27"/>
      <c r="H770" s="27"/>
      <c r="I770" s="103"/>
      <c r="J770" s="27"/>
      <c r="K770" s="103"/>
      <c r="L770" s="27"/>
      <c r="M770" s="27"/>
    </row>
    <row r="771" spans="1:13" ht="15.75">
      <c r="A771" s="272"/>
      <c r="B771" s="29"/>
      <c r="C771" s="183"/>
      <c r="D771" s="183"/>
      <c r="E771" s="29"/>
      <c r="F771" s="27"/>
      <c r="G771" s="27"/>
      <c r="H771" s="27"/>
      <c r="I771" s="103"/>
      <c r="J771" s="27"/>
      <c r="K771" s="103"/>
      <c r="L771" s="27"/>
      <c r="M771" s="27"/>
    </row>
    <row r="772" spans="1:13" ht="15.75">
      <c r="A772" s="272"/>
      <c r="B772" s="29"/>
      <c r="C772" s="183"/>
      <c r="D772" s="183"/>
      <c r="E772" s="29"/>
      <c r="F772" s="27"/>
      <c r="G772" s="27"/>
      <c r="H772" s="27"/>
      <c r="I772" s="103"/>
      <c r="J772" s="27"/>
      <c r="K772" s="103"/>
      <c r="L772" s="27"/>
      <c r="M772" s="27"/>
    </row>
    <row r="773" spans="1:13" ht="15.75">
      <c r="A773" s="272"/>
      <c r="B773" s="29"/>
      <c r="C773" s="183"/>
      <c r="D773" s="183"/>
      <c r="E773" s="29"/>
      <c r="F773" s="27"/>
      <c r="G773" s="27"/>
      <c r="H773" s="27"/>
      <c r="I773" s="103"/>
      <c r="J773" s="27"/>
      <c r="K773" s="103"/>
      <c r="L773" s="27"/>
      <c r="M773" s="27"/>
    </row>
    <row r="774" spans="1:13" ht="15.75">
      <c r="A774" s="272"/>
      <c r="B774" s="29"/>
      <c r="C774" s="183"/>
      <c r="D774" s="183"/>
      <c r="E774" s="29"/>
      <c r="F774" s="27"/>
      <c r="G774" s="27"/>
      <c r="H774" s="27"/>
      <c r="I774" s="103"/>
      <c r="J774" s="27"/>
      <c r="K774" s="103"/>
      <c r="L774" s="27"/>
      <c r="M774" s="27"/>
    </row>
    <row r="775" spans="1:13" ht="15.75">
      <c r="A775" s="272"/>
      <c r="B775" s="29"/>
      <c r="C775" s="183"/>
      <c r="D775" s="183"/>
      <c r="E775" s="29"/>
      <c r="F775" s="27"/>
      <c r="G775" s="27"/>
      <c r="H775" s="27"/>
      <c r="I775" s="103"/>
      <c r="J775" s="27"/>
      <c r="K775" s="103"/>
      <c r="L775" s="27"/>
      <c r="M775" s="27"/>
    </row>
    <row r="776" spans="1:13" ht="15.75">
      <c r="A776" s="272"/>
      <c r="B776" s="29"/>
      <c r="C776" s="183"/>
      <c r="D776" s="183"/>
      <c r="E776" s="29"/>
      <c r="F776" s="27"/>
      <c r="G776" s="27"/>
      <c r="H776" s="27"/>
      <c r="I776" s="103"/>
      <c r="J776" s="27"/>
      <c r="K776" s="103"/>
      <c r="L776" s="27"/>
      <c r="M776" s="27"/>
    </row>
    <row r="777" spans="1:13" ht="15.75">
      <c r="A777" s="272"/>
      <c r="B777" s="29"/>
      <c r="C777" s="183"/>
      <c r="D777" s="183"/>
      <c r="E777" s="29"/>
      <c r="F777" s="27"/>
      <c r="G777" s="27"/>
      <c r="H777" s="27"/>
      <c r="I777" s="103"/>
      <c r="J777" s="27"/>
      <c r="K777" s="103"/>
      <c r="L777" s="27"/>
      <c r="M777" s="27"/>
    </row>
    <row r="778" spans="1:13" ht="15.75">
      <c r="A778" s="272"/>
      <c r="B778" s="29"/>
      <c r="C778" s="183"/>
      <c r="D778" s="183"/>
      <c r="E778" s="29"/>
      <c r="F778" s="27"/>
      <c r="G778" s="27"/>
      <c r="H778" s="27"/>
      <c r="I778" s="103"/>
      <c r="J778" s="27"/>
      <c r="K778" s="103"/>
      <c r="L778" s="27"/>
      <c r="M778" s="27"/>
    </row>
    <row r="779" spans="1:13" ht="15.75">
      <c r="A779" s="272"/>
      <c r="B779" s="29"/>
      <c r="C779" s="183"/>
      <c r="D779" s="183"/>
      <c r="E779" s="29"/>
      <c r="F779" s="27"/>
      <c r="G779" s="27"/>
      <c r="H779" s="27"/>
      <c r="I779" s="103"/>
      <c r="J779" s="27"/>
      <c r="K779" s="103"/>
      <c r="L779" s="27"/>
      <c r="M779" s="27"/>
    </row>
    <row r="780" spans="1:13" ht="15.75">
      <c r="A780" s="272"/>
      <c r="B780" s="29"/>
      <c r="C780" s="183"/>
      <c r="D780" s="183"/>
      <c r="E780" s="29"/>
      <c r="F780" s="27"/>
      <c r="G780" s="27"/>
      <c r="H780" s="27"/>
      <c r="I780" s="103"/>
      <c r="J780" s="27"/>
      <c r="K780" s="103"/>
      <c r="L780" s="27"/>
      <c r="M780" s="27"/>
    </row>
    <row r="781" spans="1:13" ht="15.75">
      <c r="A781" s="272"/>
      <c r="B781" s="29"/>
      <c r="C781" s="183"/>
      <c r="D781" s="183"/>
      <c r="E781" s="29"/>
      <c r="F781" s="27"/>
      <c r="G781" s="27"/>
      <c r="H781" s="27"/>
      <c r="I781" s="103"/>
      <c r="J781" s="27"/>
      <c r="K781" s="103"/>
      <c r="L781" s="27"/>
      <c r="M781" s="27"/>
    </row>
    <row r="782" spans="1:13" ht="15.75">
      <c r="A782" s="272"/>
      <c r="B782" s="29"/>
      <c r="C782" s="183"/>
      <c r="D782" s="183"/>
      <c r="E782" s="29"/>
      <c r="F782" s="27"/>
      <c r="G782" s="27"/>
      <c r="H782" s="27"/>
      <c r="I782" s="103"/>
      <c r="J782" s="27"/>
      <c r="K782" s="103"/>
      <c r="L782" s="27"/>
      <c r="M782" s="27"/>
    </row>
    <row r="783" spans="1:13" ht="15.75">
      <c r="A783" s="272"/>
      <c r="B783" s="29"/>
      <c r="C783" s="183"/>
      <c r="D783" s="183"/>
      <c r="E783" s="29"/>
      <c r="F783" s="27"/>
      <c r="G783" s="27"/>
      <c r="H783" s="27"/>
      <c r="I783" s="103"/>
      <c r="J783" s="27"/>
      <c r="K783" s="103"/>
      <c r="L783" s="27"/>
      <c r="M783" s="27"/>
    </row>
    <row r="784" spans="1:13" ht="15.75">
      <c r="A784" s="272"/>
      <c r="B784" s="29"/>
      <c r="C784" s="183"/>
      <c r="D784" s="183"/>
      <c r="E784" s="29"/>
      <c r="F784" s="27"/>
      <c r="G784" s="27"/>
      <c r="H784" s="27"/>
      <c r="I784" s="103"/>
      <c r="J784" s="27"/>
      <c r="K784" s="103"/>
      <c r="L784" s="27"/>
      <c r="M784" s="27"/>
    </row>
    <row r="785" spans="1:13" ht="15.75">
      <c r="A785" s="272"/>
      <c r="B785" s="29"/>
      <c r="C785" s="183"/>
      <c r="D785" s="183"/>
      <c r="E785" s="29"/>
      <c r="F785" s="27"/>
      <c r="G785" s="27"/>
      <c r="H785" s="27"/>
      <c r="I785" s="103"/>
      <c r="J785" s="27"/>
      <c r="K785" s="103"/>
      <c r="L785" s="27"/>
      <c r="M785" s="27"/>
    </row>
    <row r="786" spans="1:13" ht="15.75">
      <c r="A786" s="272"/>
      <c r="B786" s="29"/>
      <c r="C786" s="183"/>
      <c r="D786" s="183"/>
      <c r="E786" s="29"/>
      <c r="F786" s="27"/>
      <c r="G786" s="27"/>
      <c r="H786" s="27"/>
      <c r="I786" s="103"/>
      <c r="J786" s="27"/>
      <c r="K786" s="103"/>
      <c r="L786" s="27"/>
      <c r="M786" s="27"/>
    </row>
    <row r="787" spans="1:13" ht="15.75">
      <c r="A787" s="272"/>
      <c r="B787" s="29"/>
      <c r="C787" s="183"/>
      <c r="D787" s="183"/>
      <c r="E787" s="29"/>
      <c r="F787" s="27"/>
      <c r="G787" s="27"/>
      <c r="H787" s="27"/>
      <c r="I787" s="103"/>
      <c r="J787" s="27"/>
      <c r="K787" s="103"/>
      <c r="L787" s="27"/>
      <c r="M787" s="27"/>
    </row>
    <row r="788" spans="1:13" ht="15.75">
      <c r="A788" s="272"/>
      <c r="B788" s="29"/>
      <c r="C788" s="183"/>
      <c r="D788" s="183"/>
      <c r="E788" s="29"/>
      <c r="F788" s="27"/>
      <c r="G788" s="27"/>
      <c r="H788" s="27"/>
      <c r="I788" s="103"/>
      <c r="J788" s="27"/>
      <c r="K788" s="103"/>
      <c r="L788" s="27"/>
      <c r="M788" s="27"/>
    </row>
    <row r="789" spans="1:13" ht="15.75">
      <c r="A789" s="272"/>
      <c r="B789" s="29"/>
      <c r="C789" s="183"/>
      <c r="D789" s="183"/>
      <c r="E789" s="29"/>
      <c r="F789" s="27"/>
      <c r="G789" s="27"/>
      <c r="H789" s="27"/>
      <c r="I789" s="103"/>
      <c r="J789" s="27"/>
      <c r="K789" s="103"/>
      <c r="L789" s="27"/>
      <c r="M789" s="27"/>
    </row>
    <row r="790" spans="1:13" ht="15.75">
      <c r="A790" s="272"/>
      <c r="B790" s="29"/>
      <c r="C790" s="183"/>
      <c r="D790" s="183"/>
      <c r="E790" s="29"/>
      <c r="F790" s="27"/>
      <c r="G790" s="27"/>
      <c r="H790" s="27"/>
      <c r="I790" s="103"/>
      <c r="J790" s="27"/>
      <c r="K790" s="103"/>
      <c r="L790" s="27"/>
      <c r="M790" s="27"/>
    </row>
    <row r="791" spans="1:13" ht="15.75">
      <c r="A791" s="272"/>
      <c r="B791" s="29"/>
      <c r="C791" s="183"/>
      <c r="D791" s="183"/>
      <c r="E791" s="29"/>
      <c r="F791" s="27"/>
      <c r="G791" s="27"/>
      <c r="H791" s="27"/>
      <c r="I791" s="103"/>
      <c r="J791" s="27"/>
      <c r="K791" s="103"/>
      <c r="L791" s="27"/>
      <c r="M791" s="27"/>
    </row>
    <row r="792" spans="1:13" ht="15.75">
      <c r="A792" s="272"/>
      <c r="B792" s="29"/>
      <c r="C792" s="183"/>
      <c r="D792" s="183"/>
      <c r="E792" s="29"/>
      <c r="F792" s="27"/>
      <c r="G792" s="27"/>
      <c r="H792" s="27"/>
      <c r="I792" s="103"/>
      <c r="J792" s="27"/>
      <c r="K792" s="103"/>
      <c r="L792" s="27"/>
      <c r="M792" s="27"/>
    </row>
    <row r="793" spans="1:13" ht="15.75">
      <c r="A793" s="272"/>
      <c r="B793" s="29"/>
      <c r="C793" s="183"/>
      <c r="D793" s="183"/>
      <c r="E793" s="29"/>
      <c r="F793" s="27"/>
      <c r="G793" s="27"/>
      <c r="H793" s="27"/>
      <c r="I793" s="103"/>
      <c r="J793" s="27"/>
      <c r="K793" s="103"/>
      <c r="L793" s="27"/>
      <c r="M793" s="27"/>
    </row>
    <row r="794" spans="1:13" ht="15.75">
      <c r="A794" s="272"/>
      <c r="B794" s="29"/>
      <c r="C794" s="183"/>
      <c r="D794" s="183"/>
      <c r="E794" s="29"/>
      <c r="F794" s="27"/>
      <c r="G794" s="27"/>
      <c r="H794" s="27"/>
      <c r="I794" s="103"/>
      <c r="J794" s="27"/>
      <c r="K794" s="103"/>
      <c r="L794" s="27"/>
      <c r="M794" s="27"/>
    </row>
    <row r="795" spans="1:13" ht="15.75">
      <c r="A795" s="272"/>
      <c r="B795" s="29"/>
      <c r="C795" s="183"/>
      <c r="D795" s="183"/>
      <c r="E795" s="29"/>
      <c r="F795" s="27"/>
      <c r="G795" s="27"/>
      <c r="H795" s="27"/>
      <c r="I795" s="103"/>
      <c r="J795" s="27"/>
      <c r="K795" s="103"/>
      <c r="L795" s="27"/>
      <c r="M795" s="27"/>
    </row>
    <row r="796" spans="1:13" ht="15.75">
      <c r="A796" s="272"/>
      <c r="B796" s="29"/>
      <c r="C796" s="183"/>
      <c r="D796" s="183"/>
      <c r="E796" s="29"/>
      <c r="F796" s="27"/>
      <c r="G796" s="27"/>
      <c r="H796" s="27"/>
      <c r="I796" s="103"/>
      <c r="J796" s="27"/>
      <c r="K796" s="103"/>
      <c r="L796" s="27"/>
      <c r="M796" s="27"/>
    </row>
    <row r="797" spans="1:13" ht="15.75">
      <c r="A797" s="272"/>
      <c r="B797" s="29"/>
      <c r="C797" s="183"/>
      <c r="D797" s="183"/>
      <c r="E797" s="29"/>
      <c r="F797" s="27"/>
      <c r="G797" s="27"/>
      <c r="H797" s="27"/>
      <c r="I797" s="103"/>
      <c r="J797" s="27"/>
      <c r="K797" s="103"/>
      <c r="L797" s="27"/>
      <c r="M797" s="27"/>
    </row>
    <row r="798" spans="1:13" ht="15.75">
      <c r="A798" s="272"/>
      <c r="B798" s="29"/>
      <c r="C798" s="183"/>
      <c r="D798" s="183"/>
      <c r="E798" s="29"/>
      <c r="F798" s="27"/>
      <c r="G798" s="27"/>
      <c r="H798" s="27"/>
      <c r="I798" s="103"/>
      <c r="J798" s="27"/>
      <c r="K798" s="103"/>
      <c r="L798" s="27"/>
      <c r="M798" s="27"/>
    </row>
    <row r="799" spans="1:13" ht="15.75">
      <c r="A799" s="272"/>
      <c r="B799" s="29"/>
      <c r="C799" s="183"/>
      <c r="D799" s="183"/>
      <c r="E799" s="29"/>
      <c r="F799" s="27"/>
      <c r="G799" s="27"/>
      <c r="H799" s="27"/>
      <c r="I799" s="103"/>
      <c r="J799" s="27"/>
      <c r="K799" s="103"/>
      <c r="L799" s="27"/>
      <c r="M799" s="27"/>
    </row>
    <row r="800" spans="1:13" ht="15.75">
      <c r="A800" s="272"/>
      <c r="B800" s="29"/>
      <c r="C800" s="183"/>
      <c r="D800" s="183"/>
      <c r="E800" s="29"/>
      <c r="F800" s="27"/>
      <c r="G800" s="27"/>
      <c r="H800" s="27"/>
      <c r="I800" s="103"/>
      <c r="J800" s="27"/>
      <c r="K800" s="103"/>
      <c r="L800" s="27"/>
      <c r="M800" s="27"/>
    </row>
    <row r="801" spans="1:13" ht="15.75">
      <c r="A801" s="272"/>
      <c r="B801" s="29"/>
      <c r="C801" s="183"/>
      <c r="D801" s="183"/>
      <c r="E801" s="29"/>
      <c r="F801" s="27"/>
      <c r="G801" s="27"/>
      <c r="H801" s="27"/>
      <c r="I801" s="103"/>
      <c r="J801" s="27"/>
      <c r="K801" s="103"/>
      <c r="L801" s="27"/>
      <c r="M801" s="27"/>
    </row>
    <row r="802" spans="1:13" ht="15.75">
      <c r="A802" s="272"/>
      <c r="B802" s="29"/>
      <c r="C802" s="183"/>
      <c r="D802" s="183"/>
      <c r="E802" s="29"/>
      <c r="F802" s="27"/>
      <c r="G802" s="27"/>
      <c r="H802" s="27"/>
      <c r="I802" s="103"/>
      <c r="J802" s="27"/>
      <c r="K802" s="103"/>
      <c r="L802" s="27"/>
      <c r="M802" s="27"/>
    </row>
    <row r="803" spans="1:13" ht="15.75">
      <c r="A803" s="272"/>
      <c r="B803" s="29"/>
      <c r="C803" s="183"/>
      <c r="D803" s="183"/>
      <c r="E803" s="29"/>
      <c r="F803" s="27"/>
      <c r="G803" s="27"/>
      <c r="H803" s="27"/>
      <c r="I803" s="103"/>
      <c r="J803" s="27"/>
      <c r="K803" s="103"/>
      <c r="L803" s="27"/>
      <c r="M803" s="27"/>
    </row>
    <row r="804" spans="1:13" ht="15.75">
      <c r="A804" s="272"/>
      <c r="B804" s="29"/>
      <c r="C804" s="183"/>
      <c r="D804" s="183"/>
      <c r="E804" s="29"/>
      <c r="F804" s="27"/>
      <c r="G804" s="27"/>
      <c r="H804" s="27"/>
      <c r="I804" s="103"/>
      <c r="J804" s="27"/>
      <c r="K804" s="103"/>
      <c r="L804" s="27"/>
      <c r="M804" s="27"/>
    </row>
    <row r="805" spans="1:13" ht="15.75">
      <c r="A805" s="272"/>
      <c r="B805" s="29"/>
      <c r="C805" s="183"/>
      <c r="D805" s="183"/>
      <c r="E805" s="29"/>
      <c r="F805" s="27"/>
      <c r="G805" s="27"/>
      <c r="H805" s="27"/>
      <c r="I805" s="103"/>
      <c r="J805" s="27"/>
      <c r="K805" s="103"/>
      <c r="L805" s="27"/>
      <c r="M805" s="27"/>
    </row>
    <row r="806" spans="1:13" ht="15.75">
      <c r="A806" s="272"/>
      <c r="B806" s="29"/>
      <c r="C806" s="183"/>
      <c r="D806" s="183"/>
      <c r="E806" s="29"/>
      <c r="F806" s="27"/>
      <c r="G806" s="27"/>
      <c r="H806" s="27"/>
      <c r="I806" s="103"/>
      <c r="J806" s="27"/>
      <c r="K806" s="103"/>
      <c r="L806" s="27"/>
      <c r="M806" s="27"/>
    </row>
    <row r="807" spans="1:13" ht="15.75">
      <c r="A807" s="272"/>
      <c r="B807" s="29"/>
      <c r="C807" s="183"/>
      <c r="D807" s="183"/>
      <c r="E807" s="29"/>
      <c r="F807" s="27"/>
      <c r="G807" s="27"/>
      <c r="H807" s="27"/>
      <c r="I807" s="103"/>
      <c r="J807" s="27"/>
      <c r="K807" s="103"/>
      <c r="L807" s="27"/>
      <c r="M807" s="27"/>
    </row>
    <row r="808" spans="1:13" ht="15.75">
      <c r="A808" s="272"/>
      <c r="B808" s="29"/>
      <c r="C808" s="183"/>
      <c r="D808" s="183"/>
      <c r="E808" s="29"/>
      <c r="F808" s="27"/>
      <c r="G808" s="27"/>
      <c r="H808" s="27"/>
      <c r="I808" s="103"/>
      <c r="J808" s="27"/>
      <c r="K808" s="103"/>
      <c r="L808" s="27"/>
      <c r="M808" s="27"/>
    </row>
    <row r="809" spans="1:13" ht="15.75">
      <c r="A809" s="272"/>
      <c r="B809" s="29"/>
      <c r="C809" s="183"/>
      <c r="D809" s="183"/>
      <c r="E809" s="29"/>
      <c r="F809" s="27"/>
      <c r="G809" s="27"/>
      <c r="H809" s="27"/>
      <c r="I809" s="103"/>
      <c r="J809" s="27"/>
      <c r="K809" s="103"/>
      <c r="L809" s="27"/>
      <c r="M809" s="27"/>
    </row>
    <row r="810" spans="1:13" ht="15.75">
      <c r="A810" s="272"/>
      <c r="B810" s="29"/>
      <c r="C810" s="183"/>
      <c r="D810" s="183"/>
      <c r="E810" s="29"/>
      <c r="F810" s="27"/>
      <c r="G810" s="27"/>
      <c r="H810" s="27"/>
      <c r="I810" s="103"/>
      <c r="J810" s="27"/>
      <c r="K810" s="103"/>
      <c r="L810" s="27"/>
      <c r="M810" s="27"/>
    </row>
    <row r="811" spans="1:13" ht="15.75">
      <c r="A811" s="272"/>
      <c r="B811" s="29"/>
      <c r="C811" s="183"/>
      <c r="D811" s="183"/>
      <c r="E811" s="29"/>
      <c r="F811" s="27"/>
      <c r="G811" s="27"/>
      <c r="H811" s="27"/>
      <c r="I811" s="103"/>
      <c r="J811" s="27"/>
      <c r="K811" s="103"/>
      <c r="L811" s="27"/>
      <c r="M811" s="27"/>
    </row>
    <row r="812" spans="1:13" ht="15.75">
      <c r="A812" s="272"/>
      <c r="B812" s="29"/>
      <c r="C812" s="183"/>
      <c r="D812" s="183"/>
      <c r="E812" s="29"/>
      <c r="F812" s="27"/>
      <c r="G812" s="27"/>
      <c r="H812" s="27"/>
      <c r="I812" s="103"/>
      <c r="J812" s="27"/>
      <c r="K812" s="103"/>
      <c r="L812" s="27"/>
      <c r="M812" s="27"/>
    </row>
    <row r="813" spans="1:13" ht="15.75">
      <c r="A813" s="272"/>
      <c r="B813" s="29"/>
      <c r="C813" s="183"/>
      <c r="D813" s="183"/>
      <c r="E813" s="29"/>
      <c r="F813" s="27"/>
      <c r="G813" s="27"/>
      <c r="H813" s="27"/>
      <c r="I813" s="103"/>
      <c r="J813" s="27"/>
      <c r="K813" s="103"/>
      <c r="L813" s="27"/>
      <c r="M813" s="27"/>
    </row>
    <row r="814" spans="1:13" ht="15.75">
      <c r="A814" s="272"/>
      <c r="B814" s="29"/>
      <c r="C814" s="183"/>
      <c r="D814" s="183"/>
      <c r="E814" s="29"/>
      <c r="F814" s="27"/>
      <c r="G814" s="27"/>
      <c r="H814" s="27"/>
      <c r="I814" s="103"/>
      <c r="J814" s="27"/>
      <c r="K814" s="103"/>
      <c r="L814" s="27"/>
      <c r="M814" s="27"/>
    </row>
    <row r="815" spans="1:13" ht="15.75">
      <c r="A815" s="272"/>
      <c r="B815" s="29"/>
      <c r="C815" s="183"/>
      <c r="D815" s="183"/>
      <c r="E815" s="29"/>
      <c r="F815" s="27"/>
      <c r="G815" s="27"/>
      <c r="H815" s="27"/>
      <c r="I815" s="103"/>
      <c r="J815" s="27"/>
      <c r="K815" s="103"/>
      <c r="L815" s="27"/>
      <c r="M815" s="27"/>
    </row>
    <row r="816" spans="1:13" ht="15.75">
      <c r="A816" s="272"/>
      <c r="B816" s="29"/>
      <c r="C816" s="183"/>
      <c r="D816" s="183"/>
      <c r="E816" s="29"/>
      <c r="F816" s="27"/>
      <c r="G816" s="27"/>
      <c r="H816" s="27"/>
      <c r="I816" s="103"/>
      <c r="J816" s="27"/>
      <c r="K816" s="103"/>
      <c r="L816" s="27"/>
      <c r="M816" s="27"/>
    </row>
    <row r="817" spans="1:13" ht="15.75">
      <c r="A817" s="272"/>
      <c r="B817" s="29"/>
      <c r="C817" s="183"/>
      <c r="D817" s="183"/>
      <c r="E817" s="29"/>
      <c r="F817" s="27"/>
      <c r="G817" s="27"/>
      <c r="H817" s="27"/>
      <c r="I817" s="103"/>
      <c r="J817" s="27"/>
      <c r="K817" s="103"/>
      <c r="L817" s="27"/>
      <c r="M817" s="27"/>
    </row>
    <row r="818" spans="1:13" ht="15.75">
      <c r="A818" s="272"/>
      <c r="B818" s="29"/>
      <c r="C818" s="183"/>
      <c r="D818" s="183"/>
      <c r="E818" s="29"/>
      <c r="F818" s="27"/>
      <c r="G818" s="27"/>
      <c r="H818" s="27"/>
      <c r="I818" s="103"/>
      <c r="J818" s="27"/>
      <c r="K818" s="103"/>
      <c r="L818" s="27"/>
      <c r="M818" s="27"/>
    </row>
    <row r="819" spans="1:13" ht="15.75">
      <c r="A819" s="272"/>
      <c r="B819" s="29"/>
      <c r="C819" s="183"/>
      <c r="D819" s="183"/>
      <c r="E819" s="29"/>
      <c r="F819" s="27"/>
      <c r="G819" s="27"/>
      <c r="H819" s="27"/>
      <c r="I819" s="103"/>
      <c r="J819" s="27"/>
      <c r="K819" s="103"/>
      <c r="L819" s="27"/>
      <c r="M819" s="27"/>
    </row>
    <row r="820" spans="1:13" ht="15.75">
      <c r="A820" s="272"/>
      <c r="B820" s="29"/>
      <c r="C820" s="183"/>
      <c r="D820" s="183"/>
      <c r="E820" s="29"/>
      <c r="F820" s="27"/>
      <c r="G820" s="27"/>
      <c r="H820" s="27"/>
      <c r="I820" s="103"/>
      <c r="J820" s="27"/>
      <c r="K820" s="103"/>
      <c r="L820" s="27"/>
      <c r="M820" s="27"/>
    </row>
  </sheetData>
  <sheetProtection/>
  <autoFilter ref="A9:R233"/>
  <mergeCells count="14">
    <mergeCell ref="G256:I256"/>
    <mergeCell ref="D7:D8"/>
    <mergeCell ref="I7:J7"/>
    <mergeCell ref="K7:L7"/>
    <mergeCell ref="C7:C8"/>
    <mergeCell ref="F7:F8"/>
    <mergeCell ref="E7:E8"/>
    <mergeCell ref="A1:M1"/>
    <mergeCell ref="A3:M3"/>
    <mergeCell ref="A5:M5"/>
    <mergeCell ref="G7:H7"/>
    <mergeCell ref="M7:M8"/>
    <mergeCell ref="A7:A8"/>
    <mergeCell ref="B7:B8"/>
  </mergeCells>
  <printOptions horizontalCentered="1"/>
  <pageMargins left="0.1968503937007874" right="0.1968503937007874" top="0.5118110236220472" bottom="0.5118110236220472" header="0.4330708661417323" footer="0.1968503937007874"/>
  <pageSetup cellComments="asDisplayed" horizontalDpi="600" verticalDpi="600" orientation="landscape" paperSize="9" scale="88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V688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3.8515625" style="261" customWidth="1"/>
    <col min="2" max="2" width="9.7109375" style="261" customWidth="1"/>
    <col min="3" max="3" width="51.8515625" style="262" customWidth="1"/>
    <col min="4" max="4" width="8.7109375" style="262" customWidth="1"/>
    <col min="5" max="5" width="7.8515625" style="22" customWidth="1"/>
    <col min="6" max="6" width="9.140625" style="113" customWidth="1"/>
    <col min="7" max="7" width="8.7109375" style="180" customWidth="1"/>
    <col min="8" max="8" width="12.140625" style="180" customWidth="1"/>
    <col min="9" max="9" width="8.7109375" style="192" customWidth="1"/>
    <col min="10" max="10" width="11.421875" style="180" customWidth="1"/>
    <col min="11" max="11" width="8.7109375" style="192" customWidth="1"/>
    <col min="12" max="12" width="10.57421875" style="180" customWidth="1"/>
    <col min="13" max="13" width="12.7109375" style="22" customWidth="1"/>
    <col min="14" max="14" width="19.8515625" style="262" customWidth="1"/>
    <col min="15" max="15" width="12.8515625" style="262" customWidth="1"/>
    <col min="16" max="16" width="31.421875" style="262" customWidth="1"/>
    <col min="17" max="16384" width="9.140625" style="262" customWidth="1"/>
  </cols>
  <sheetData>
    <row r="1" spans="1:13" s="236" customFormat="1" ht="42" customHeight="1">
      <c r="A1" s="801" t="str">
        <f>კრებსიტი!A1</f>
        <v>სსიპ წიაღის ეროვნული სააგენტოსთვის დავით აღმაშენებლის გამზირზე #150 მდებარე შენობის მე-8 სართულის (საერთო ფართი 889.32 კვ.მ.) სარემონტო-სამონტაჟო სამუშაოებისთვის საჭირო საპროექტო-სახარჯთაღრიცხვო დოკუმენტაციის შედგენა. 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</row>
    <row r="2" spans="1:13" s="236" customFormat="1" ht="9.75" customHeight="1">
      <c r="A2" s="118"/>
      <c r="B2" s="118"/>
      <c r="C2" s="737"/>
      <c r="D2" s="118"/>
      <c r="E2" s="118"/>
      <c r="F2" s="737"/>
      <c r="G2" s="737"/>
      <c r="H2" s="737"/>
      <c r="I2" s="737"/>
      <c r="J2" s="737"/>
      <c r="K2" s="737"/>
      <c r="L2" s="737"/>
      <c r="M2" s="737"/>
    </row>
    <row r="3" spans="1:13" s="236" customFormat="1" ht="19.5" customHeight="1">
      <c r="A3" s="803" t="s">
        <v>272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</row>
    <row r="4" spans="1:13" s="236" customFormat="1" ht="9.75" customHeight="1">
      <c r="A4" s="118"/>
      <c r="B4" s="118"/>
      <c r="C4" s="737"/>
      <c r="D4" s="118"/>
      <c r="E4" s="118"/>
      <c r="F4" s="737"/>
      <c r="G4" s="737"/>
      <c r="H4" s="737"/>
      <c r="I4" s="737"/>
      <c r="J4" s="737"/>
      <c r="K4" s="737"/>
      <c r="L4" s="737"/>
      <c r="M4" s="737"/>
    </row>
    <row r="5" spans="1:13" s="237" customFormat="1" ht="18.75" customHeight="1">
      <c r="A5" s="804" t="s">
        <v>311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</row>
    <row r="6" spans="1:13" s="236" customFormat="1" ht="14.25" customHeight="1" thickBot="1">
      <c r="A6" s="18"/>
      <c r="B6" s="18"/>
      <c r="C6" s="184"/>
      <c r="D6" s="18"/>
      <c r="E6" s="18"/>
      <c r="F6" s="357"/>
      <c r="G6" s="18"/>
      <c r="H6" s="18"/>
      <c r="I6" s="185"/>
      <c r="J6" s="18"/>
      <c r="K6" s="185"/>
      <c r="L6" s="18"/>
      <c r="M6" s="18"/>
    </row>
    <row r="7" spans="1:13" s="236" customFormat="1" ht="36" customHeight="1" thickBot="1" thickTop="1">
      <c r="A7" s="791" t="s">
        <v>4</v>
      </c>
      <c r="B7" s="791" t="s">
        <v>5</v>
      </c>
      <c r="C7" s="792" t="s">
        <v>2</v>
      </c>
      <c r="D7" s="791" t="s">
        <v>0</v>
      </c>
      <c r="E7" s="791" t="s">
        <v>35</v>
      </c>
      <c r="F7" s="792" t="s">
        <v>1</v>
      </c>
      <c r="G7" s="791" t="s">
        <v>34</v>
      </c>
      <c r="H7" s="791"/>
      <c r="I7" s="791" t="s">
        <v>31</v>
      </c>
      <c r="J7" s="791"/>
      <c r="K7" s="791" t="s">
        <v>36</v>
      </c>
      <c r="L7" s="791"/>
      <c r="M7" s="791" t="s">
        <v>32</v>
      </c>
    </row>
    <row r="8" spans="1:14" s="236" customFormat="1" ht="29.25" customHeight="1" thickBot="1" thickTop="1">
      <c r="A8" s="791"/>
      <c r="B8" s="791"/>
      <c r="C8" s="792"/>
      <c r="D8" s="791"/>
      <c r="E8" s="791"/>
      <c r="F8" s="792"/>
      <c r="G8" s="399" t="s">
        <v>33</v>
      </c>
      <c r="H8" s="735" t="s">
        <v>26</v>
      </c>
      <c r="I8" s="399" t="s">
        <v>33</v>
      </c>
      <c r="J8" s="735" t="s">
        <v>26</v>
      </c>
      <c r="K8" s="399" t="s">
        <v>33</v>
      </c>
      <c r="L8" s="735" t="s">
        <v>26</v>
      </c>
      <c r="M8" s="791"/>
      <c r="N8" s="238"/>
    </row>
    <row r="9" spans="1:13" s="409" customFormat="1" ht="14.25" customHeight="1" thickBot="1" thickTop="1">
      <c r="A9" s="342">
        <v>1</v>
      </c>
      <c r="B9" s="239">
        <v>2</v>
      </c>
      <c r="C9" s="239">
        <v>3</v>
      </c>
      <c r="D9" s="239">
        <v>4</v>
      </c>
      <c r="E9" s="342">
        <v>5</v>
      </c>
      <c r="F9" s="342">
        <v>6</v>
      </c>
      <c r="G9" s="342">
        <v>7</v>
      </c>
      <c r="H9" s="342">
        <v>8</v>
      </c>
      <c r="I9" s="342">
        <v>9</v>
      </c>
      <c r="J9" s="342">
        <v>10</v>
      </c>
      <c r="K9" s="342">
        <v>11</v>
      </c>
      <c r="L9" s="342">
        <v>12</v>
      </c>
      <c r="M9" s="342">
        <v>13</v>
      </c>
    </row>
    <row r="10" spans="1:15" s="510" customFormat="1" ht="36" customHeight="1" thickTop="1">
      <c r="A10" s="497" t="s">
        <v>71</v>
      </c>
      <c r="B10" s="498"/>
      <c r="C10" s="509" t="s">
        <v>313</v>
      </c>
      <c r="D10" s="499"/>
      <c r="E10" s="138"/>
      <c r="F10" s="227"/>
      <c r="G10" s="283"/>
      <c r="H10" s="82"/>
      <c r="I10" s="82"/>
      <c r="J10" s="84"/>
      <c r="K10" s="82"/>
      <c r="L10" s="82"/>
      <c r="M10" s="82"/>
      <c r="O10" s="511"/>
    </row>
    <row r="11" spans="1:13" s="247" customFormat="1" ht="36" customHeight="1">
      <c r="A11" s="92">
        <f>A2+1</f>
        <v>1</v>
      </c>
      <c r="B11" s="94" t="s">
        <v>88</v>
      </c>
      <c r="C11" s="528" t="s">
        <v>315</v>
      </c>
      <c r="D11" s="93" t="s">
        <v>7</v>
      </c>
      <c r="E11" s="70"/>
      <c r="F11" s="24">
        <v>8000</v>
      </c>
      <c r="G11" s="143"/>
      <c r="H11" s="195"/>
      <c r="I11" s="143"/>
      <c r="J11" s="195"/>
      <c r="K11" s="143"/>
      <c r="L11" s="143"/>
      <c r="M11" s="143"/>
    </row>
    <row r="12" spans="1:79" s="242" customFormat="1" ht="15" customHeight="1">
      <c r="A12" s="31"/>
      <c r="B12" s="32"/>
      <c r="C12" s="9" t="s">
        <v>84</v>
      </c>
      <c r="D12" s="32" t="s">
        <v>85</v>
      </c>
      <c r="E12" s="30">
        <v>0.22</v>
      </c>
      <c r="F12" s="1">
        <f>E12*F11</f>
        <v>1760</v>
      </c>
      <c r="G12" s="143"/>
      <c r="H12" s="195"/>
      <c r="I12" s="143"/>
      <c r="J12" s="195">
        <f>I12*F12</f>
        <v>0</v>
      </c>
      <c r="K12" s="143"/>
      <c r="L12" s="143"/>
      <c r="M12" s="143">
        <f>H12+J12+L12</f>
        <v>0</v>
      </c>
      <c r="N12" s="115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</row>
    <row r="13" spans="1:79" s="242" customFormat="1" ht="15" customHeight="1">
      <c r="A13" s="31"/>
      <c r="B13" s="32"/>
      <c r="C13" s="9" t="s">
        <v>86</v>
      </c>
      <c r="D13" s="32" t="s">
        <v>6</v>
      </c>
      <c r="E13" s="30">
        <v>0.0382</v>
      </c>
      <c r="F13" s="1">
        <f>E13*F11</f>
        <v>305.59999999999997</v>
      </c>
      <c r="G13" s="143"/>
      <c r="H13" s="195"/>
      <c r="I13" s="143"/>
      <c r="J13" s="195"/>
      <c r="K13" s="143"/>
      <c r="L13" s="143">
        <f>K13*F13</f>
        <v>0</v>
      </c>
      <c r="M13" s="143">
        <f>H13+J13+L13</f>
        <v>0</v>
      </c>
      <c r="N13" s="115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</row>
    <row r="14" spans="1:79" s="242" customFormat="1" ht="36" customHeight="1">
      <c r="A14" s="31"/>
      <c r="B14" s="94"/>
      <c r="C14" s="526" t="s">
        <v>315</v>
      </c>
      <c r="D14" s="6" t="str">
        <f>D11</f>
        <v>grZ.m.</v>
      </c>
      <c r="E14" s="68">
        <v>1</v>
      </c>
      <c r="F14" s="26">
        <f>E14*F11</f>
        <v>8000</v>
      </c>
      <c r="G14" s="143"/>
      <c r="H14" s="195">
        <f>F14*G14</f>
        <v>0</v>
      </c>
      <c r="I14" s="143"/>
      <c r="J14" s="195"/>
      <c r="K14" s="143"/>
      <c r="L14" s="143"/>
      <c r="M14" s="143">
        <f>H14+J14+L14</f>
        <v>0</v>
      </c>
      <c r="N14" s="115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</row>
    <row r="15" spans="1:79" s="242" customFormat="1" ht="15" customHeight="1">
      <c r="A15" s="31"/>
      <c r="B15" s="32"/>
      <c r="C15" s="10" t="s">
        <v>87</v>
      </c>
      <c r="D15" s="32" t="s">
        <v>6</v>
      </c>
      <c r="E15" s="226">
        <v>0.0658</v>
      </c>
      <c r="F15" s="1">
        <f>E15*F11</f>
        <v>526.4</v>
      </c>
      <c r="G15" s="143"/>
      <c r="H15" s="195">
        <f>G15*F15</f>
        <v>0</v>
      </c>
      <c r="I15" s="143"/>
      <c r="J15" s="195"/>
      <c r="K15" s="143"/>
      <c r="L15" s="143"/>
      <c r="M15" s="143">
        <f>H15+J15+L15</f>
        <v>0</v>
      </c>
      <c r="N15" s="115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</row>
    <row r="16" spans="1:16" s="193" customFormat="1" ht="21" customHeight="1">
      <c r="A16" s="136">
        <f>A11+1</f>
        <v>2</v>
      </c>
      <c r="B16" s="139" t="s">
        <v>148</v>
      </c>
      <c r="C16" s="528" t="s">
        <v>342</v>
      </c>
      <c r="D16" s="203" t="s">
        <v>7</v>
      </c>
      <c r="E16" s="203"/>
      <c r="F16" s="204">
        <f>F19</f>
        <v>500</v>
      </c>
      <c r="G16" s="143"/>
      <c r="H16" s="143"/>
      <c r="I16" s="195"/>
      <c r="J16" s="199"/>
      <c r="K16" s="195"/>
      <c r="L16" s="195"/>
      <c r="M16" s="143"/>
      <c r="N16" s="537"/>
      <c r="O16" s="538"/>
      <c r="P16" s="450"/>
    </row>
    <row r="17" spans="1:16" s="144" customFormat="1" ht="18" customHeight="1">
      <c r="A17" s="138"/>
      <c r="B17" s="205"/>
      <c r="C17" s="198" t="s">
        <v>13</v>
      </c>
      <c r="D17" s="139" t="s">
        <v>6</v>
      </c>
      <c r="E17" s="206">
        <v>0.26</v>
      </c>
      <c r="F17" s="143">
        <f>E17*F16</f>
        <v>130</v>
      </c>
      <c r="G17" s="143"/>
      <c r="H17" s="143"/>
      <c r="I17" s="195"/>
      <c r="J17" s="199">
        <f>I17*F17</f>
        <v>0</v>
      </c>
      <c r="K17" s="195"/>
      <c r="L17" s="195"/>
      <c r="M17" s="143">
        <f>H17+J17+L17</f>
        <v>0</v>
      </c>
      <c r="N17" s="539"/>
      <c r="O17" s="540">
        <f>M17+K17+I17</f>
        <v>0</v>
      </c>
      <c r="P17" s="449"/>
    </row>
    <row r="18" spans="1:16" s="144" customFormat="1" ht="18" customHeight="1">
      <c r="A18" s="138"/>
      <c r="B18" s="32"/>
      <c r="C18" s="9" t="s">
        <v>86</v>
      </c>
      <c r="D18" s="32" t="s">
        <v>6</v>
      </c>
      <c r="E18" s="30">
        <v>0.122</v>
      </c>
      <c r="F18" s="1">
        <f>E18*F16</f>
        <v>61</v>
      </c>
      <c r="G18" s="143"/>
      <c r="H18" s="195"/>
      <c r="I18" s="143"/>
      <c r="J18" s="195"/>
      <c r="K18" s="143"/>
      <c r="L18" s="143">
        <f>K18*F18</f>
        <v>0</v>
      </c>
      <c r="M18" s="143">
        <f>H18+J18+L18</f>
        <v>0</v>
      </c>
      <c r="N18" s="540"/>
      <c r="O18" s="540"/>
      <c r="P18" s="449"/>
    </row>
    <row r="19" spans="1:13" s="27" customFormat="1" ht="18" customHeight="1">
      <c r="A19" s="243"/>
      <c r="B19" s="243"/>
      <c r="C19" s="10" t="s">
        <v>257</v>
      </c>
      <c r="D19" s="245" t="s">
        <v>55</v>
      </c>
      <c r="E19" s="86"/>
      <c r="F19" s="2">
        <v>500</v>
      </c>
      <c r="G19" s="143"/>
      <c r="H19" s="195">
        <f>G19*F19</f>
        <v>0</v>
      </c>
      <c r="I19" s="143"/>
      <c r="J19" s="195"/>
      <c r="K19" s="143"/>
      <c r="L19" s="143"/>
      <c r="M19" s="143">
        <f>H19+J19+L19</f>
        <v>0</v>
      </c>
    </row>
    <row r="20" spans="1:16" s="144" customFormat="1" ht="18" customHeight="1">
      <c r="A20" s="138"/>
      <c r="B20" s="205"/>
      <c r="C20" s="198" t="s">
        <v>69</v>
      </c>
      <c r="D20" s="139" t="s">
        <v>6</v>
      </c>
      <c r="E20" s="206">
        <v>0.082</v>
      </c>
      <c r="F20" s="143">
        <f>E20*F16</f>
        <v>41</v>
      </c>
      <c r="G20" s="143"/>
      <c r="H20" s="143">
        <f>G20*F20</f>
        <v>0</v>
      </c>
      <c r="I20" s="195"/>
      <c r="J20" s="199"/>
      <c r="K20" s="195"/>
      <c r="L20" s="195"/>
      <c r="M20" s="143">
        <f>H20+J20+L20</f>
        <v>0</v>
      </c>
      <c r="N20" s="539"/>
      <c r="O20" s="540">
        <f>M20+K20+I20</f>
        <v>0</v>
      </c>
      <c r="P20" s="449"/>
    </row>
    <row r="21" spans="1:13" s="247" customFormat="1" ht="21" customHeight="1">
      <c r="A21" s="92">
        <f>A16+1</f>
        <v>3</v>
      </c>
      <c r="B21" s="756" t="s">
        <v>193</v>
      </c>
      <c r="C21" s="248" t="s">
        <v>223</v>
      </c>
      <c r="D21" s="93" t="s">
        <v>12</v>
      </c>
      <c r="E21" s="70"/>
      <c r="F21" s="410">
        <f>SUM(F24:F25)</f>
        <v>55</v>
      </c>
      <c r="G21" s="143"/>
      <c r="H21" s="195"/>
      <c r="I21" s="143"/>
      <c r="J21" s="195"/>
      <c r="K21" s="143"/>
      <c r="L21" s="143"/>
      <c r="M21" s="143"/>
    </row>
    <row r="22" spans="1:14" s="249" customFormat="1" ht="17.25" customHeight="1">
      <c r="A22" s="31"/>
      <c r="B22" s="32"/>
      <c r="C22" s="10" t="s">
        <v>84</v>
      </c>
      <c r="D22" s="32" t="s">
        <v>85</v>
      </c>
      <c r="E22" s="14">
        <v>0.34</v>
      </c>
      <c r="F22" s="1">
        <f>E22*F21</f>
        <v>18.700000000000003</v>
      </c>
      <c r="G22" s="143"/>
      <c r="H22" s="195"/>
      <c r="I22" s="143"/>
      <c r="J22" s="195">
        <f>I22*F22</f>
        <v>0</v>
      </c>
      <c r="K22" s="143"/>
      <c r="L22" s="143"/>
      <c r="M22" s="143">
        <f aca="true" t="shared" si="0" ref="M22:M27">H22+J22+L22</f>
        <v>0</v>
      </c>
      <c r="N22" s="114"/>
    </row>
    <row r="23" spans="1:79" s="242" customFormat="1" ht="17.25" customHeight="1">
      <c r="A23" s="31"/>
      <c r="B23" s="32"/>
      <c r="C23" s="10" t="s">
        <v>86</v>
      </c>
      <c r="D23" s="32" t="s">
        <v>6</v>
      </c>
      <c r="E23" s="226">
        <v>0.0113</v>
      </c>
      <c r="F23" s="1">
        <f>E23*F21</f>
        <v>0.6214999999999999</v>
      </c>
      <c r="G23" s="143"/>
      <c r="H23" s="195"/>
      <c r="I23" s="143"/>
      <c r="J23" s="195"/>
      <c r="K23" s="143"/>
      <c r="L23" s="143">
        <f>K23*F23</f>
        <v>0</v>
      </c>
      <c r="M23" s="143">
        <f t="shared" si="0"/>
        <v>0</v>
      </c>
      <c r="N23" s="115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</row>
    <row r="24" spans="1:14" s="249" customFormat="1" ht="21" customHeight="1">
      <c r="A24" s="31"/>
      <c r="B24" s="33"/>
      <c r="C24" s="526" t="s">
        <v>263</v>
      </c>
      <c r="D24" s="6" t="s">
        <v>12</v>
      </c>
      <c r="E24" s="68"/>
      <c r="F24" s="1">
        <v>38</v>
      </c>
      <c r="G24" s="143"/>
      <c r="H24" s="195">
        <f>F24*G24</f>
        <v>0</v>
      </c>
      <c r="I24" s="143"/>
      <c r="J24" s="195"/>
      <c r="K24" s="143"/>
      <c r="L24" s="143"/>
      <c r="M24" s="143">
        <f t="shared" si="0"/>
        <v>0</v>
      </c>
      <c r="N24" s="114"/>
    </row>
    <row r="25" spans="1:14" s="249" customFormat="1" ht="21" customHeight="1">
      <c r="A25" s="31"/>
      <c r="B25" s="33"/>
      <c r="C25" s="526" t="s">
        <v>264</v>
      </c>
      <c r="D25" s="6" t="s">
        <v>12</v>
      </c>
      <c r="E25" s="68"/>
      <c r="F25" s="1">
        <v>17</v>
      </c>
      <c r="G25" s="143"/>
      <c r="H25" s="195">
        <f>F25*G25</f>
        <v>0</v>
      </c>
      <c r="I25" s="143"/>
      <c r="J25" s="195"/>
      <c r="K25" s="143"/>
      <c r="L25" s="143"/>
      <c r="M25" s="143">
        <f t="shared" si="0"/>
        <v>0</v>
      </c>
      <c r="N25" s="114"/>
    </row>
    <row r="26" spans="1:13" s="27" customFormat="1" ht="17.25" customHeight="1">
      <c r="A26" s="243"/>
      <c r="B26" s="243"/>
      <c r="C26" s="250" t="s">
        <v>97</v>
      </c>
      <c r="D26" s="245" t="s">
        <v>65</v>
      </c>
      <c r="E26" s="222"/>
      <c r="F26" s="1">
        <f>SUM(F24:F25)</f>
        <v>55</v>
      </c>
      <c r="G26" s="143"/>
      <c r="H26" s="195">
        <f>G26*F26</f>
        <v>0</v>
      </c>
      <c r="I26" s="143"/>
      <c r="J26" s="195"/>
      <c r="K26" s="143"/>
      <c r="L26" s="143"/>
      <c r="M26" s="143">
        <f t="shared" si="0"/>
        <v>0</v>
      </c>
    </row>
    <row r="27" spans="1:14" s="249" customFormat="1" ht="17.25" customHeight="1">
      <c r="A27" s="31"/>
      <c r="B27" s="32"/>
      <c r="C27" s="10" t="s">
        <v>87</v>
      </c>
      <c r="D27" s="32" t="s">
        <v>6</v>
      </c>
      <c r="E27" s="226">
        <v>0.0937</v>
      </c>
      <c r="F27" s="1">
        <f>E27*F21</f>
        <v>5.1535</v>
      </c>
      <c r="G27" s="143"/>
      <c r="H27" s="195">
        <f>G27*F27</f>
        <v>0</v>
      </c>
      <c r="I27" s="143"/>
      <c r="J27" s="195"/>
      <c r="K27" s="143"/>
      <c r="L27" s="143"/>
      <c r="M27" s="143">
        <f t="shared" si="0"/>
        <v>0</v>
      </c>
      <c r="N27" s="114"/>
    </row>
    <row r="28" spans="1:13" s="247" customFormat="1" ht="39" customHeight="1">
      <c r="A28" s="92">
        <f>A21+1</f>
        <v>4</v>
      </c>
      <c r="B28" s="756" t="s">
        <v>193</v>
      </c>
      <c r="C28" s="248" t="s">
        <v>343</v>
      </c>
      <c r="D28" s="93" t="s">
        <v>12</v>
      </c>
      <c r="E28" s="70"/>
      <c r="F28" s="410">
        <f>SUM(F31:F31)</f>
        <v>44</v>
      </c>
      <c r="G28" s="143"/>
      <c r="H28" s="195"/>
      <c r="I28" s="143"/>
      <c r="J28" s="195"/>
      <c r="K28" s="143"/>
      <c r="L28" s="143"/>
      <c r="M28" s="143"/>
    </row>
    <row r="29" spans="1:14" s="249" customFormat="1" ht="17.25" customHeight="1">
      <c r="A29" s="31"/>
      <c r="B29" s="32"/>
      <c r="C29" s="10" t="s">
        <v>84</v>
      </c>
      <c r="D29" s="32" t="s">
        <v>85</v>
      </c>
      <c r="E29" s="14">
        <v>0.34</v>
      </c>
      <c r="F29" s="1">
        <f>E29*F28</f>
        <v>14.96</v>
      </c>
      <c r="G29" s="143"/>
      <c r="H29" s="195"/>
      <c r="I29" s="143"/>
      <c r="J29" s="195">
        <f>I29*F29</f>
        <v>0</v>
      </c>
      <c r="K29" s="143"/>
      <c r="L29" s="143"/>
      <c r="M29" s="143">
        <f aca="true" t="shared" si="1" ref="M29:M37">H29+J29+L29</f>
        <v>0</v>
      </c>
      <c r="N29" s="114"/>
    </row>
    <row r="30" spans="1:79" s="242" customFormat="1" ht="17.25" customHeight="1">
      <c r="A30" s="31"/>
      <c r="B30" s="32"/>
      <c r="C30" s="10" t="s">
        <v>86</v>
      </c>
      <c r="D30" s="32" t="s">
        <v>6</v>
      </c>
      <c r="E30" s="226">
        <v>0.0113</v>
      </c>
      <c r="F30" s="1">
        <f>E30*F28</f>
        <v>0.4972</v>
      </c>
      <c r="G30" s="143"/>
      <c r="H30" s="195"/>
      <c r="I30" s="143"/>
      <c r="J30" s="195"/>
      <c r="K30" s="143"/>
      <c r="L30" s="143">
        <f>K30*F30</f>
        <v>0</v>
      </c>
      <c r="M30" s="143">
        <f t="shared" si="1"/>
        <v>0</v>
      </c>
      <c r="N30" s="115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1"/>
    </row>
    <row r="31" spans="1:14" s="249" customFormat="1" ht="21" customHeight="1">
      <c r="A31" s="31"/>
      <c r="B31" s="33"/>
      <c r="C31" s="585" t="s">
        <v>344</v>
      </c>
      <c r="D31" s="6" t="s">
        <v>12</v>
      </c>
      <c r="E31" s="68"/>
      <c r="F31" s="1">
        <v>44</v>
      </c>
      <c r="G31" s="143"/>
      <c r="H31" s="195">
        <f>F31*G31</f>
        <v>0</v>
      </c>
      <c r="I31" s="143"/>
      <c r="J31" s="195"/>
      <c r="K31" s="143"/>
      <c r="L31" s="143"/>
      <c r="M31" s="143">
        <f t="shared" si="1"/>
        <v>0</v>
      </c>
      <c r="N31" s="114"/>
    </row>
    <row r="32" spans="1:13" s="27" customFormat="1" ht="17.25" customHeight="1">
      <c r="A32" s="243"/>
      <c r="B32" s="243"/>
      <c r="C32" s="250" t="s">
        <v>97</v>
      </c>
      <c r="D32" s="245" t="s">
        <v>65</v>
      </c>
      <c r="E32" s="222"/>
      <c r="F32" s="1">
        <f>SUM(F31:F31)</f>
        <v>44</v>
      </c>
      <c r="G32" s="143"/>
      <c r="H32" s="195">
        <f>G32*F32</f>
        <v>0</v>
      </c>
      <c r="I32" s="143"/>
      <c r="J32" s="195"/>
      <c r="K32" s="143"/>
      <c r="L32" s="143"/>
      <c r="M32" s="143">
        <f t="shared" si="1"/>
        <v>0</v>
      </c>
    </row>
    <row r="33" spans="1:14" s="249" customFormat="1" ht="17.25" customHeight="1">
      <c r="A33" s="31"/>
      <c r="B33" s="32"/>
      <c r="C33" s="10" t="s">
        <v>87</v>
      </c>
      <c r="D33" s="32" t="s">
        <v>6</v>
      </c>
      <c r="E33" s="226">
        <v>0.0937</v>
      </c>
      <c r="F33" s="1">
        <f>E33*F28</f>
        <v>4.1228</v>
      </c>
      <c r="G33" s="143"/>
      <c r="H33" s="195">
        <f>G33*F33</f>
        <v>0</v>
      </c>
      <c r="I33" s="143"/>
      <c r="J33" s="195"/>
      <c r="K33" s="143"/>
      <c r="L33" s="143"/>
      <c r="M33" s="143">
        <f t="shared" si="1"/>
        <v>0</v>
      </c>
      <c r="N33" s="114"/>
    </row>
    <row r="34" spans="1:13" s="247" customFormat="1" ht="21" customHeight="1">
      <c r="A34" s="353">
        <f>A28+1</f>
        <v>5</v>
      </c>
      <c r="B34" s="32" t="s">
        <v>473</v>
      </c>
      <c r="C34" s="528" t="s">
        <v>345</v>
      </c>
      <c r="D34" s="355" t="s">
        <v>12</v>
      </c>
      <c r="E34" s="70"/>
      <c r="F34" s="204">
        <v>7</v>
      </c>
      <c r="G34" s="143"/>
      <c r="H34" s="143"/>
      <c r="I34" s="195"/>
      <c r="J34" s="199"/>
      <c r="K34" s="195"/>
      <c r="L34" s="195"/>
      <c r="M34" s="143">
        <f t="shared" si="1"/>
        <v>0</v>
      </c>
    </row>
    <row r="35" spans="1:79" s="252" customFormat="1" ht="17.25" customHeight="1">
      <c r="A35" s="354" t="s">
        <v>112</v>
      </c>
      <c r="B35" s="32"/>
      <c r="C35" s="10" t="s">
        <v>84</v>
      </c>
      <c r="D35" s="44" t="s">
        <v>85</v>
      </c>
      <c r="E35" s="14">
        <v>15</v>
      </c>
      <c r="F35" s="1">
        <f>E35*F34</f>
        <v>105</v>
      </c>
      <c r="G35" s="143"/>
      <c r="H35" s="143"/>
      <c r="I35" s="195"/>
      <c r="J35" s="199">
        <f>I35*F35</f>
        <v>0</v>
      </c>
      <c r="K35" s="195"/>
      <c r="L35" s="195"/>
      <c r="M35" s="143">
        <f t="shared" si="1"/>
        <v>0</v>
      </c>
      <c r="N35" s="106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</row>
    <row r="36" spans="1:79" s="252" customFormat="1" ht="18" customHeight="1">
      <c r="A36" s="354"/>
      <c r="B36" s="33"/>
      <c r="C36" s="406" t="s">
        <v>345</v>
      </c>
      <c r="D36" s="356" t="s">
        <v>65</v>
      </c>
      <c r="E36" s="68">
        <v>1</v>
      </c>
      <c r="F36" s="1">
        <f>E36*F34</f>
        <v>7</v>
      </c>
      <c r="G36" s="143"/>
      <c r="H36" s="143">
        <f>F36*G36</f>
        <v>0</v>
      </c>
      <c r="I36" s="195"/>
      <c r="J36" s="199"/>
      <c r="K36" s="195"/>
      <c r="L36" s="195"/>
      <c r="M36" s="143">
        <f t="shared" si="1"/>
        <v>0</v>
      </c>
      <c r="N36" s="106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</row>
    <row r="37" spans="1:79" s="255" customFormat="1" ht="17.25" customHeight="1">
      <c r="A37" s="31"/>
      <c r="B37" s="32"/>
      <c r="C37" s="10" t="s">
        <v>87</v>
      </c>
      <c r="D37" s="32" t="s">
        <v>6</v>
      </c>
      <c r="E37" s="14">
        <v>1.98</v>
      </c>
      <c r="F37" s="1">
        <f>E37*F34</f>
        <v>13.86</v>
      </c>
      <c r="G37" s="143"/>
      <c r="H37" s="143">
        <f>G37*F37</f>
        <v>0</v>
      </c>
      <c r="I37" s="195"/>
      <c r="J37" s="199"/>
      <c r="K37" s="195"/>
      <c r="L37" s="195"/>
      <c r="M37" s="143">
        <f t="shared" si="1"/>
        <v>0</v>
      </c>
      <c r="N37" s="106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</row>
    <row r="38" spans="1:13" s="247" customFormat="1" ht="33" customHeight="1">
      <c r="A38" s="92">
        <f>A34+1</f>
        <v>6</v>
      </c>
      <c r="B38" s="586" t="s">
        <v>46</v>
      </c>
      <c r="C38" s="528" t="s">
        <v>416</v>
      </c>
      <c r="D38" s="93" t="s">
        <v>12</v>
      </c>
      <c r="E38" s="70"/>
      <c r="F38" s="410">
        <v>1</v>
      </c>
      <c r="G38" s="143"/>
      <c r="H38" s="195"/>
      <c r="I38" s="143"/>
      <c r="J38" s="195"/>
      <c r="K38" s="143"/>
      <c r="L38" s="143"/>
      <c r="M38" s="143"/>
    </row>
    <row r="39" spans="1:79" s="252" customFormat="1" ht="17.25" customHeight="1">
      <c r="A39" s="31" t="s">
        <v>112</v>
      </c>
      <c r="B39" s="32"/>
      <c r="C39" s="10" t="s">
        <v>84</v>
      </c>
      <c r="D39" s="32" t="s">
        <v>6</v>
      </c>
      <c r="E39" s="14">
        <v>1</v>
      </c>
      <c r="F39" s="1">
        <f>E39*F38</f>
        <v>1</v>
      </c>
      <c r="G39" s="143"/>
      <c r="H39" s="195"/>
      <c r="I39" s="143"/>
      <c r="J39" s="195">
        <f>I39*F39</f>
        <v>0</v>
      </c>
      <c r="K39" s="143"/>
      <c r="L39" s="143"/>
      <c r="M39" s="143">
        <f>H39+J39+L39</f>
        <v>0</v>
      </c>
      <c r="N39" s="106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</row>
    <row r="40" spans="1:79" s="252" customFormat="1" ht="33" customHeight="1">
      <c r="A40" s="31"/>
      <c r="B40" s="94"/>
      <c r="C40" s="406" t="s">
        <v>416</v>
      </c>
      <c r="D40" s="245" t="s">
        <v>65</v>
      </c>
      <c r="E40" s="68">
        <v>1</v>
      </c>
      <c r="F40" s="1">
        <v>1</v>
      </c>
      <c r="G40" s="143"/>
      <c r="H40" s="195">
        <f>F40*G40</f>
        <v>0</v>
      </c>
      <c r="I40" s="143"/>
      <c r="J40" s="195"/>
      <c r="K40" s="143"/>
      <c r="L40" s="143"/>
      <c r="M40" s="143">
        <f>H40+J40+L40</f>
        <v>0</v>
      </c>
      <c r="N40" s="106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</row>
    <row r="41" spans="1:79" s="252" customFormat="1" ht="33" customHeight="1">
      <c r="A41" s="31"/>
      <c r="B41" s="94"/>
      <c r="C41" s="406" t="s">
        <v>417</v>
      </c>
      <c r="D41" s="245" t="s">
        <v>65</v>
      </c>
      <c r="E41" s="68">
        <v>1</v>
      </c>
      <c r="F41" s="1">
        <v>3</v>
      </c>
      <c r="G41" s="143"/>
      <c r="H41" s="195">
        <f>F41*G41</f>
        <v>0</v>
      </c>
      <c r="I41" s="143"/>
      <c r="J41" s="195"/>
      <c r="K41" s="143"/>
      <c r="L41" s="143"/>
      <c r="M41" s="143">
        <f>H41+J41+L41</f>
        <v>0</v>
      </c>
      <c r="N41" s="106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</row>
    <row r="42" spans="1:79" s="252" customFormat="1" ht="18" customHeight="1">
      <c r="A42" s="31"/>
      <c r="B42" s="94"/>
      <c r="C42" s="406" t="s">
        <v>345</v>
      </c>
      <c r="D42" s="245" t="s">
        <v>65</v>
      </c>
      <c r="E42" s="68">
        <v>1</v>
      </c>
      <c r="F42" s="1">
        <v>8</v>
      </c>
      <c r="G42" s="143"/>
      <c r="H42" s="195">
        <f>F42*G42</f>
        <v>0</v>
      </c>
      <c r="I42" s="143"/>
      <c r="J42" s="195"/>
      <c r="K42" s="143"/>
      <c r="L42" s="143"/>
      <c r="M42" s="143">
        <f>H42+J42+L42</f>
        <v>0</v>
      </c>
      <c r="N42" s="106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</row>
    <row r="43" spans="1:13" s="247" customFormat="1" ht="36" customHeight="1">
      <c r="A43" s="92">
        <f>A38+1</f>
        <v>7</v>
      </c>
      <c r="B43" s="94" t="s">
        <v>46</v>
      </c>
      <c r="C43" s="757" t="s">
        <v>346</v>
      </c>
      <c r="D43" s="93" t="s">
        <v>12</v>
      </c>
      <c r="E43" s="70"/>
      <c r="F43" s="410">
        <f>SUM(F45:F46)</f>
        <v>10</v>
      </c>
      <c r="G43" s="143"/>
      <c r="H43" s="195"/>
      <c r="I43" s="143"/>
      <c r="J43" s="195"/>
      <c r="K43" s="143"/>
      <c r="L43" s="143"/>
      <c r="M43" s="143"/>
    </row>
    <row r="44" spans="1:14" s="249" customFormat="1" ht="18" customHeight="1">
      <c r="A44" s="31"/>
      <c r="B44" s="32"/>
      <c r="C44" s="10" t="s">
        <v>84</v>
      </c>
      <c r="D44" s="32" t="s">
        <v>85</v>
      </c>
      <c r="E44" s="14">
        <v>1</v>
      </c>
      <c r="F44" s="1">
        <f>E44*F43</f>
        <v>10</v>
      </c>
      <c r="G44" s="143"/>
      <c r="H44" s="195"/>
      <c r="I44" s="143"/>
      <c r="J44" s="195">
        <f>I44*F44</f>
        <v>0</v>
      </c>
      <c r="K44" s="143"/>
      <c r="L44" s="143"/>
      <c r="M44" s="143">
        <f>H44+J44+L44</f>
        <v>0</v>
      </c>
      <c r="N44" s="114"/>
    </row>
    <row r="45" spans="1:14" s="249" customFormat="1" ht="21" customHeight="1">
      <c r="A45" s="31"/>
      <c r="B45" s="94"/>
      <c r="C45" s="406" t="s">
        <v>347</v>
      </c>
      <c r="D45" s="6" t="s">
        <v>12</v>
      </c>
      <c r="E45" s="68">
        <v>1</v>
      </c>
      <c r="F45" s="1">
        <v>8</v>
      </c>
      <c r="G45" s="143"/>
      <c r="H45" s="195">
        <f>F45*G45</f>
        <v>0</v>
      </c>
      <c r="I45" s="143"/>
      <c r="J45" s="195"/>
      <c r="K45" s="143"/>
      <c r="L45" s="143"/>
      <c r="M45" s="143">
        <f>H45+J45+L45</f>
        <v>0</v>
      </c>
      <c r="N45" s="114"/>
    </row>
    <row r="46" spans="1:14" s="249" customFormat="1" ht="39" customHeight="1">
      <c r="A46" s="31"/>
      <c r="B46" s="94"/>
      <c r="C46" s="406" t="s">
        <v>348</v>
      </c>
      <c r="D46" s="6" t="s">
        <v>12</v>
      </c>
      <c r="E46" s="68">
        <v>1</v>
      </c>
      <c r="F46" s="1">
        <v>2</v>
      </c>
      <c r="G46" s="143"/>
      <c r="H46" s="195">
        <f>F46*G46</f>
        <v>0</v>
      </c>
      <c r="I46" s="143"/>
      <c r="J46" s="195"/>
      <c r="K46" s="143"/>
      <c r="L46" s="143"/>
      <c r="M46" s="143">
        <f>H46+J46+L46</f>
        <v>0</v>
      </c>
      <c r="N46" s="114"/>
    </row>
    <row r="47" spans="1:13" s="247" customFormat="1" ht="63" customHeight="1">
      <c r="A47" s="92">
        <f>A43+1</f>
        <v>8</v>
      </c>
      <c r="B47" s="756" t="s">
        <v>46</v>
      </c>
      <c r="C47" s="758" t="s">
        <v>480</v>
      </c>
      <c r="D47" s="93" t="s">
        <v>318</v>
      </c>
      <c r="E47" s="70"/>
      <c r="F47" s="410">
        <v>1</v>
      </c>
      <c r="G47" s="143"/>
      <c r="H47" s="195"/>
      <c r="I47" s="143"/>
      <c r="J47" s="195"/>
      <c r="K47" s="143"/>
      <c r="L47" s="143"/>
      <c r="M47" s="143"/>
    </row>
    <row r="48" spans="1:14" s="249" customFormat="1" ht="63" customHeight="1">
      <c r="A48" s="31"/>
      <c r="B48" s="94"/>
      <c r="C48" s="585" t="s">
        <v>317</v>
      </c>
      <c r="D48" s="6" t="str">
        <f>D47</f>
        <v>nakrebi</v>
      </c>
      <c r="E48" s="68">
        <v>1</v>
      </c>
      <c r="F48" s="1">
        <f>E48*F47</f>
        <v>1</v>
      </c>
      <c r="G48" s="143"/>
      <c r="H48" s="195">
        <f>F48*G48</f>
        <v>0</v>
      </c>
      <c r="I48" s="143"/>
      <c r="J48" s="195"/>
      <c r="K48" s="143"/>
      <c r="L48" s="143"/>
      <c r="M48" s="143">
        <f>H48+J48+L48</f>
        <v>0</v>
      </c>
      <c r="N48" s="114"/>
    </row>
    <row r="49" spans="1:14" s="249" customFormat="1" ht="18" customHeight="1">
      <c r="A49" s="31"/>
      <c r="B49" s="94"/>
      <c r="C49" s="406" t="s">
        <v>230</v>
      </c>
      <c r="D49" s="6" t="s">
        <v>12</v>
      </c>
      <c r="E49" s="68">
        <v>1</v>
      </c>
      <c r="F49" s="1">
        <v>100</v>
      </c>
      <c r="G49" s="143"/>
      <c r="H49" s="195">
        <f>F49*G49</f>
        <v>0</v>
      </c>
      <c r="I49" s="143"/>
      <c r="J49" s="195"/>
      <c r="K49" s="143"/>
      <c r="L49" s="143"/>
      <c r="M49" s="143">
        <f>H49+J49+L49</f>
        <v>0</v>
      </c>
      <c r="N49" s="114"/>
    </row>
    <row r="50" spans="1:13" s="548" customFormat="1" ht="105" customHeight="1">
      <c r="A50" s="541">
        <f>A47+1</f>
        <v>9</v>
      </c>
      <c r="B50" s="541" t="s">
        <v>46</v>
      </c>
      <c r="C50" s="528" t="s">
        <v>418</v>
      </c>
      <c r="D50" s="542" t="s">
        <v>12</v>
      </c>
      <c r="E50" s="700"/>
      <c r="F50" s="445">
        <v>1</v>
      </c>
      <c r="G50" s="543"/>
      <c r="H50" s="544"/>
      <c r="I50" s="544"/>
      <c r="J50" s="545"/>
      <c r="K50" s="544"/>
      <c r="L50" s="546"/>
      <c r="M50" s="547"/>
    </row>
    <row r="51" spans="1:13" s="552" customFormat="1" ht="16.5" customHeight="1">
      <c r="A51" s="549"/>
      <c r="B51" s="549"/>
      <c r="C51" s="550" t="s">
        <v>140</v>
      </c>
      <c r="D51" s="551" t="str">
        <f>D50</f>
        <v>cali</v>
      </c>
      <c r="E51" s="701">
        <v>1</v>
      </c>
      <c r="F51" s="377">
        <f>F50*E51</f>
        <v>1</v>
      </c>
      <c r="G51" s="195"/>
      <c r="H51" s="195"/>
      <c r="I51" s="195"/>
      <c r="J51" s="195">
        <f>I51*F51</f>
        <v>0</v>
      </c>
      <c r="K51" s="195"/>
      <c r="L51" s="195"/>
      <c r="M51" s="195">
        <f>H51+J51+L51</f>
        <v>0</v>
      </c>
    </row>
    <row r="52" spans="1:13" s="558" customFormat="1" ht="96" customHeight="1">
      <c r="A52" s="555"/>
      <c r="B52" s="541"/>
      <c r="C52" s="526" t="s">
        <v>418</v>
      </c>
      <c r="D52" s="557" t="s">
        <v>12</v>
      </c>
      <c r="E52" s="702">
        <v>1</v>
      </c>
      <c r="F52" s="376">
        <f>F50*E52</f>
        <v>1</v>
      </c>
      <c r="G52" s="1"/>
      <c r="H52" s="195">
        <f>G52*F52</f>
        <v>0</v>
      </c>
      <c r="I52" s="195"/>
      <c r="J52" s="195"/>
      <c r="K52" s="195"/>
      <c r="L52" s="195"/>
      <c r="M52" s="195">
        <f>H52+J52+L52</f>
        <v>0</v>
      </c>
    </row>
    <row r="53" spans="1:16" s="120" customFormat="1" ht="17.25" customHeight="1">
      <c r="A53" s="39"/>
      <c r="B53" s="39"/>
      <c r="C53" s="186" t="s">
        <v>316</v>
      </c>
      <c r="D53" s="20"/>
      <c r="E53" s="20"/>
      <c r="F53" s="130"/>
      <c r="G53" s="143"/>
      <c r="H53" s="146">
        <f>SUM(H10:H52)</f>
        <v>0</v>
      </c>
      <c r="I53" s="204"/>
      <c r="J53" s="146">
        <f>SUM(J10:J52)</f>
        <v>0</v>
      </c>
      <c r="K53" s="204"/>
      <c r="L53" s="146">
        <f>SUM(L10:L52)</f>
        <v>0</v>
      </c>
      <c r="M53" s="146">
        <f>SUM(M10:M52)</f>
        <v>0</v>
      </c>
      <c r="N53" s="256"/>
      <c r="O53" s="116"/>
      <c r="P53" s="119"/>
    </row>
    <row r="54" spans="1:15" s="510" customFormat="1" ht="18" customHeight="1">
      <c r="A54" s="497" t="s">
        <v>74</v>
      </c>
      <c r="B54" s="498"/>
      <c r="C54" s="509" t="s">
        <v>67</v>
      </c>
      <c r="D54" s="499"/>
      <c r="E54" s="138"/>
      <c r="F54" s="227"/>
      <c r="G54" s="143"/>
      <c r="H54" s="195"/>
      <c r="I54" s="143"/>
      <c r="J54" s="195"/>
      <c r="K54" s="143"/>
      <c r="L54" s="143"/>
      <c r="M54" s="143"/>
      <c r="O54" s="511"/>
    </row>
    <row r="55" spans="1:13" s="257" customFormat="1" ht="36" customHeight="1">
      <c r="A55" s="92">
        <v>1</v>
      </c>
      <c r="B55" s="94" t="s">
        <v>242</v>
      </c>
      <c r="C55" s="528" t="s">
        <v>419</v>
      </c>
      <c r="D55" s="93" t="s">
        <v>7</v>
      </c>
      <c r="E55" s="70"/>
      <c r="F55" s="410">
        <v>800</v>
      </c>
      <c r="G55" s="143"/>
      <c r="H55" s="195"/>
      <c r="I55" s="143"/>
      <c r="J55" s="195"/>
      <c r="K55" s="143"/>
      <c r="L55" s="143"/>
      <c r="M55" s="143"/>
    </row>
    <row r="56" spans="1:79" s="252" customFormat="1" ht="17.25" customHeight="1">
      <c r="A56" s="31"/>
      <c r="B56" s="32"/>
      <c r="C56" s="10" t="s">
        <v>84</v>
      </c>
      <c r="D56" s="32" t="s">
        <v>85</v>
      </c>
      <c r="E56" s="14">
        <v>0.28</v>
      </c>
      <c r="F56" s="1">
        <f>E56*F55</f>
        <v>224.00000000000003</v>
      </c>
      <c r="G56" s="143"/>
      <c r="H56" s="195"/>
      <c r="I56" s="143"/>
      <c r="J56" s="195">
        <f>I56*F56</f>
        <v>0</v>
      </c>
      <c r="K56" s="143"/>
      <c r="L56" s="143"/>
      <c r="M56" s="143">
        <f>H56+J56+L56</f>
        <v>0</v>
      </c>
      <c r="N56" s="106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  <c r="BD56" s="251"/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</row>
    <row r="57" spans="1:79" s="242" customFormat="1" ht="17.25" customHeight="1">
      <c r="A57" s="45"/>
      <c r="B57" s="32"/>
      <c r="C57" s="10" t="s">
        <v>86</v>
      </c>
      <c r="D57" s="32" t="s">
        <v>6</v>
      </c>
      <c r="E57" s="30">
        <v>0.049</v>
      </c>
      <c r="F57" s="1">
        <f>E57*F55</f>
        <v>39.2</v>
      </c>
      <c r="G57" s="143"/>
      <c r="H57" s="195"/>
      <c r="I57" s="143"/>
      <c r="J57" s="195"/>
      <c r="K57" s="143"/>
      <c r="L57" s="143">
        <f>K57*F57</f>
        <v>0</v>
      </c>
      <c r="M57" s="143">
        <f>H57+J57+L57</f>
        <v>0</v>
      </c>
      <c r="N57" s="115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1"/>
      <c r="BG57" s="241"/>
      <c r="BH57" s="241"/>
      <c r="BI57" s="241"/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41"/>
      <c r="BU57" s="241"/>
      <c r="BV57" s="241"/>
      <c r="BW57" s="241"/>
      <c r="BX57" s="241"/>
      <c r="BY57" s="241"/>
      <c r="BZ57" s="241"/>
      <c r="CA57" s="241"/>
    </row>
    <row r="58" spans="1:79" s="242" customFormat="1" ht="30">
      <c r="A58" s="45"/>
      <c r="B58" s="94"/>
      <c r="C58" s="526" t="s">
        <v>419</v>
      </c>
      <c r="D58" s="6" t="s">
        <v>7</v>
      </c>
      <c r="E58" s="68">
        <v>1</v>
      </c>
      <c r="F58" s="1">
        <f>E58*F55</f>
        <v>800</v>
      </c>
      <c r="G58" s="143"/>
      <c r="H58" s="195">
        <f>F58*G58</f>
        <v>0</v>
      </c>
      <c r="I58" s="143"/>
      <c r="J58" s="195"/>
      <c r="K58" s="143"/>
      <c r="L58" s="143"/>
      <c r="M58" s="143">
        <f>H58+J58+L58</f>
        <v>0</v>
      </c>
      <c r="N58" s="115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  <c r="CA58" s="241"/>
    </row>
    <row r="59" spans="1:79" s="242" customFormat="1" ht="17.25" customHeight="1">
      <c r="A59" s="45"/>
      <c r="B59" s="94"/>
      <c r="C59" s="10" t="s">
        <v>231</v>
      </c>
      <c r="D59" s="6" t="s">
        <v>7</v>
      </c>
      <c r="E59" s="68">
        <v>1.7</v>
      </c>
      <c r="F59" s="1">
        <f>F58</f>
        <v>800</v>
      </c>
      <c r="G59" s="143"/>
      <c r="H59" s="195">
        <f>F59*G59</f>
        <v>0</v>
      </c>
      <c r="I59" s="143"/>
      <c r="J59" s="195"/>
      <c r="K59" s="143"/>
      <c r="L59" s="143"/>
      <c r="M59" s="143">
        <f>H59+J59+L59</f>
        <v>0</v>
      </c>
      <c r="N59" s="115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</row>
    <row r="60" spans="1:79" s="242" customFormat="1" ht="17.25" customHeight="1">
      <c r="A60" s="45"/>
      <c r="B60" s="32"/>
      <c r="C60" s="10" t="s">
        <v>87</v>
      </c>
      <c r="D60" s="32" t="s">
        <v>6</v>
      </c>
      <c r="E60" s="226">
        <v>0.0107</v>
      </c>
      <c r="F60" s="1">
        <f>E60*F55</f>
        <v>8.559999999999999</v>
      </c>
      <c r="G60" s="143"/>
      <c r="H60" s="195">
        <f>G60*F60</f>
        <v>0</v>
      </c>
      <c r="I60" s="143"/>
      <c r="J60" s="195"/>
      <c r="K60" s="143"/>
      <c r="L60" s="143"/>
      <c r="M60" s="143">
        <f>H60+J60+L60</f>
        <v>0</v>
      </c>
      <c r="N60" s="115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  <c r="BD60" s="241"/>
      <c r="BE60" s="241"/>
      <c r="BF60" s="241"/>
      <c r="BG60" s="241"/>
      <c r="BH60" s="241"/>
      <c r="BI60" s="241"/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41"/>
      <c r="BU60" s="241"/>
      <c r="BV60" s="241"/>
      <c r="BW60" s="241"/>
      <c r="BX60" s="241"/>
      <c r="BY60" s="241"/>
      <c r="BZ60" s="241"/>
      <c r="CA60" s="241"/>
    </row>
    <row r="61" spans="1:16" s="193" customFormat="1" ht="21" customHeight="1">
      <c r="A61" s="136">
        <f>A55+1</f>
        <v>2</v>
      </c>
      <c r="B61" s="139" t="s">
        <v>148</v>
      </c>
      <c r="C61" s="528" t="s">
        <v>314</v>
      </c>
      <c r="D61" s="203" t="s">
        <v>7</v>
      </c>
      <c r="E61" s="203"/>
      <c r="F61" s="204">
        <v>50</v>
      </c>
      <c r="G61" s="143"/>
      <c r="H61" s="143"/>
      <c r="I61" s="195"/>
      <c r="J61" s="199"/>
      <c r="K61" s="195"/>
      <c r="L61" s="195"/>
      <c r="M61" s="143"/>
      <c r="N61" s="537"/>
      <c r="O61" s="538"/>
      <c r="P61" s="450"/>
    </row>
    <row r="62" spans="1:16" s="144" customFormat="1" ht="18" customHeight="1">
      <c r="A62" s="138"/>
      <c r="B62" s="205"/>
      <c r="C62" s="198" t="s">
        <v>13</v>
      </c>
      <c r="D62" s="139" t="s">
        <v>6</v>
      </c>
      <c r="E62" s="206">
        <v>0.26</v>
      </c>
      <c r="F62" s="143">
        <f>E62*F61</f>
        <v>13</v>
      </c>
      <c r="G62" s="143"/>
      <c r="H62" s="143"/>
      <c r="I62" s="195"/>
      <c r="J62" s="195">
        <f>I62*F62</f>
        <v>0</v>
      </c>
      <c r="K62" s="195"/>
      <c r="L62" s="195"/>
      <c r="M62" s="143">
        <f>H62+J62+L62</f>
        <v>0</v>
      </c>
      <c r="N62" s="539"/>
      <c r="O62" s="540">
        <f>M62+K62+I62</f>
        <v>0</v>
      </c>
      <c r="P62" s="449"/>
    </row>
    <row r="63" spans="1:16" s="144" customFormat="1" ht="18" customHeight="1">
      <c r="A63" s="138"/>
      <c r="B63" s="32"/>
      <c r="C63" s="9" t="s">
        <v>86</v>
      </c>
      <c r="D63" s="32" t="s">
        <v>6</v>
      </c>
      <c r="E63" s="30">
        <v>0.122</v>
      </c>
      <c r="F63" s="1">
        <f>E63*F61</f>
        <v>6.1</v>
      </c>
      <c r="G63" s="143"/>
      <c r="H63" s="195"/>
      <c r="I63" s="143"/>
      <c r="J63" s="195"/>
      <c r="K63" s="143"/>
      <c r="L63" s="143">
        <f>K63*F63</f>
        <v>0</v>
      </c>
      <c r="M63" s="143">
        <f>H63+J63+L63</f>
        <v>0</v>
      </c>
      <c r="N63" s="540"/>
      <c r="O63" s="540"/>
      <c r="P63" s="449"/>
    </row>
    <row r="64" spans="1:13" s="27" customFormat="1" ht="18" customHeight="1">
      <c r="A64" s="243"/>
      <c r="B64" s="243"/>
      <c r="C64" s="526" t="s">
        <v>354</v>
      </c>
      <c r="D64" s="245" t="s">
        <v>55</v>
      </c>
      <c r="E64" s="86">
        <v>1</v>
      </c>
      <c r="F64" s="2">
        <f>E64*F61</f>
        <v>50</v>
      </c>
      <c r="G64" s="143"/>
      <c r="H64" s="195">
        <f>G64*F64</f>
        <v>0</v>
      </c>
      <c r="I64" s="143"/>
      <c r="J64" s="195"/>
      <c r="K64" s="143"/>
      <c r="L64" s="143"/>
      <c r="M64" s="143">
        <f>H64+J64+L64</f>
        <v>0</v>
      </c>
    </row>
    <row r="65" spans="1:13" s="27" customFormat="1" ht="18" customHeight="1">
      <c r="A65" s="269"/>
      <c r="B65" s="35"/>
      <c r="C65" s="526" t="s">
        <v>355</v>
      </c>
      <c r="D65" s="245" t="s">
        <v>65</v>
      </c>
      <c r="E65" s="86">
        <v>1</v>
      </c>
      <c r="F65" s="2">
        <f>E65*F61</f>
        <v>50</v>
      </c>
      <c r="G65" s="143"/>
      <c r="H65" s="195">
        <f>G65*F65</f>
        <v>0</v>
      </c>
      <c r="I65" s="143"/>
      <c r="J65" s="195"/>
      <c r="K65" s="143"/>
      <c r="L65" s="143"/>
      <c r="M65" s="143">
        <f>H65+J65+L65</f>
        <v>0</v>
      </c>
    </row>
    <row r="66" spans="1:16" s="144" customFormat="1" ht="18" customHeight="1">
      <c r="A66" s="138"/>
      <c r="B66" s="205"/>
      <c r="C66" s="198" t="s">
        <v>69</v>
      </c>
      <c r="D66" s="139" t="s">
        <v>6</v>
      </c>
      <c r="E66" s="206">
        <v>0.082</v>
      </c>
      <c r="F66" s="143">
        <f>E66*F61</f>
        <v>4.1000000000000005</v>
      </c>
      <c r="G66" s="143"/>
      <c r="H66" s="143">
        <f>G66*F66</f>
        <v>0</v>
      </c>
      <c r="I66" s="195"/>
      <c r="J66" s="199"/>
      <c r="K66" s="195"/>
      <c r="L66" s="195"/>
      <c r="M66" s="143">
        <f>H66+J66+L66</f>
        <v>0</v>
      </c>
      <c r="N66" s="539"/>
      <c r="O66" s="540">
        <f>M66+K66+I66</f>
        <v>0</v>
      </c>
      <c r="P66" s="449"/>
    </row>
    <row r="67" spans="1:256" s="568" customFormat="1" ht="36" customHeight="1">
      <c r="A67" s="559">
        <f>A61+1</f>
        <v>3</v>
      </c>
      <c r="B67" s="560" t="s">
        <v>632</v>
      </c>
      <c r="C67" s="369" t="s">
        <v>420</v>
      </c>
      <c r="D67" s="561" t="s">
        <v>12</v>
      </c>
      <c r="E67" s="562"/>
      <c r="F67" s="410">
        <v>1</v>
      </c>
      <c r="G67" s="563"/>
      <c r="H67" s="564"/>
      <c r="I67" s="565"/>
      <c r="J67" s="566"/>
      <c r="K67" s="565"/>
      <c r="L67" s="368"/>
      <c r="M67" s="563"/>
      <c r="N67" s="567"/>
      <c r="O67" s="567"/>
      <c r="P67" s="567"/>
      <c r="Q67" s="567"/>
      <c r="R67" s="567"/>
      <c r="S67" s="567"/>
      <c r="T67" s="567"/>
      <c r="U67" s="567"/>
      <c r="V67" s="567"/>
      <c r="W67" s="567"/>
      <c r="X67" s="567"/>
      <c r="Y67" s="567"/>
      <c r="Z67" s="567"/>
      <c r="AA67" s="567"/>
      <c r="AB67" s="567"/>
      <c r="AC67" s="567"/>
      <c r="AD67" s="567"/>
      <c r="AE67" s="567"/>
      <c r="AF67" s="567"/>
      <c r="AG67" s="567"/>
      <c r="AH67" s="567"/>
      <c r="AI67" s="567"/>
      <c r="AJ67" s="567"/>
      <c r="AK67" s="567"/>
      <c r="AL67" s="567"/>
      <c r="AM67" s="567"/>
      <c r="AN67" s="567"/>
      <c r="AO67" s="567"/>
      <c r="AP67" s="567"/>
      <c r="AQ67" s="567"/>
      <c r="AR67" s="567"/>
      <c r="AS67" s="567"/>
      <c r="AT67" s="567"/>
      <c r="AU67" s="567"/>
      <c r="AV67" s="567"/>
      <c r="AW67" s="567"/>
      <c r="AX67" s="567"/>
      <c r="AY67" s="567"/>
      <c r="AZ67" s="567"/>
      <c r="BA67" s="567"/>
      <c r="BB67" s="567"/>
      <c r="BC67" s="567"/>
      <c r="BD67" s="567"/>
      <c r="BE67" s="567"/>
      <c r="BF67" s="567"/>
      <c r="BG67" s="567"/>
      <c r="BH67" s="567"/>
      <c r="BI67" s="567"/>
      <c r="BJ67" s="567"/>
      <c r="BK67" s="567"/>
      <c r="BL67" s="567"/>
      <c r="BM67" s="567"/>
      <c r="BN67" s="567"/>
      <c r="BO67" s="567"/>
      <c r="BP67" s="567"/>
      <c r="BQ67" s="567"/>
      <c r="BR67" s="567"/>
      <c r="BS67" s="567"/>
      <c r="BT67" s="567"/>
      <c r="BU67" s="567"/>
      <c r="BV67" s="567"/>
      <c r="BW67" s="567"/>
      <c r="BX67" s="567"/>
      <c r="BY67" s="567"/>
      <c r="BZ67" s="567"/>
      <c r="CA67" s="567"/>
      <c r="CB67" s="567"/>
      <c r="CC67" s="567"/>
      <c r="CD67" s="567"/>
      <c r="CE67" s="567"/>
      <c r="CF67" s="567"/>
      <c r="CG67" s="567"/>
      <c r="CH67" s="567"/>
      <c r="CI67" s="567"/>
      <c r="CJ67" s="567"/>
      <c r="CK67" s="567"/>
      <c r="CL67" s="567"/>
      <c r="CM67" s="567"/>
      <c r="CN67" s="567"/>
      <c r="CO67" s="567"/>
      <c r="CP67" s="567"/>
      <c r="CQ67" s="567"/>
      <c r="CR67" s="567"/>
      <c r="CS67" s="567"/>
      <c r="CT67" s="567"/>
      <c r="CU67" s="567"/>
      <c r="CV67" s="567"/>
      <c r="CW67" s="567"/>
      <c r="CX67" s="567"/>
      <c r="CY67" s="567"/>
      <c r="CZ67" s="567"/>
      <c r="DA67" s="567"/>
      <c r="DB67" s="567"/>
      <c r="DC67" s="567"/>
      <c r="DD67" s="567"/>
      <c r="DE67" s="567"/>
      <c r="DF67" s="567"/>
      <c r="DG67" s="567"/>
      <c r="DH67" s="567"/>
      <c r="DI67" s="567"/>
      <c r="DJ67" s="567"/>
      <c r="DK67" s="567"/>
      <c r="DL67" s="567"/>
      <c r="DM67" s="567"/>
      <c r="DN67" s="567"/>
      <c r="DO67" s="567"/>
      <c r="DP67" s="567"/>
      <c r="DQ67" s="567"/>
      <c r="DR67" s="567"/>
      <c r="DS67" s="567"/>
      <c r="DT67" s="567"/>
      <c r="DU67" s="567"/>
      <c r="DV67" s="567"/>
      <c r="DW67" s="567"/>
      <c r="DX67" s="567"/>
      <c r="DY67" s="567"/>
      <c r="DZ67" s="567"/>
      <c r="EA67" s="567"/>
      <c r="EB67" s="567"/>
      <c r="EC67" s="567"/>
      <c r="ED67" s="567"/>
      <c r="EE67" s="567"/>
      <c r="EF67" s="567"/>
      <c r="EG67" s="567"/>
      <c r="EH67" s="567"/>
      <c r="EI67" s="567"/>
      <c r="EJ67" s="567"/>
      <c r="EK67" s="567"/>
      <c r="EL67" s="567"/>
      <c r="EM67" s="567"/>
      <c r="EN67" s="567"/>
      <c r="EO67" s="567"/>
      <c r="EP67" s="567"/>
      <c r="EQ67" s="567"/>
      <c r="ER67" s="567"/>
      <c r="ES67" s="567"/>
      <c r="ET67" s="567"/>
      <c r="EU67" s="567"/>
      <c r="EV67" s="567"/>
      <c r="EW67" s="567"/>
      <c r="EX67" s="567"/>
      <c r="EY67" s="567"/>
      <c r="EZ67" s="567"/>
      <c r="FA67" s="567"/>
      <c r="FB67" s="567"/>
      <c r="FC67" s="567"/>
      <c r="FD67" s="567"/>
      <c r="FE67" s="567"/>
      <c r="FF67" s="567"/>
      <c r="FG67" s="567"/>
      <c r="FH67" s="567"/>
      <c r="FI67" s="567"/>
      <c r="FJ67" s="567"/>
      <c r="FK67" s="567"/>
      <c r="FL67" s="567"/>
      <c r="FM67" s="567"/>
      <c r="FN67" s="567"/>
      <c r="FO67" s="567"/>
      <c r="FP67" s="567"/>
      <c r="FQ67" s="567"/>
      <c r="FR67" s="567"/>
      <c r="FS67" s="567"/>
      <c r="FT67" s="567"/>
      <c r="FU67" s="567"/>
      <c r="FV67" s="567"/>
      <c r="FW67" s="567"/>
      <c r="FX67" s="567"/>
      <c r="FY67" s="567"/>
      <c r="FZ67" s="567"/>
      <c r="GA67" s="567"/>
      <c r="GB67" s="567"/>
      <c r="GC67" s="567"/>
      <c r="GD67" s="567"/>
      <c r="GE67" s="567"/>
      <c r="GF67" s="567"/>
      <c r="GG67" s="567"/>
      <c r="GH67" s="567"/>
      <c r="GI67" s="567"/>
      <c r="GJ67" s="567"/>
      <c r="GK67" s="567"/>
      <c r="GL67" s="567"/>
      <c r="GM67" s="567"/>
      <c r="GN67" s="567"/>
      <c r="GO67" s="567"/>
      <c r="GP67" s="567"/>
      <c r="GQ67" s="567"/>
      <c r="GR67" s="567"/>
      <c r="GS67" s="567"/>
      <c r="GT67" s="567"/>
      <c r="GU67" s="567"/>
      <c r="GV67" s="567"/>
      <c r="GW67" s="567"/>
      <c r="GX67" s="567"/>
      <c r="GY67" s="567"/>
      <c r="GZ67" s="567"/>
      <c r="HA67" s="567"/>
      <c r="HB67" s="567"/>
      <c r="HC67" s="567"/>
      <c r="HD67" s="567"/>
      <c r="HE67" s="567"/>
      <c r="HF67" s="567"/>
      <c r="HG67" s="567"/>
      <c r="HH67" s="567"/>
      <c r="HI67" s="567"/>
      <c r="HJ67" s="567"/>
      <c r="HK67" s="567"/>
      <c r="HL67" s="567"/>
      <c r="HM67" s="567"/>
      <c r="HN67" s="567"/>
      <c r="HO67" s="567"/>
      <c r="HP67" s="567"/>
      <c r="HQ67" s="567"/>
      <c r="HR67" s="567"/>
      <c r="HS67" s="567"/>
      <c r="HT67" s="567"/>
      <c r="HU67" s="567"/>
      <c r="HV67" s="567"/>
      <c r="HW67" s="567"/>
      <c r="HX67" s="567"/>
      <c r="HY67" s="567"/>
      <c r="HZ67" s="567"/>
      <c r="IA67" s="567"/>
      <c r="IB67" s="567"/>
      <c r="IC67" s="567"/>
      <c r="ID67" s="567"/>
      <c r="IE67" s="567"/>
      <c r="IF67" s="567"/>
      <c r="IG67" s="567"/>
      <c r="IH67" s="567"/>
      <c r="II67" s="567"/>
      <c r="IJ67" s="567"/>
      <c r="IK67" s="567"/>
      <c r="IL67" s="567"/>
      <c r="IM67" s="567"/>
      <c r="IN67" s="567"/>
      <c r="IO67" s="567"/>
      <c r="IP67" s="567"/>
      <c r="IQ67" s="567"/>
      <c r="IR67" s="567"/>
      <c r="IS67" s="567"/>
      <c r="IT67" s="567"/>
      <c r="IU67" s="567"/>
      <c r="IV67" s="567"/>
    </row>
    <row r="68" spans="1:256" s="568" customFormat="1" ht="16.5" customHeight="1">
      <c r="A68" s="559"/>
      <c r="B68" s="560"/>
      <c r="C68" s="10" t="s">
        <v>140</v>
      </c>
      <c r="D68" s="561" t="s">
        <v>139</v>
      </c>
      <c r="E68" s="562">
        <v>26</v>
      </c>
      <c r="F68" s="368">
        <f>F67*E68</f>
        <v>26</v>
      </c>
      <c r="G68" s="368"/>
      <c r="H68" s="368"/>
      <c r="I68" s="143"/>
      <c r="J68" s="195">
        <f>I68*F68</f>
        <v>0</v>
      </c>
      <c r="K68" s="143"/>
      <c r="L68" s="143"/>
      <c r="M68" s="143">
        <f>H68+J68+L68</f>
        <v>0</v>
      </c>
      <c r="N68" s="567"/>
      <c r="O68" s="567"/>
      <c r="P68" s="567"/>
      <c r="Q68" s="567"/>
      <c r="R68" s="567"/>
      <c r="S68" s="567"/>
      <c r="T68" s="567"/>
      <c r="U68" s="567"/>
      <c r="V68" s="567"/>
      <c r="W68" s="567"/>
      <c r="X68" s="567"/>
      <c r="Y68" s="567"/>
      <c r="Z68" s="567"/>
      <c r="AA68" s="567"/>
      <c r="AB68" s="567"/>
      <c r="AC68" s="567"/>
      <c r="AD68" s="567"/>
      <c r="AE68" s="567"/>
      <c r="AF68" s="567"/>
      <c r="AG68" s="567"/>
      <c r="AH68" s="567"/>
      <c r="AI68" s="567"/>
      <c r="AJ68" s="567"/>
      <c r="AK68" s="567"/>
      <c r="AL68" s="567"/>
      <c r="AM68" s="567"/>
      <c r="AN68" s="567"/>
      <c r="AO68" s="567"/>
      <c r="AP68" s="567"/>
      <c r="AQ68" s="567"/>
      <c r="AR68" s="567"/>
      <c r="AS68" s="567"/>
      <c r="AT68" s="567"/>
      <c r="AU68" s="567"/>
      <c r="AV68" s="567"/>
      <c r="AW68" s="567"/>
      <c r="AX68" s="567"/>
      <c r="AY68" s="567"/>
      <c r="AZ68" s="567"/>
      <c r="BA68" s="567"/>
      <c r="BB68" s="567"/>
      <c r="BC68" s="567"/>
      <c r="BD68" s="567"/>
      <c r="BE68" s="567"/>
      <c r="BF68" s="567"/>
      <c r="BG68" s="567"/>
      <c r="BH68" s="567"/>
      <c r="BI68" s="567"/>
      <c r="BJ68" s="567"/>
      <c r="BK68" s="567"/>
      <c r="BL68" s="567"/>
      <c r="BM68" s="567"/>
      <c r="BN68" s="567"/>
      <c r="BO68" s="567"/>
      <c r="BP68" s="567"/>
      <c r="BQ68" s="567"/>
      <c r="BR68" s="567"/>
      <c r="BS68" s="567"/>
      <c r="BT68" s="567"/>
      <c r="BU68" s="567"/>
      <c r="BV68" s="567"/>
      <c r="BW68" s="567"/>
      <c r="BX68" s="567"/>
      <c r="BY68" s="567"/>
      <c r="BZ68" s="567"/>
      <c r="CA68" s="567"/>
      <c r="CB68" s="567"/>
      <c r="CC68" s="567"/>
      <c r="CD68" s="567"/>
      <c r="CE68" s="567"/>
      <c r="CF68" s="567"/>
      <c r="CG68" s="567"/>
      <c r="CH68" s="567"/>
      <c r="CI68" s="567"/>
      <c r="CJ68" s="567"/>
      <c r="CK68" s="567"/>
      <c r="CL68" s="567"/>
      <c r="CM68" s="567"/>
      <c r="CN68" s="567"/>
      <c r="CO68" s="567"/>
      <c r="CP68" s="567"/>
      <c r="CQ68" s="567"/>
      <c r="CR68" s="567"/>
      <c r="CS68" s="567"/>
      <c r="CT68" s="567"/>
      <c r="CU68" s="567"/>
      <c r="CV68" s="567"/>
      <c r="CW68" s="567"/>
      <c r="CX68" s="567"/>
      <c r="CY68" s="567"/>
      <c r="CZ68" s="567"/>
      <c r="DA68" s="567"/>
      <c r="DB68" s="567"/>
      <c r="DC68" s="567"/>
      <c r="DD68" s="567"/>
      <c r="DE68" s="567"/>
      <c r="DF68" s="567"/>
      <c r="DG68" s="567"/>
      <c r="DH68" s="567"/>
      <c r="DI68" s="567"/>
      <c r="DJ68" s="567"/>
      <c r="DK68" s="567"/>
      <c r="DL68" s="567"/>
      <c r="DM68" s="567"/>
      <c r="DN68" s="567"/>
      <c r="DO68" s="567"/>
      <c r="DP68" s="567"/>
      <c r="DQ68" s="567"/>
      <c r="DR68" s="567"/>
      <c r="DS68" s="567"/>
      <c r="DT68" s="567"/>
      <c r="DU68" s="567"/>
      <c r="DV68" s="567"/>
      <c r="DW68" s="567"/>
      <c r="DX68" s="567"/>
      <c r="DY68" s="567"/>
      <c r="DZ68" s="567"/>
      <c r="EA68" s="567"/>
      <c r="EB68" s="567"/>
      <c r="EC68" s="567"/>
      <c r="ED68" s="567"/>
      <c r="EE68" s="567"/>
      <c r="EF68" s="567"/>
      <c r="EG68" s="567"/>
      <c r="EH68" s="567"/>
      <c r="EI68" s="567"/>
      <c r="EJ68" s="567"/>
      <c r="EK68" s="567"/>
      <c r="EL68" s="567"/>
      <c r="EM68" s="567"/>
      <c r="EN68" s="567"/>
      <c r="EO68" s="567"/>
      <c r="EP68" s="567"/>
      <c r="EQ68" s="567"/>
      <c r="ER68" s="567"/>
      <c r="ES68" s="567"/>
      <c r="ET68" s="567"/>
      <c r="EU68" s="567"/>
      <c r="EV68" s="567"/>
      <c r="EW68" s="567"/>
      <c r="EX68" s="567"/>
      <c r="EY68" s="567"/>
      <c r="EZ68" s="567"/>
      <c r="FA68" s="567"/>
      <c r="FB68" s="567"/>
      <c r="FC68" s="567"/>
      <c r="FD68" s="567"/>
      <c r="FE68" s="567"/>
      <c r="FF68" s="567"/>
      <c r="FG68" s="567"/>
      <c r="FH68" s="567"/>
      <c r="FI68" s="567"/>
      <c r="FJ68" s="567"/>
      <c r="FK68" s="567"/>
      <c r="FL68" s="567"/>
      <c r="FM68" s="567"/>
      <c r="FN68" s="567"/>
      <c r="FO68" s="567"/>
      <c r="FP68" s="567"/>
      <c r="FQ68" s="567"/>
      <c r="FR68" s="567"/>
      <c r="FS68" s="567"/>
      <c r="FT68" s="567"/>
      <c r="FU68" s="567"/>
      <c r="FV68" s="567"/>
      <c r="FW68" s="567"/>
      <c r="FX68" s="567"/>
      <c r="FY68" s="567"/>
      <c r="FZ68" s="567"/>
      <c r="GA68" s="567"/>
      <c r="GB68" s="567"/>
      <c r="GC68" s="567"/>
      <c r="GD68" s="567"/>
      <c r="GE68" s="567"/>
      <c r="GF68" s="567"/>
      <c r="GG68" s="567"/>
      <c r="GH68" s="567"/>
      <c r="GI68" s="567"/>
      <c r="GJ68" s="567"/>
      <c r="GK68" s="567"/>
      <c r="GL68" s="567"/>
      <c r="GM68" s="567"/>
      <c r="GN68" s="567"/>
      <c r="GO68" s="567"/>
      <c r="GP68" s="567"/>
      <c r="GQ68" s="567"/>
      <c r="GR68" s="567"/>
      <c r="GS68" s="567"/>
      <c r="GT68" s="567"/>
      <c r="GU68" s="567"/>
      <c r="GV68" s="567"/>
      <c r="GW68" s="567"/>
      <c r="GX68" s="567"/>
      <c r="GY68" s="567"/>
      <c r="GZ68" s="567"/>
      <c r="HA68" s="567"/>
      <c r="HB68" s="567"/>
      <c r="HC68" s="567"/>
      <c r="HD68" s="567"/>
      <c r="HE68" s="567"/>
      <c r="HF68" s="567"/>
      <c r="HG68" s="567"/>
      <c r="HH68" s="567"/>
      <c r="HI68" s="567"/>
      <c r="HJ68" s="567"/>
      <c r="HK68" s="567"/>
      <c r="HL68" s="567"/>
      <c r="HM68" s="567"/>
      <c r="HN68" s="567"/>
      <c r="HO68" s="567"/>
      <c r="HP68" s="567"/>
      <c r="HQ68" s="567"/>
      <c r="HR68" s="567"/>
      <c r="HS68" s="567"/>
      <c r="HT68" s="567"/>
      <c r="HU68" s="567"/>
      <c r="HV68" s="567"/>
      <c r="HW68" s="567"/>
      <c r="HX68" s="567"/>
      <c r="HY68" s="567"/>
      <c r="HZ68" s="567"/>
      <c r="IA68" s="567"/>
      <c r="IB68" s="567"/>
      <c r="IC68" s="567"/>
      <c r="ID68" s="567"/>
      <c r="IE68" s="567"/>
      <c r="IF68" s="567"/>
      <c r="IG68" s="567"/>
      <c r="IH68" s="567"/>
      <c r="II68" s="567"/>
      <c r="IJ68" s="567"/>
      <c r="IK68" s="567"/>
      <c r="IL68" s="567"/>
      <c r="IM68" s="567"/>
      <c r="IN68" s="567"/>
      <c r="IO68" s="567"/>
      <c r="IP68" s="567"/>
      <c r="IQ68" s="567"/>
      <c r="IR68" s="567"/>
      <c r="IS68" s="567"/>
      <c r="IT68" s="567"/>
      <c r="IU68" s="567"/>
      <c r="IV68" s="567"/>
    </row>
    <row r="69" spans="1:256" s="568" customFormat="1" ht="16.5" customHeight="1">
      <c r="A69" s="559"/>
      <c r="B69" s="569"/>
      <c r="C69" s="10" t="s">
        <v>69</v>
      </c>
      <c r="D69" s="561" t="s">
        <v>6</v>
      </c>
      <c r="E69" s="562">
        <v>2.5</v>
      </c>
      <c r="F69" s="368">
        <f>F67*E69</f>
        <v>2.5</v>
      </c>
      <c r="G69" s="368"/>
      <c r="H69" s="195">
        <f>F69*G69</f>
        <v>0</v>
      </c>
      <c r="I69" s="368"/>
      <c r="J69" s="368"/>
      <c r="K69" s="368"/>
      <c r="L69" s="368"/>
      <c r="M69" s="143">
        <f>H69+J69+L69</f>
        <v>0</v>
      </c>
      <c r="N69" s="567"/>
      <c r="O69" s="567"/>
      <c r="P69" s="567"/>
      <c r="Q69" s="567"/>
      <c r="R69" s="567"/>
      <c r="S69" s="567"/>
      <c r="T69" s="567"/>
      <c r="U69" s="567"/>
      <c r="V69" s="567"/>
      <c r="W69" s="567"/>
      <c r="X69" s="567"/>
      <c r="Y69" s="567"/>
      <c r="Z69" s="567"/>
      <c r="AA69" s="567"/>
      <c r="AB69" s="567"/>
      <c r="AC69" s="567"/>
      <c r="AD69" s="567"/>
      <c r="AE69" s="567"/>
      <c r="AF69" s="567"/>
      <c r="AG69" s="567"/>
      <c r="AH69" s="567"/>
      <c r="AI69" s="567"/>
      <c r="AJ69" s="567"/>
      <c r="AK69" s="567"/>
      <c r="AL69" s="567"/>
      <c r="AM69" s="567"/>
      <c r="AN69" s="567"/>
      <c r="AO69" s="567"/>
      <c r="AP69" s="567"/>
      <c r="AQ69" s="567"/>
      <c r="AR69" s="567"/>
      <c r="AS69" s="567"/>
      <c r="AT69" s="567"/>
      <c r="AU69" s="567"/>
      <c r="AV69" s="567"/>
      <c r="AW69" s="567"/>
      <c r="AX69" s="567"/>
      <c r="AY69" s="567"/>
      <c r="AZ69" s="567"/>
      <c r="BA69" s="567"/>
      <c r="BB69" s="567"/>
      <c r="BC69" s="567"/>
      <c r="BD69" s="567"/>
      <c r="BE69" s="567"/>
      <c r="BF69" s="567"/>
      <c r="BG69" s="567"/>
      <c r="BH69" s="567"/>
      <c r="BI69" s="567"/>
      <c r="BJ69" s="567"/>
      <c r="BK69" s="567"/>
      <c r="BL69" s="567"/>
      <c r="BM69" s="567"/>
      <c r="BN69" s="567"/>
      <c r="BO69" s="567"/>
      <c r="BP69" s="567"/>
      <c r="BQ69" s="567"/>
      <c r="BR69" s="567"/>
      <c r="BS69" s="567"/>
      <c r="BT69" s="567"/>
      <c r="BU69" s="567"/>
      <c r="BV69" s="567"/>
      <c r="BW69" s="567"/>
      <c r="BX69" s="567"/>
      <c r="BY69" s="567"/>
      <c r="BZ69" s="567"/>
      <c r="CA69" s="567"/>
      <c r="CB69" s="567"/>
      <c r="CC69" s="567"/>
      <c r="CD69" s="567"/>
      <c r="CE69" s="567"/>
      <c r="CF69" s="567"/>
      <c r="CG69" s="567"/>
      <c r="CH69" s="567"/>
      <c r="CI69" s="567"/>
      <c r="CJ69" s="567"/>
      <c r="CK69" s="567"/>
      <c r="CL69" s="567"/>
      <c r="CM69" s="567"/>
      <c r="CN69" s="567"/>
      <c r="CO69" s="567"/>
      <c r="CP69" s="567"/>
      <c r="CQ69" s="567"/>
      <c r="CR69" s="567"/>
      <c r="CS69" s="567"/>
      <c r="CT69" s="567"/>
      <c r="CU69" s="567"/>
      <c r="CV69" s="567"/>
      <c r="CW69" s="567"/>
      <c r="CX69" s="567"/>
      <c r="CY69" s="567"/>
      <c r="CZ69" s="567"/>
      <c r="DA69" s="567"/>
      <c r="DB69" s="567"/>
      <c r="DC69" s="567"/>
      <c r="DD69" s="567"/>
      <c r="DE69" s="567"/>
      <c r="DF69" s="567"/>
      <c r="DG69" s="567"/>
      <c r="DH69" s="567"/>
      <c r="DI69" s="567"/>
      <c r="DJ69" s="567"/>
      <c r="DK69" s="567"/>
      <c r="DL69" s="567"/>
      <c r="DM69" s="567"/>
      <c r="DN69" s="567"/>
      <c r="DO69" s="567"/>
      <c r="DP69" s="567"/>
      <c r="DQ69" s="567"/>
      <c r="DR69" s="567"/>
      <c r="DS69" s="567"/>
      <c r="DT69" s="567"/>
      <c r="DU69" s="567"/>
      <c r="DV69" s="567"/>
      <c r="DW69" s="567"/>
      <c r="DX69" s="567"/>
      <c r="DY69" s="567"/>
      <c r="DZ69" s="567"/>
      <c r="EA69" s="567"/>
      <c r="EB69" s="567"/>
      <c r="EC69" s="567"/>
      <c r="ED69" s="567"/>
      <c r="EE69" s="567"/>
      <c r="EF69" s="567"/>
      <c r="EG69" s="567"/>
      <c r="EH69" s="567"/>
      <c r="EI69" s="567"/>
      <c r="EJ69" s="567"/>
      <c r="EK69" s="567"/>
      <c r="EL69" s="567"/>
      <c r="EM69" s="567"/>
      <c r="EN69" s="567"/>
      <c r="EO69" s="567"/>
      <c r="EP69" s="567"/>
      <c r="EQ69" s="567"/>
      <c r="ER69" s="567"/>
      <c r="ES69" s="567"/>
      <c r="ET69" s="567"/>
      <c r="EU69" s="567"/>
      <c r="EV69" s="567"/>
      <c r="EW69" s="567"/>
      <c r="EX69" s="567"/>
      <c r="EY69" s="567"/>
      <c r="EZ69" s="567"/>
      <c r="FA69" s="567"/>
      <c r="FB69" s="567"/>
      <c r="FC69" s="567"/>
      <c r="FD69" s="567"/>
      <c r="FE69" s="567"/>
      <c r="FF69" s="567"/>
      <c r="FG69" s="567"/>
      <c r="FH69" s="567"/>
      <c r="FI69" s="567"/>
      <c r="FJ69" s="567"/>
      <c r="FK69" s="567"/>
      <c r="FL69" s="567"/>
      <c r="FM69" s="567"/>
      <c r="FN69" s="567"/>
      <c r="FO69" s="567"/>
      <c r="FP69" s="567"/>
      <c r="FQ69" s="567"/>
      <c r="FR69" s="567"/>
      <c r="FS69" s="567"/>
      <c r="FT69" s="567"/>
      <c r="FU69" s="567"/>
      <c r="FV69" s="567"/>
      <c r="FW69" s="567"/>
      <c r="FX69" s="567"/>
      <c r="FY69" s="567"/>
      <c r="FZ69" s="567"/>
      <c r="GA69" s="567"/>
      <c r="GB69" s="567"/>
      <c r="GC69" s="567"/>
      <c r="GD69" s="567"/>
      <c r="GE69" s="567"/>
      <c r="GF69" s="567"/>
      <c r="GG69" s="567"/>
      <c r="GH69" s="567"/>
      <c r="GI69" s="567"/>
      <c r="GJ69" s="567"/>
      <c r="GK69" s="567"/>
      <c r="GL69" s="567"/>
      <c r="GM69" s="567"/>
      <c r="GN69" s="567"/>
      <c r="GO69" s="567"/>
      <c r="GP69" s="567"/>
      <c r="GQ69" s="567"/>
      <c r="GR69" s="567"/>
      <c r="GS69" s="567"/>
      <c r="GT69" s="567"/>
      <c r="GU69" s="567"/>
      <c r="GV69" s="567"/>
      <c r="GW69" s="567"/>
      <c r="GX69" s="567"/>
      <c r="GY69" s="567"/>
      <c r="GZ69" s="567"/>
      <c r="HA69" s="567"/>
      <c r="HB69" s="567"/>
      <c r="HC69" s="567"/>
      <c r="HD69" s="567"/>
      <c r="HE69" s="567"/>
      <c r="HF69" s="567"/>
      <c r="HG69" s="567"/>
      <c r="HH69" s="567"/>
      <c r="HI69" s="567"/>
      <c r="HJ69" s="567"/>
      <c r="HK69" s="567"/>
      <c r="HL69" s="567"/>
      <c r="HM69" s="567"/>
      <c r="HN69" s="567"/>
      <c r="HO69" s="567"/>
      <c r="HP69" s="567"/>
      <c r="HQ69" s="567"/>
      <c r="HR69" s="567"/>
      <c r="HS69" s="567"/>
      <c r="HT69" s="567"/>
      <c r="HU69" s="567"/>
      <c r="HV69" s="567"/>
      <c r="HW69" s="567"/>
      <c r="HX69" s="567"/>
      <c r="HY69" s="567"/>
      <c r="HZ69" s="567"/>
      <c r="IA69" s="567"/>
      <c r="IB69" s="567"/>
      <c r="IC69" s="567"/>
      <c r="ID69" s="567"/>
      <c r="IE69" s="567"/>
      <c r="IF69" s="567"/>
      <c r="IG69" s="567"/>
      <c r="IH69" s="567"/>
      <c r="II69" s="567"/>
      <c r="IJ69" s="567"/>
      <c r="IK69" s="567"/>
      <c r="IL69" s="567"/>
      <c r="IM69" s="567"/>
      <c r="IN69" s="567"/>
      <c r="IO69" s="567"/>
      <c r="IP69" s="567"/>
      <c r="IQ69" s="567"/>
      <c r="IR69" s="567"/>
      <c r="IS69" s="567"/>
      <c r="IT69" s="567"/>
      <c r="IU69" s="567"/>
      <c r="IV69" s="567"/>
    </row>
    <row r="70" spans="1:256" s="568" customFormat="1" ht="36" customHeight="1">
      <c r="A70" s="559"/>
      <c r="B70" s="561"/>
      <c r="C70" s="414" t="s">
        <v>358</v>
      </c>
      <c r="D70" s="561" t="s">
        <v>196</v>
      </c>
      <c r="E70" s="562">
        <v>1</v>
      </c>
      <c r="F70" s="368">
        <f>F67*E70</f>
        <v>1</v>
      </c>
      <c r="G70" s="368"/>
      <c r="H70" s="195">
        <f>F70*G70</f>
        <v>0</v>
      </c>
      <c r="I70" s="368"/>
      <c r="J70" s="368"/>
      <c r="K70" s="368"/>
      <c r="L70" s="368"/>
      <c r="M70" s="143">
        <f>H70+J70+L70</f>
        <v>0</v>
      </c>
      <c r="N70" s="567"/>
      <c r="O70" s="567"/>
      <c r="P70" s="567"/>
      <c r="Q70" s="567"/>
      <c r="R70" s="567"/>
      <c r="S70" s="567"/>
      <c r="T70" s="567"/>
      <c r="U70" s="567"/>
      <c r="V70" s="567"/>
      <c r="W70" s="567"/>
      <c r="X70" s="567"/>
      <c r="Y70" s="567"/>
      <c r="Z70" s="567"/>
      <c r="AA70" s="567"/>
      <c r="AB70" s="567"/>
      <c r="AC70" s="567"/>
      <c r="AD70" s="567"/>
      <c r="AE70" s="567"/>
      <c r="AF70" s="567"/>
      <c r="AG70" s="567"/>
      <c r="AH70" s="567"/>
      <c r="AI70" s="567"/>
      <c r="AJ70" s="567"/>
      <c r="AK70" s="567"/>
      <c r="AL70" s="567"/>
      <c r="AM70" s="567"/>
      <c r="AN70" s="567"/>
      <c r="AO70" s="567"/>
      <c r="AP70" s="567"/>
      <c r="AQ70" s="567"/>
      <c r="AR70" s="567"/>
      <c r="AS70" s="567"/>
      <c r="AT70" s="567"/>
      <c r="AU70" s="567"/>
      <c r="AV70" s="567"/>
      <c r="AW70" s="567"/>
      <c r="AX70" s="567"/>
      <c r="AY70" s="567"/>
      <c r="AZ70" s="567"/>
      <c r="BA70" s="567"/>
      <c r="BB70" s="567"/>
      <c r="BC70" s="567"/>
      <c r="BD70" s="567"/>
      <c r="BE70" s="567"/>
      <c r="BF70" s="567"/>
      <c r="BG70" s="567"/>
      <c r="BH70" s="567"/>
      <c r="BI70" s="567"/>
      <c r="BJ70" s="567"/>
      <c r="BK70" s="567"/>
      <c r="BL70" s="567"/>
      <c r="BM70" s="567"/>
      <c r="BN70" s="567"/>
      <c r="BO70" s="567"/>
      <c r="BP70" s="567"/>
      <c r="BQ70" s="567"/>
      <c r="BR70" s="567"/>
      <c r="BS70" s="567"/>
      <c r="BT70" s="567"/>
      <c r="BU70" s="567"/>
      <c r="BV70" s="567"/>
      <c r="BW70" s="567"/>
      <c r="BX70" s="567"/>
      <c r="BY70" s="567"/>
      <c r="BZ70" s="567"/>
      <c r="CA70" s="567"/>
      <c r="CB70" s="567"/>
      <c r="CC70" s="567"/>
      <c r="CD70" s="567"/>
      <c r="CE70" s="567"/>
      <c r="CF70" s="567"/>
      <c r="CG70" s="567"/>
      <c r="CH70" s="567"/>
      <c r="CI70" s="567"/>
      <c r="CJ70" s="567"/>
      <c r="CK70" s="567"/>
      <c r="CL70" s="567"/>
      <c r="CM70" s="567"/>
      <c r="CN70" s="567"/>
      <c r="CO70" s="567"/>
      <c r="CP70" s="567"/>
      <c r="CQ70" s="567"/>
      <c r="CR70" s="567"/>
      <c r="CS70" s="567"/>
      <c r="CT70" s="567"/>
      <c r="CU70" s="567"/>
      <c r="CV70" s="567"/>
      <c r="CW70" s="567"/>
      <c r="CX70" s="567"/>
      <c r="CY70" s="567"/>
      <c r="CZ70" s="567"/>
      <c r="DA70" s="567"/>
      <c r="DB70" s="567"/>
      <c r="DC70" s="567"/>
      <c r="DD70" s="567"/>
      <c r="DE70" s="567"/>
      <c r="DF70" s="567"/>
      <c r="DG70" s="567"/>
      <c r="DH70" s="567"/>
      <c r="DI70" s="567"/>
      <c r="DJ70" s="567"/>
      <c r="DK70" s="567"/>
      <c r="DL70" s="567"/>
      <c r="DM70" s="567"/>
      <c r="DN70" s="567"/>
      <c r="DO70" s="567"/>
      <c r="DP70" s="567"/>
      <c r="DQ70" s="567"/>
      <c r="DR70" s="567"/>
      <c r="DS70" s="567"/>
      <c r="DT70" s="567"/>
      <c r="DU70" s="567"/>
      <c r="DV70" s="567"/>
      <c r="DW70" s="567"/>
      <c r="DX70" s="567"/>
      <c r="DY70" s="567"/>
      <c r="DZ70" s="567"/>
      <c r="EA70" s="567"/>
      <c r="EB70" s="567"/>
      <c r="EC70" s="567"/>
      <c r="ED70" s="567"/>
      <c r="EE70" s="567"/>
      <c r="EF70" s="567"/>
      <c r="EG70" s="567"/>
      <c r="EH70" s="567"/>
      <c r="EI70" s="567"/>
      <c r="EJ70" s="567"/>
      <c r="EK70" s="567"/>
      <c r="EL70" s="567"/>
      <c r="EM70" s="567"/>
      <c r="EN70" s="567"/>
      <c r="EO70" s="567"/>
      <c r="EP70" s="567"/>
      <c r="EQ70" s="567"/>
      <c r="ER70" s="567"/>
      <c r="ES70" s="567"/>
      <c r="ET70" s="567"/>
      <c r="EU70" s="567"/>
      <c r="EV70" s="567"/>
      <c r="EW70" s="567"/>
      <c r="EX70" s="567"/>
      <c r="EY70" s="567"/>
      <c r="EZ70" s="567"/>
      <c r="FA70" s="567"/>
      <c r="FB70" s="567"/>
      <c r="FC70" s="567"/>
      <c r="FD70" s="567"/>
      <c r="FE70" s="567"/>
      <c r="FF70" s="567"/>
      <c r="FG70" s="567"/>
      <c r="FH70" s="567"/>
      <c r="FI70" s="567"/>
      <c r="FJ70" s="567"/>
      <c r="FK70" s="567"/>
      <c r="FL70" s="567"/>
      <c r="FM70" s="567"/>
      <c r="FN70" s="567"/>
      <c r="FO70" s="567"/>
      <c r="FP70" s="567"/>
      <c r="FQ70" s="567"/>
      <c r="FR70" s="567"/>
      <c r="FS70" s="567"/>
      <c r="FT70" s="567"/>
      <c r="FU70" s="567"/>
      <c r="FV70" s="567"/>
      <c r="FW70" s="567"/>
      <c r="FX70" s="567"/>
      <c r="FY70" s="567"/>
      <c r="FZ70" s="567"/>
      <c r="GA70" s="567"/>
      <c r="GB70" s="567"/>
      <c r="GC70" s="567"/>
      <c r="GD70" s="567"/>
      <c r="GE70" s="567"/>
      <c r="GF70" s="567"/>
      <c r="GG70" s="567"/>
      <c r="GH70" s="567"/>
      <c r="GI70" s="567"/>
      <c r="GJ70" s="567"/>
      <c r="GK70" s="567"/>
      <c r="GL70" s="567"/>
      <c r="GM70" s="567"/>
      <c r="GN70" s="567"/>
      <c r="GO70" s="567"/>
      <c r="GP70" s="567"/>
      <c r="GQ70" s="567"/>
      <c r="GR70" s="567"/>
      <c r="GS70" s="567"/>
      <c r="GT70" s="567"/>
      <c r="GU70" s="567"/>
      <c r="GV70" s="567"/>
      <c r="GW70" s="567"/>
      <c r="GX70" s="567"/>
      <c r="GY70" s="567"/>
      <c r="GZ70" s="567"/>
      <c r="HA70" s="567"/>
      <c r="HB70" s="567"/>
      <c r="HC70" s="567"/>
      <c r="HD70" s="567"/>
      <c r="HE70" s="567"/>
      <c r="HF70" s="567"/>
      <c r="HG70" s="567"/>
      <c r="HH70" s="567"/>
      <c r="HI70" s="567"/>
      <c r="HJ70" s="567"/>
      <c r="HK70" s="567"/>
      <c r="HL70" s="567"/>
      <c r="HM70" s="567"/>
      <c r="HN70" s="567"/>
      <c r="HO70" s="567"/>
      <c r="HP70" s="567"/>
      <c r="HQ70" s="567"/>
      <c r="HR70" s="567"/>
      <c r="HS70" s="567"/>
      <c r="HT70" s="567"/>
      <c r="HU70" s="567"/>
      <c r="HV70" s="567"/>
      <c r="HW70" s="567"/>
      <c r="HX70" s="567"/>
      <c r="HY70" s="567"/>
      <c r="HZ70" s="567"/>
      <c r="IA70" s="567"/>
      <c r="IB70" s="567"/>
      <c r="IC70" s="567"/>
      <c r="ID70" s="567"/>
      <c r="IE70" s="567"/>
      <c r="IF70" s="567"/>
      <c r="IG70" s="567"/>
      <c r="IH70" s="567"/>
      <c r="II70" s="567"/>
      <c r="IJ70" s="567"/>
      <c r="IK70" s="567"/>
      <c r="IL70" s="567"/>
      <c r="IM70" s="567"/>
      <c r="IN70" s="567"/>
      <c r="IO70" s="567"/>
      <c r="IP70" s="567"/>
      <c r="IQ70" s="567"/>
      <c r="IR70" s="567"/>
      <c r="IS70" s="567"/>
      <c r="IT70" s="567"/>
      <c r="IU70" s="567"/>
      <c r="IV70" s="567"/>
    </row>
    <row r="71" spans="1:256" s="568" customFormat="1" ht="18" customHeight="1">
      <c r="A71" s="559"/>
      <c r="B71" s="561"/>
      <c r="C71" s="529" t="s">
        <v>320</v>
      </c>
      <c r="D71" s="561" t="s">
        <v>196</v>
      </c>
      <c r="E71" s="562">
        <v>1</v>
      </c>
      <c r="F71" s="368">
        <f>E71*F67</f>
        <v>1</v>
      </c>
      <c r="G71" s="368"/>
      <c r="H71" s="195">
        <f>F71*G71</f>
        <v>0</v>
      </c>
      <c r="I71" s="368"/>
      <c r="J71" s="368"/>
      <c r="K71" s="368"/>
      <c r="L71" s="368"/>
      <c r="M71" s="143">
        <f>H71+J71+L71</f>
        <v>0</v>
      </c>
      <c r="N71" s="567"/>
      <c r="O71" s="567"/>
      <c r="P71" s="567"/>
      <c r="Q71" s="567"/>
      <c r="R71" s="567"/>
      <c r="S71" s="567"/>
      <c r="T71" s="567"/>
      <c r="U71" s="567"/>
      <c r="V71" s="567"/>
      <c r="W71" s="567"/>
      <c r="X71" s="567"/>
      <c r="Y71" s="567"/>
      <c r="Z71" s="567"/>
      <c r="AA71" s="567"/>
      <c r="AB71" s="567"/>
      <c r="AC71" s="567"/>
      <c r="AD71" s="567"/>
      <c r="AE71" s="567"/>
      <c r="AF71" s="567"/>
      <c r="AG71" s="567"/>
      <c r="AH71" s="567"/>
      <c r="AI71" s="567"/>
      <c r="AJ71" s="567"/>
      <c r="AK71" s="567"/>
      <c r="AL71" s="567"/>
      <c r="AM71" s="567"/>
      <c r="AN71" s="567"/>
      <c r="AO71" s="567"/>
      <c r="AP71" s="567"/>
      <c r="AQ71" s="567"/>
      <c r="AR71" s="567"/>
      <c r="AS71" s="567"/>
      <c r="AT71" s="567"/>
      <c r="AU71" s="567"/>
      <c r="AV71" s="567"/>
      <c r="AW71" s="567"/>
      <c r="AX71" s="567"/>
      <c r="AY71" s="567"/>
      <c r="AZ71" s="567"/>
      <c r="BA71" s="567"/>
      <c r="BB71" s="567"/>
      <c r="BC71" s="567"/>
      <c r="BD71" s="567"/>
      <c r="BE71" s="567"/>
      <c r="BF71" s="567"/>
      <c r="BG71" s="567"/>
      <c r="BH71" s="567"/>
      <c r="BI71" s="567"/>
      <c r="BJ71" s="567"/>
      <c r="BK71" s="567"/>
      <c r="BL71" s="567"/>
      <c r="BM71" s="567"/>
      <c r="BN71" s="567"/>
      <c r="BO71" s="567"/>
      <c r="BP71" s="567"/>
      <c r="BQ71" s="567"/>
      <c r="BR71" s="567"/>
      <c r="BS71" s="567"/>
      <c r="BT71" s="567"/>
      <c r="BU71" s="567"/>
      <c r="BV71" s="567"/>
      <c r="BW71" s="567"/>
      <c r="BX71" s="567"/>
      <c r="BY71" s="567"/>
      <c r="BZ71" s="567"/>
      <c r="CA71" s="567"/>
      <c r="CB71" s="567"/>
      <c r="CC71" s="567"/>
      <c r="CD71" s="567"/>
      <c r="CE71" s="567"/>
      <c r="CF71" s="567"/>
      <c r="CG71" s="567"/>
      <c r="CH71" s="567"/>
      <c r="CI71" s="567"/>
      <c r="CJ71" s="567"/>
      <c r="CK71" s="567"/>
      <c r="CL71" s="567"/>
      <c r="CM71" s="567"/>
      <c r="CN71" s="567"/>
      <c r="CO71" s="567"/>
      <c r="CP71" s="567"/>
      <c r="CQ71" s="567"/>
      <c r="CR71" s="567"/>
      <c r="CS71" s="567"/>
      <c r="CT71" s="567"/>
      <c r="CU71" s="567"/>
      <c r="CV71" s="567"/>
      <c r="CW71" s="567"/>
      <c r="CX71" s="567"/>
      <c r="CY71" s="567"/>
      <c r="CZ71" s="567"/>
      <c r="DA71" s="567"/>
      <c r="DB71" s="567"/>
      <c r="DC71" s="567"/>
      <c r="DD71" s="567"/>
      <c r="DE71" s="567"/>
      <c r="DF71" s="567"/>
      <c r="DG71" s="567"/>
      <c r="DH71" s="567"/>
      <c r="DI71" s="567"/>
      <c r="DJ71" s="567"/>
      <c r="DK71" s="567"/>
      <c r="DL71" s="567"/>
      <c r="DM71" s="567"/>
      <c r="DN71" s="567"/>
      <c r="DO71" s="567"/>
      <c r="DP71" s="567"/>
      <c r="DQ71" s="567"/>
      <c r="DR71" s="567"/>
      <c r="DS71" s="567"/>
      <c r="DT71" s="567"/>
      <c r="DU71" s="567"/>
      <c r="DV71" s="567"/>
      <c r="DW71" s="567"/>
      <c r="DX71" s="567"/>
      <c r="DY71" s="567"/>
      <c r="DZ71" s="567"/>
      <c r="EA71" s="567"/>
      <c r="EB71" s="567"/>
      <c r="EC71" s="567"/>
      <c r="ED71" s="567"/>
      <c r="EE71" s="567"/>
      <c r="EF71" s="567"/>
      <c r="EG71" s="567"/>
      <c r="EH71" s="567"/>
      <c r="EI71" s="567"/>
      <c r="EJ71" s="567"/>
      <c r="EK71" s="567"/>
      <c r="EL71" s="567"/>
      <c r="EM71" s="567"/>
      <c r="EN71" s="567"/>
      <c r="EO71" s="567"/>
      <c r="EP71" s="567"/>
      <c r="EQ71" s="567"/>
      <c r="ER71" s="567"/>
      <c r="ES71" s="567"/>
      <c r="ET71" s="567"/>
      <c r="EU71" s="567"/>
      <c r="EV71" s="567"/>
      <c r="EW71" s="567"/>
      <c r="EX71" s="567"/>
      <c r="EY71" s="567"/>
      <c r="EZ71" s="567"/>
      <c r="FA71" s="567"/>
      <c r="FB71" s="567"/>
      <c r="FC71" s="567"/>
      <c r="FD71" s="567"/>
      <c r="FE71" s="567"/>
      <c r="FF71" s="567"/>
      <c r="FG71" s="567"/>
      <c r="FH71" s="567"/>
      <c r="FI71" s="567"/>
      <c r="FJ71" s="567"/>
      <c r="FK71" s="567"/>
      <c r="FL71" s="567"/>
      <c r="FM71" s="567"/>
      <c r="FN71" s="567"/>
      <c r="FO71" s="567"/>
      <c r="FP71" s="567"/>
      <c r="FQ71" s="567"/>
      <c r="FR71" s="567"/>
      <c r="FS71" s="567"/>
      <c r="FT71" s="567"/>
      <c r="FU71" s="567"/>
      <c r="FV71" s="567"/>
      <c r="FW71" s="567"/>
      <c r="FX71" s="567"/>
      <c r="FY71" s="567"/>
      <c r="FZ71" s="567"/>
      <c r="GA71" s="567"/>
      <c r="GB71" s="567"/>
      <c r="GC71" s="567"/>
      <c r="GD71" s="567"/>
      <c r="GE71" s="567"/>
      <c r="GF71" s="567"/>
      <c r="GG71" s="567"/>
      <c r="GH71" s="567"/>
      <c r="GI71" s="567"/>
      <c r="GJ71" s="567"/>
      <c r="GK71" s="567"/>
      <c r="GL71" s="567"/>
      <c r="GM71" s="567"/>
      <c r="GN71" s="567"/>
      <c r="GO71" s="567"/>
      <c r="GP71" s="567"/>
      <c r="GQ71" s="567"/>
      <c r="GR71" s="567"/>
      <c r="GS71" s="567"/>
      <c r="GT71" s="567"/>
      <c r="GU71" s="567"/>
      <c r="GV71" s="567"/>
      <c r="GW71" s="567"/>
      <c r="GX71" s="567"/>
      <c r="GY71" s="567"/>
      <c r="GZ71" s="567"/>
      <c r="HA71" s="567"/>
      <c r="HB71" s="567"/>
      <c r="HC71" s="567"/>
      <c r="HD71" s="567"/>
      <c r="HE71" s="567"/>
      <c r="HF71" s="567"/>
      <c r="HG71" s="567"/>
      <c r="HH71" s="567"/>
      <c r="HI71" s="567"/>
      <c r="HJ71" s="567"/>
      <c r="HK71" s="567"/>
      <c r="HL71" s="567"/>
      <c r="HM71" s="567"/>
      <c r="HN71" s="567"/>
      <c r="HO71" s="567"/>
      <c r="HP71" s="567"/>
      <c r="HQ71" s="567"/>
      <c r="HR71" s="567"/>
      <c r="HS71" s="567"/>
      <c r="HT71" s="567"/>
      <c r="HU71" s="567"/>
      <c r="HV71" s="567"/>
      <c r="HW71" s="567"/>
      <c r="HX71" s="567"/>
      <c r="HY71" s="567"/>
      <c r="HZ71" s="567"/>
      <c r="IA71" s="567"/>
      <c r="IB71" s="567"/>
      <c r="IC71" s="567"/>
      <c r="ID71" s="567"/>
      <c r="IE71" s="567"/>
      <c r="IF71" s="567"/>
      <c r="IG71" s="567"/>
      <c r="IH71" s="567"/>
      <c r="II71" s="567"/>
      <c r="IJ71" s="567"/>
      <c r="IK71" s="567"/>
      <c r="IL71" s="567"/>
      <c r="IM71" s="567"/>
      <c r="IN71" s="567"/>
      <c r="IO71" s="567"/>
      <c r="IP71" s="567"/>
      <c r="IQ71" s="567"/>
      <c r="IR71" s="567"/>
      <c r="IS71" s="567"/>
      <c r="IT71" s="567"/>
      <c r="IU71" s="567"/>
      <c r="IV71" s="567"/>
    </row>
    <row r="72" spans="1:13" s="568" customFormat="1" ht="36" customHeight="1">
      <c r="A72" s="559">
        <f>A67+1</f>
        <v>4</v>
      </c>
      <c r="B72" s="560" t="s">
        <v>235</v>
      </c>
      <c r="C72" s="570" t="s">
        <v>236</v>
      </c>
      <c r="D72" s="561" t="s">
        <v>12</v>
      </c>
      <c r="E72" s="562"/>
      <c r="F72" s="417">
        <f>SUM(F75:F75)</f>
        <v>40</v>
      </c>
      <c r="G72" s="563"/>
      <c r="H72" s="566"/>
      <c r="I72" s="565"/>
      <c r="J72" s="566"/>
      <c r="K72" s="565"/>
      <c r="L72" s="368"/>
      <c r="M72" s="563"/>
    </row>
    <row r="73" spans="1:13" s="568" customFormat="1" ht="16.5" customHeight="1">
      <c r="A73" s="559"/>
      <c r="B73" s="560"/>
      <c r="C73" s="571" t="s">
        <v>140</v>
      </c>
      <c r="D73" s="561" t="s">
        <v>139</v>
      </c>
      <c r="E73" s="562">
        <v>2</v>
      </c>
      <c r="F73" s="368">
        <f>F72*E73</f>
        <v>80</v>
      </c>
      <c r="G73" s="368"/>
      <c r="H73" s="195"/>
      <c r="I73" s="195"/>
      <c r="J73" s="195">
        <f>I73*F73</f>
        <v>0</v>
      </c>
      <c r="K73" s="195"/>
      <c r="L73" s="195"/>
      <c r="M73" s="195">
        <f>H73+J73+L73</f>
        <v>0</v>
      </c>
    </row>
    <row r="74" spans="1:13" s="568" customFormat="1" ht="16.5" customHeight="1">
      <c r="A74" s="559"/>
      <c r="B74" s="560"/>
      <c r="C74" s="10" t="s">
        <v>69</v>
      </c>
      <c r="D74" s="561" t="s">
        <v>6</v>
      </c>
      <c r="E74" s="562">
        <v>0.28</v>
      </c>
      <c r="F74" s="368">
        <f>F72*E74</f>
        <v>11.200000000000001</v>
      </c>
      <c r="G74" s="368"/>
      <c r="H74" s="195">
        <f>F74*G74</f>
        <v>0</v>
      </c>
      <c r="I74" s="368"/>
      <c r="J74" s="553"/>
      <c r="K74" s="368"/>
      <c r="L74" s="368"/>
      <c r="M74" s="195">
        <f>H74+J74+L74</f>
        <v>0</v>
      </c>
    </row>
    <row r="75" spans="1:13" s="568" customFormat="1" ht="36" customHeight="1">
      <c r="A75" s="559"/>
      <c r="B75" s="560"/>
      <c r="C75" s="572" t="s">
        <v>236</v>
      </c>
      <c r="D75" s="561" t="s">
        <v>12</v>
      </c>
      <c r="E75" s="562">
        <v>1</v>
      </c>
      <c r="F75" s="368">
        <v>40</v>
      </c>
      <c r="G75" s="368"/>
      <c r="H75" s="195">
        <f>F75*G75</f>
        <v>0</v>
      </c>
      <c r="I75" s="368"/>
      <c r="J75" s="553"/>
      <c r="K75" s="368"/>
      <c r="L75" s="368"/>
      <c r="M75" s="195">
        <f>H75+J75+L75</f>
        <v>0</v>
      </c>
    </row>
    <row r="76" spans="1:13" s="568" customFormat="1" ht="18" customHeight="1">
      <c r="A76" s="559"/>
      <c r="B76" s="560"/>
      <c r="C76" s="572" t="s">
        <v>237</v>
      </c>
      <c r="D76" s="561" t="s">
        <v>12</v>
      </c>
      <c r="E76" s="562">
        <v>1</v>
      </c>
      <c r="F76" s="368">
        <f>F72</f>
        <v>40</v>
      </c>
      <c r="G76" s="368"/>
      <c r="H76" s="195">
        <f>F76*G76</f>
        <v>0</v>
      </c>
      <c r="I76" s="368"/>
      <c r="J76" s="553"/>
      <c r="K76" s="368"/>
      <c r="L76" s="368"/>
      <c r="M76" s="195">
        <f>H76+J76+L76</f>
        <v>0</v>
      </c>
    </row>
    <row r="77" spans="1:13" s="568" customFormat="1" ht="21" customHeight="1">
      <c r="A77" s="559">
        <f>A72+1</f>
        <v>5</v>
      </c>
      <c r="B77" s="560" t="s">
        <v>235</v>
      </c>
      <c r="C77" s="570" t="s">
        <v>232</v>
      </c>
      <c r="D77" s="561" t="s">
        <v>12</v>
      </c>
      <c r="E77" s="562"/>
      <c r="F77" s="417">
        <f>F80</f>
        <v>1</v>
      </c>
      <c r="G77" s="563"/>
      <c r="H77" s="566"/>
      <c r="I77" s="565"/>
      <c r="J77" s="566"/>
      <c r="K77" s="565"/>
      <c r="L77" s="368"/>
      <c r="M77" s="563"/>
    </row>
    <row r="78" spans="1:13" s="568" customFormat="1" ht="18.75" customHeight="1">
      <c r="A78" s="559"/>
      <c r="B78" s="560"/>
      <c r="C78" s="571" t="s">
        <v>140</v>
      </c>
      <c r="D78" s="561" t="s">
        <v>139</v>
      </c>
      <c r="E78" s="562">
        <v>2</v>
      </c>
      <c r="F78" s="368">
        <f>F77*E78</f>
        <v>2</v>
      </c>
      <c r="G78" s="368"/>
      <c r="H78" s="195"/>
      <c r="I78" s="195"/>
      <c r="J78" s="195">
        <f>I78*F78</f>
        <v>0</v>
      </c>
      <c r="K78" s="195"/>
      <c r="L78" s="195"/>
      <c r="M78" s="195">
        <f>H78+J78+L78</f>
        <v>0</v>
      </c>
    </row>
    <row r="79" spans="1:13" s="568" customFormat="1" ht="18.75" customHeight="1">
      <c r="A79" s="559"/>
      <c r="B79" s="560"/>
      <c r="C79" s="10" t="s">
        <v>69</v>
      </c>
      <c r="D79" s="561" t="s">
        <v>6</v>
      </c>
      <c r="E79" s="562">
        <v>0.28</v>
      </c>
      <c r="F79" s="368">
        <f>F77*E79</f>
        <v>0.28</v>
      </c>
      <c r="G79" s="368"/>
      <c r="H79" s="195">
        <f>F79*G79</f>
        <v>0</v>
      </c>
      <c r="I79" s="368"/>
      <c r="J79" s="553"/>
      <c r="K79" s="368"/>
      <c r="L79" s="368"/>
      <c r="M79" s="195">
        <f>H79+J79+L79</f>
        <v>0</v>
      </c>
    </row>
    <row r="80" spans="1:13" s="568" customFormat="1" ht="18.75" customHeight="1">
      <c r="A80" s="559"/>
      <c r="B80" s="560"/>
      <c r="C80" s="526" t="s">
        <v>265</v>
      </c>
      <c r="D80" s="561" t="s">
        <v>12</v>
      </c>
      <c r="E80" s="562">
        <v>1</v>
      </c>
      <c r="F80" s="368">
        <v>1</v>
      </c>
      <c r="G80" s="368"/>
      <c r="H80" s="195">
        <f>F80*G80</f>
        <v>0</v>
      </c>
      <c r="I80" s="368"/>
      <c r="J80" s="553"/>
      <c r="K80" s="368"/>
      <c r="L80" s="368"/>
      <c r="M80" s="195">
        <f>H80+J80+L80</f>
        <v>0</v>
      </c>
    </row>
    <row r="81" spans="1:13" s="568" customFormat="1" ht="18.75" customHeight="1">
      <c r="A81" s="559"/>
      <c r="B81" s="560"/>
      <c r="C81" s="572" t="s">
        <v>237</v>
      </c>
      <c r="D81" s="561" t="s">
        <v>12</v>
      </c>
      <c r="E81" s="562">
        <v>1</v>
      </c>
      <c r="F81" s="368">
        <f>F77</f>
        <v>1</v>
      </c>
      <c r="G81" s="368"/>
      <c r="H81" s="195">
        <f>F81*G81</f>
        <v>0</v>
      </c>
      <c r="I81" s="368"/>
      <c r="J81" s="553"/>
      <c r="K81" s="368"/>
      <c r="L81" s="368"/>
      <c r="M81" s="195">
        <f>H81+J81+L81</f>
        <v>0</v>
      </c>
    </row>
    <row r="82" spans="1:13" s="568" customFormat="1" ht="21" customHeight="1">
      <c r="A82" s="559">
        <f>A77+1</f>
        <v>6</v>
      </c>
      <c r="B82" s="560" t="s">
        <v>235</v>
      </c>
      <c r="C82" s="570" t="s">
        <v>319</v>
      </c>
      <c r="D82" s="561" t="s">
        <v>12</v>
      </c>
      <c r="E82" s="562"/>
      <c r="F82" s="417">
        <f>F85</f>
        <v>1</v>
      </c>
      <c r="G82" s="563"/>
      <c r="H82" s="566"/>
      <c r="I82" s="565"/>
      <c r="J82" s="566"/>
      <c r="K82" s="565"/>
      <c r="L82" s="368"/>
      <c r="M82" s="563"/>
    </row>
    <row r="83" spans="1:13" s="568" customFormat="1" ht="18.75" customHeight="1">
      <c r="A83" s="559"/>
      <c r="B83" s="560"/>
      <c r="C83" s="571" t="s">
        <v>140</v>
      </c>
      <c r="D83" s="561" t="s">
        <v>139</v>
      </c>
      <c r="E83" s="562">
        <v>2</v>
      </c>
      <c r="F83" s="368">
        <f>F82*E83</f>
        <v>2</v>
      </c>
      <c r="G83" s="368"/>
      <c r="H83" s="195"/>
      <c r="I83" s="195"/>
      <c r="J83" s="195">
        <f>I83*F83</f>
        <v>0</v>
      </c>
      <c r="K83" s="195"/>
      <c r="L83" s="195"/>
      <c r="M83" s="195">
        <f aca="true" t="shared" si="2" ref="M83:M90">H83+J83+L83</f>
        <v>0</v>
      </c>
    </row>
    <row r="84" spans="1:13" s="568" customFormat="1" ht="18.75" customHeight="1">
      <c r="A84" s="559"/>
      <c r="B84" s="560"/>
      <c r="C84" s="10" t="s">
        <v>69</v>
      </c>
      <c r="D84" s="561" t="s">
        <v>6</v>
      </c>
      <c r="E84" s="562">
        <v>0.28</v>
      </c>
      <c r="F84" s="368">
        <f>F82*E84</f>
        <v>0.28</v>
      </c>
      <c r="G84" s="368"/>
      <c r="H84" s="195">
        <f>F84*G84</f>
        <v>0</v>
      </c>
      <c r="I84" s="368"/>
      <c r="J84" s="553"/>
      <c r="K84" s="368"/>
      <c r="L84" s="368"/>
      <c r="M84" s="195">
        <f t="shared" si="2"/>
        <v>0</v>
      </c>
    </row>
    <row r="85" spans="1:13" s="568" customFormat="1" ht="18.75" customHeight="1">
      <c r="A85" s="559"/>
      <c r="B85" s="560"/>
      <c r="C85" s="79" t="s">
        <v>319</v>
      </c>
      <c r="D85" s="561" t="s">
        <v>12</v>
      </c>
      <c r="E85" s="562">
        <v>1</v>
      </c>
      <c r="F85" s="368">
        <v>1</v>
      </c>
      <c r="G85" s="368"/>
      <c r="H85" s="195">
        <f>F85*G85</f>
        <v>0</v>
      </c>
      <c r="I85" s="368"/>
      <c r="J85" s="553"/>
      <c r="K85" s="368"/>
      <c r="L85" s="368"/>
      <c r="M85" s="195">
        <f t="shared" si="2"/>
        <v>0</v>
      </c>
    </row>
    <row r="86" spans="1:13" s="568" customFormat="1" ht="18.75" customHeight="1">
      <c r="A86" s="559"/>
      <c r="B86" s="560"/>
      <c r="C86" s="572" t="s">
        <v>237</v>
      </c>
      <c r="D86" s="561" t="s">
        <v>12</v>
      </c>
      <c r="E86" s="562">
        <v>1</v>
      </c>
      <c r="F86" s="368">
        <f>F82</f>
        <v>1</v>
      </c>
      <c r="G86" s="368"/>
      <c r="H86" s="195">
        <f>F86*G86</f>
        <v>0</v>
      </c>
      <c r="I86" s="368"/>
      <c r="J86" s="553"/>
      <c r="K86" s="368"/>
      <c r="L86" s="368"/>
      <c r="M86" s="195">
        <f t="shared" si="2"/>
        <v>0</v>
      </c>
    </row>
    <row r="87" spans="1:13" s="568" customFormat="1" ht="27" customHeight="1">
      <c r="A87" s="559">
        <f>A82+1</f>
        <v>7</v>
      </c>
      <c r="B87" s="560" t="s">
        <v>633</v>
      </c>
      <c r="C87" s="570" t="s">
        <v>238</v>
      </c>
      <c r="D87" s="561" t="s">
        <v>12</v>
      </c>
      <c r="E87" s="562"/>
      <c r="F87" s="417">
        <v>3</v>
      </c>
      <c r="G87" s="563"/>
      <c r="H87" s="195"/>
      <c r="I87" s="565"/>
      <c r="J87" s="566"/>
      <c r="K87" s="565"/>
      <c r="L87" s="368"/>
      <c r="M87" s="195">
        <f t="shared" si="2"/>
        <v>0</v>
      </c>
    </row>
    <row r="88" spans="1:13" s="568" customFormat="1" ht="16.5" customHeight="1">
      <c r="A88" s="559"/>
      <c r="B88" s="560"/>
      <c r="C88" s="571" t="s">
        <v>140</v>
      </c>
      <c r="D88" s="561" t="s">
        <v>139</v>
      </c>
      <c r="E88" s="562">
        <v>2</v>
      </c>
      <c r="F88" s="368">
        <f>F87*E88</f>
        <v>6</v>
      </c>
      <c r="G88" s="195"/>
      <c r="H88" s="195"/>
      <c r="I88" s="195"/>
      <c r="J88" s="195">
        <f>I88*F88</f>
        <v>0</v>
      </c>
      <c r="K88" s="195"/>
      <c r="L88" s="195"/>
      <c r="M88" s="195">
        <f t="shared" si="2"/>
        <v>0</v>
      </c>
    </row>
    <row r="89" spans="1:13" s="568" customFormat="1" ht="16.5" customHeight="1">
      <c r="A89" s="559"/>
      <c r="B89" s="560"/>
      <c r="C89" s="10" t="s">
        <v>69</v>
      </c>
      <c r="D89" s="561" t="s">
        <v>6</v>
      </c>
      <c r="E89" s="562">
        <v>0.14</v>
      </c>
      <c r="F89" s="368">
        <f>F87*E89</f>
        <v>0.42000000000000004</v>
      </c>
      <c r="G89" s="368"/>
      <c r="H89" s="195">
        <f>F89*G89</f>
        <v>0</v>
      </c>
      <c r="I89" s="368"/>
      <c r="J89" s="553"/>
      <c r="K89" s="368"/>
      <c r="L89" s="368"/>
      <c r="M89" s="195">
        <f t="shared" si="2"/>
        <v>0</v>
      </c>
    </row>
    <row r="90" spans="1:13" s="568" customFormat="1" ht="17.25" customHeight="1">
      <c r="A90" s="559"/>
      <c r="B90" s="561"/>
      <c r="C90" s="573" t="str">
        <f>C87</f>
        <v>samisamarTo saxanZro sagangaSo Rilaki</v>
      </c>
      <c r="D90" s="561" t="s">
        <v>12</v>
      </c>
      <c r="E90" s="562">
        <v>1</v>
      </c>
      <c r="F90" s="368">
        <f>F87*E90</f>
        <v>3</v>
      </c>
      <c r="G90" s="368"/>
      <c r="H90" s="195">
        <f>F90*G90</f>
        <v>0</v>
      </c>
      <c r="I90" s="368"/>
      <c r="J90" s="553"/>
      <c r="K90" s="368"/>
      <c r="L90" s="368"/>
      <c r="M90" s="195">
        <f t="shared" si="2"/>
        <v>0</v>
      </c>
    </row>
    <row r="91" spans="1:16" s="144" customFormat="1" ht="18" customHeight="1">
      <c r="A91" s="138"/>
      <c r="B91" s="205"/>
      <c r="C91" s="198" t="s">
        <v>69</v>
      </c>
      <c r="D91" s="139" t="s">
        <v>6</v>
      </c>
      <c r="E91" s="206">
        <v>0.14</v>
      </c>
      <c r="F91" s="143">
        <f>E91*F87</f>
        <v>0.42000000000000004</v>
      </c>
      <c r="G91" s="143"/>
      <c r="H91" s="143">
        <f>G91*F91</f>
        <v>0</v>
      </c>
      <c r="I91" s="195"/>
      <c r="J91" s="199"/>
      <c r="K91" s="195"/>
      <c r="L91" s="195"/>
      <c r="M91" s="143">
        <f aca="true" t="shared" si="3" ref="M91:M97">H91+J91+L91</f>
        <v>0</v>
      </c>
      <c r="N91" s="539"/>
      <c r="O91" s="540">
        <f>M91+K91+I91</f>
        <v>0</v>
      </c>
      <c r="P91" s="449"/>
    </row>
    <row r="92" spans="1:13" s="558" customFormat="1" ht="21" customHeight="1">
      <c r="A92" s="574">
        <f>A87+1</f>
        <v>8</v>
      </c>
      <c r="B92" s="575" t="s">
        <v>239</v>
      </c>
      <c r="C92" s="576" t="s">
        <v>240</v>
      </c>
      <c r="D92" s="557" t="s">
        <v>12</v>
      </c>
      <c r="E92" s="702"/>
      <c r="F92" s="417">
        <v>5</v>
      </c>
      <c r="G92" s="563"/>
      <c r="H92" s="566"/>
      <c r="I92" s="565"/>
      <c r="J92" s="566"/>
      <c r="K92" s="565"/>
      <c r="L92" s="368"/>
      <c r="M92" s="195">
        <f t="shared" si="3"/>
        <v>0</v>
      </c>
    </row>
    <row r="93" spans="1:13" s="558" customFormat="1" ht="16.5" customHeight="1">
      <c r="A93" s="574"/>
      <c r="B93" s="577"/>
      <c r="C93" s="550" t="s">
        <v>140</v>
      </c>
      <c r="D93" s="557" t="s">
        <v>139</v>
      </c>
      <c r="E93" s="702">
        <v>3</v>
      </c>
      <c r="F93" s="376">
        <f>F92*E93</f>
        <v>15</v>
      </c>
      <c r="G93" s="195"/>
      <c r="H93" s="195"/>
      <c r="I93" s="195"/>
      <c r="J93" s="195">
        <f>I93*F93</f>
        <v>0</v>
      </c>
      <c r="K93" s="195"/>
      <c r="L93" s="195"/>
      <c r="M93" s="195">
        <f t="shared" si="3"/>
        <v>0</v>
      </c>
    </row>
    <row r="94" spans="1:13" s="558" customFormat="1" ht="16.5" customHeight="1">
      <c r="A94" s="574"/>
      <c r="B94" s="577"/>
      <c r="C94" s="10" t="s">
        <v>69</v>
      </c>
      <c r="D94" s="557" t="s">
        <v>6</v>
      </c>
      <c r="E94" s="702">
        <v>0.14</v>
      </c>
      <c r="F94" s="376">
        <f>F92*E94</f>
        <v>0.7000000000000001</v>
      </c>
      <c r="G94" s="376"/>
      <c r="H94" s="195">
        <f>F94*G94</f>
        <v>0</v>
      </c>
      <c r="I94" s="376"/>
      <c r="J94" s="578"/>
      <c r="K94" s="376"/>
      <c r="L94" s="376"/>
      <c r="M94" s="195">
        <f t="shared" si="3"/>
        <v>0</v>
      </c>
    </row>
    <row r="95" spans="1:13" s="558" customFormat="1" ht="33" customHeight="1">
      <c r="A95" s="574"/>
      <c r="B95" s="575"/>
      <c r="C95" s="526" t="s">
        <v>356</v>
      </c>
      <c r="D95" s="557" t="s">
        <v>12</v>
      </c>
      <c r="E95" s="702">
        <v>1</v>
      </c>
      <c r="F95" s="376">
        <f>E95*F92</f>
        <v>5</v>
      </c>
      <c r="G95" s="376"/>
      <c r="H95" s="195">
        <f>F95*G95</f>
        <v>0</v>
      </c>
      <c r="I95" s="376"/>
      <c r="J95" s="578"/>
      <c r="K95" s="376"/>
      <c r="L95" s="376"/>
      <c r="M95" s="195">
        <f t="shared" si="3"/>
        <v>0</v>
      </c>
    </row>
    <row r="96" spans="1:13" s="558" customFormat="1" ht="16.5" customHeight="1">
      <c r="A96" s="574"/>
      <c r="B96" s="575"/>
      <c r="C96" s="526" t="s">
        <v>357</v>
      </c>
      <c r="D96" s="557" t="s">
        <v>12</v>
      </c>
      <c r="E96" s="702">
        <v>1</v>
      </c>
      <c r="F96" s="376">
        <f>E96*F95</f>
        <v>5</v>
      </c>
      <c r="G96" s="376"/>
      <c r="H96" s="195">
        <f>F96*G96</f>
        <v>0</v>
      </c>
      <c r="I96" s="376"/>
      <c r="J96" s="578"/>
      <c r="K96" s="376"/>
      <c r="L96" s="376"/>
      <c r="M96" s="195">
        <f t="shared" si="3"/>
        <v>0</v>
      </c>
    </row>
    <row r="97" spans="1:16" s="144" customFormat="1" ht="18" customHeight="1">
      <c r="A97" s="138"/>
      <c r="B97" s="205"/>
      <c r="C97" s="198" t="s">
        <v>69</v>
      </c>
      <c r="D97" s="139" t="s">
        <v>6</v>
      </c>
      <c r="E97" s="206">
        <v>0.14</v>
      </c>
      <c r="F97" s="143">
        <f>E97*F92</f>
        <v>0.7000000000000001</v>
      </c>
      <c r="G97" s="143"/>
      <c r="H97" s="143">
        <f>G97*F97</f>
        <v>0</v>
      </c>
      <c r="I97" s="195"/>
      <c r="J97" s="199"/>
      <c r="K97" s="195"/>
      <c r="L97" s="195"/>
      <c r="M97" s="143">
        <f t="shared" si="3"/>
        <v>0</v>
      </c>
      <c r="N97" s="539"/>
      <c r="O97" s="540">
        <f>M97+K97+I97</f>
        <v>0</v>
      </c>
      <c r="P97" s="449"/>
    </row>
    <row r="98" spans="1:13" s="548" customFormat="1" ht="36" customHeight="1">
      <c r="A98" s="541">
        <f>A92+1</f>
        <v>9</v>
      </c>
      <c r="B98" s="541" t="s">
        <v>46</v>
      </c>
      <c r="C98" s="579" t="s">
        <v>246</v>
      </c>
      <c r="D98" s="542" t="s">
        <v>12</v>
      </c>
      <c r="E98" s="700"/>
      <c r="F98" s="445">
        <v>1</v>
      </c>
      <c r="G98" s="543"/>
      <c r="H98" s="544"/>
      <c r="I98" s="544"/>
      <c r="J98" s="545"/>
      <c r="K98" s="544"/>
      <c r="L98" s="546"/>
      <c r="M98" s="547"/>
    </row>
    <row r="99" spans="1:13" s="552" customFormat="1" ht="16.5" customHeight="1">
      <c r="A99" s="549"/>
      <c r="B99" s="549"/>
      <c r="C99" s="550" t="s">
        <v>140</v>
      </c>
      <c r="D99" s="551" t="str">
        <f>D98</f>
        <v>cali</v>
      </c>
      <c r="E99" s="701">
        <v>1</v>
      </c>
      <c r="F99" s="377">
        <f>F98*E99</f>
        <v>1</v>
      </c>
      <c r="G99" s="195"/>
      <c r="H99" s="195"/>
      <c r="I99" s="195"/>
      <c r="J99" s="195">
        <f>I99*F99</f>
        <v>0</v>
      </c>
      <c r="K99" s="195"/>
      <c r="L99" s="195"/>
      <c r="M99" s="195">
        <f>H99+J99+L99</f>
        <v>0</v>
      </c>
    </row>
    <row r="100" spans="1:13" s="558" customFormat="1" ht="37.5" customHeight="1">
      <c r="A100" s="555"/>
      <c r="B100" s="556"/>
      <c r="C100" s="580" t="s">
        <v>243</v>
      </c>
      <c r="D100" s="557" t="s">
        <v>12</v>
      </c>
      <c r="E100" s="702">
        <v>1</v>
      </c>
      <c r="F100" s="376">
        <f>F98*E100</f>
        <v>1</v>
      </c>
      <c r="G100" s="195"/>
      <c r="H100" s="195">
        <f>G100*F100</f>
        <v>0</v>
      </c>
      <c r="I100" s="195"/>
      <c r="J100" s="195"/>
      <c r="K100" s="195"/>
      <c r="L100" s="195"/>
      <c r="M100" s="195">
        <f>H100+J100+L100</f>
        <v>0</v>
      </c>
    </row>
    <row r="101" spans="1:13" s="552" customFormat="1" ht="21" customHeight="1">
      <c r="A101" s="549">
        <f>A98+1</f>
        <v>10</v>
      </c>
      <c r="B101" s="549" t="s">
        <v>244</v>
      </c>
      <c r="C101" s="581" t="s">
        <v>245</v>
      </c>
      <c r="D101" s="551" t="s">
        <v>12</v>
      </c>
      <c r="E101" s="701"/>
      <c r="F101" s="446">
        <v>2</v>
      </c>
      <c r="G101" s="543"/>
      <c r="H101" s="544"/>
      <c r="I101" s="544"/>
      <c r="J101" s="545"/>
      <c r="K101" s="544"/>
      <c r="L101" s="546"/>
      <c r="M101" s="547"/>
    </row>
    <row r="102" spans="1:13" s="552" customFormat="1" ht="16.5" customHeight="1">
      <c r="A102" s="549"/>
      <c r="B102" s="549"/>
      <c r="C102" s="550" t="s">
        <v>140</v>
      </c>
      <c r="D102" s="551" t="s">
        <v>139</v>
      </c>
      <c r="E102" s="701">
        <v>2</v>
      </c>
      <c r="F102" s="377">
        <f>F101*E102</f>
        <v>4</v>
      </c>
      <c r="G102" s="195"/>
      <c r="H102" s="195"/>
      <c r="I102" s="195"/>
      <c r="J102" s="195">
        <f>I102*F102</f>
        <v>0</v>
      </c>
      <c r="K102" s="195"/>
      <c r="L102" s="195"/>
      <c r="M102" s="195">
        <f>H102+J102+L102</f>
        <v>0</v>
      </c>
    </row>
    <row r="103" spans="1:13" s="554" customFormat="1" ht="16.5" customHeight="1">
      <c r="A103" s="549"/>
      <c r="B103" s="549"/>
      <c r="C103" s="550" t="s">
        <v>241</v>
      </c>
      <c r="D103" s="551" t="s">
        <v>6</v>
      </c>
      <c r="E103" s="701">
        <v>0.91</v>
      </c>
      <c r="F103" s="377">
        <f>F101*E103</f>
        <v>1.82</v>
      </c>
      <c r="G103" s="368"/>
      <c r="H103" s="195">
        <f>F103*G103</f>
        <v>0</v>
      </c>
      <c r="I103" s="368"/>
      <c r="J103" s="553"/>
      <c r="K103" s="368"/>
      <c r="L103" s="368"/>
      <c r="M103" s="195">
        <f>H103+J103+L103</f>
        <v>0</v>
      </c>
    </row>
    <row r="104" spans="1:13" s="558" customFormat="1" ht="16.5" customHeight="1">
      <c r="A104" s="555"/>
      <c r="B104" s="556"/>
      <c r="C104" s="582" t="s">
        <v>245</v>
      </c>
      <c r="D104" s="557" t="s">
        <v>12</v>
      </c>
      <c r="E104" s="702">
        <v>1</v>
      </c>
      <c r="F104" s="376">
        <f>F101*E104</f>
        <v>2</v>
      </c>
      <c r="G104" s="195"/>
      <c r="H104" s="195">
        <f>G104*F104</f>
        <v>0</v>
      </c>
      <c r="I104" s="195"/>
      <c r="J104" s="195"/>
      <c r="K104" s="195"/>
      <c r="L104" s="195">
        <f>K104*F104</f>
        <v>0</v>
      </c>
      <c r="M104" s="195">
        <f>H104+J104+L104</f>
        <v>0</v>
      </c>
    </row>
    <row r="105" spans="1:16" s="120" customFormat="1" ht="17.25" customHeight="1">
      <c r="A105" s="39"/>
      <c r="B105" s="39"/>
      <c r="C105" s="398" t="s">
        <v>89</v>
      </c>
      <c r="D105" s="20"/>
      <c r="E105" s="20"/>
      <c r="F105" s="130"/>
      <c r="G105" s="187"/>
      <c r="H105" s="358">
        <f>SUM(H55:H104)</f>
        <v>0</v>
      </c>
      <c r="I105" s="358"/>
      <c r="J105" s="358">
        <f>SUM(J55:J104)</f>
        <v>0</v>
      </c>
      <c r="K105" s="358"/>
      <c r="L105" s="358">
        <f>SUM(L55:L104)</f>
        <v>0</v>
      </c>
      <c r="M105" s="358">
        <f>SUM(M55:M104)</f>
        <v>0</v>
      </c>
      <c r="N105" s="256"/>
      <c r="O105" s="116"/>
      <c r="P105" s="119"/>
    </row>
    <row r="106" spans="1:16" s="22" customFormat="1" ht="15" customHeight="1" thickBot="1">
      <c r="A106" s="17"/>
      <c r="B106" s="17"/>
      <c r="C106" s="19"/>
      <c r="D106" s="19"/>
      <c r="E106" s="19"/>
      <c r="F106" s="194"/>
      <c r="G106" s="188"/>
      <c r="H106" s="189"/>
      <c r="I106" s="189"/>
      <c r="J106" s="190"/>
      <c r="K106" s="189"/>
      <c r="L106" s="190"/>
      <c r="M106" s="191"/>
      <c r="O106" s="17"/>
      <c r="P106" s="17"/>
    </row>
    <row r="107" spans="1:16" s="62" customFormat="1" ht="18" customHeight="1">
      <c r="A107" s="516"/>
      <c r="B107" s="517"/>
      <c r="C107" s="157" t="s">
        <v>233</v>
      </c>
      <c r="D107" s="61"/>
      <c r="E107" s="61"/>
      <c r="F107" s="61"/>
      <c r="G107" s="61"/>
      <c r="H107" s="416">
        <f>H53+H105</f>
        <v>0</v>
      </c>
      <c r="I107" s="583"/>
      <c r="J107" s="416">
        <f>J53+J105</f>
        <v>0</v>
      </c>
      <c r="K107" s="583"/>
      <c r="L107" s="416">
        <f>L53+L105</f>
        <v>0</v>
      </c>
      <c r="M107" s="416">
        <f>M53+M105</f>
        <v>0</v>
      </c>
      <c r="N107" s="530"/>
      <c r="O107" s="518"/>
      <c r="P107" s="519"/>
    </row>
    <row r="108" spans="1:16" s="62" customFormat="1" ht="33" customHeight="1">
      <c r="A108" s="97"/>
      <c r="B108" s="65"/>
      <c r="C108" s="16" t="s">
        <v>635</v>
      </c>
      <c r="D108" s="683"/>
      <c r="E108" s="16"/>
      <c r="F108" s="680"/>
      <c r="G108" s="34"/>
      <c r="H108" s="162">
        <f>H36+SUM(H40:H42)+SUM(H45:H46)+H52+H70+H100</f>
        <v>0</v>
      </c>
      <c r="I108" s="162"/>
      <c r="J108" s="8"/>
      <c r="K108" s="162"/>
      <c r="L108" s="162"/>
      <c r="M108" s="162">
        <f>SUM(H108:L108)</f>
        <v>0</v>
      </c>
      <c r="O108" s="15"/>
      <c r="P108" s="15"/>
    </row>
    <row r="109" spans="1:16" s="62" customFormat="1" ht="33" customHeight="1">
      <c r="A109" s="97"/>
      <c r="B109" s="65"/>
      <c r="C109" s="16" t="s">
        <v>221</v>
      </c>
      <c r="D109" s="683"/>
      <c r="E109" s="16"/>
      <c r="F109" s="680"/>
      <c r="G109" s="34"/>
      <c r="H109" s="162"/>
      <c r="I109" s="162"/>
      <c r="J109" s="162"/>
      <c r="K109" s="162"/>
      <c r="L109" s="162"/>
      <c r="M109" s="688">
        <f>J107*D109</f>
        <v>0</v>
      </c>
      <c r="O109" s="15"/>
      <c r="P109" s="15"/>
    </row>
    <row r="110" spans="1:16" s="218" customFormat="1" ht="17.25" customHeight="1">
      <c r="A110" s="689"/>
      <c r="B110" s="690"/>
      <c r="C110" s="78" t="s">
        <v>9</v>
      </c>
      <c r="D110" s="78"/>
      <c r="E110" s="78"/>
      <c r="F110" s="81"/>
      <c r="G110" s="81"/>
      <c r="H110" s="217"/>
      <c r="I110" s="217"/>
      <c r="J110" s="217"/>
      <c r="K110" s="217"/>
      <c r="L110" s="217"/>
      <c r="M110" s="693">
        <f>M107+M109</f>
        <v>0</v>
      </c>
      <c r="O110" s="219"/>
      <c r="P110" s="219"/>
    </row>
    <row r="111" spans="1:13" s="218" customFormat="1" ht="33" customHeight="1">
      <c r="A111" s="689"/>
      <c r="B111" s="690"/>
      <c r="C111" s="16" t="s">
        <v>222</v>
      </c>
      <c r="D111" s="691"/>
      <c r="E111" s="78"/>
      <c r="F111" s="692"/>
      <c r="G111" s="81"/>
      <c r="H111" s="217"/>
      <c r="I111" s="217"/>
      <c r="J111" s="217"/>
      <c r="K111" s="217"/>
      <c r="L111" s="217"/>
      <c r="M111" s="693">
        <f>(M110-M108)*D111</f>
        <v>0</v>
      </c>
    </row>
    <row r="112" spans="1:13" s="218" customFormat="1" ht="18" customHeight="1" thickBot="1">
      <c r="A112" s="694"/>
      <c r="B112" s="685"/>
      <c r="C112" s="584" t="s">
        <v>27</v>
      </c>
      <c r="D112" s="522"/>
      <c r="E112" s="522"/>
      <c r="F112" s="522"/>
      <c r="G112" s="521"/>
      <c r="H112" s="531"/>
      <c r="I112" s="531"/>
      <c r="J112" s="531"/>
      <c r="K112" s="531"/>
      <c r="L112" s="531"/>
      <c r="M112" s="524">
        <f>M110+M111</f>
        <v>0</v>
      </c>
    </row>
    <row r="113" spans="1:13" s="362" customFormat="1" ht="15.75">
      <c r="A113" s="359"/>
      <c r="B113" s="359"/>
      <c r="C113" s="360"/>
      <c r="D113" s="74"/>
      <c r="E113" s="12"/>
      <c r="F113" s="738"/>
      <c r="G113" s="738"/>
      <c r="H113" s="738"/>
      <c r="I113" s="319"/>
      <c r="J113" s="60"/>
      <c r="K113" s="319"/>
      <c r="L113" s="738"/>
      <c r="M113" s="103"/>
    </row>
    <row r="114" spans="1:14" s="362" customFormat="1" ht="13.5" customHeight="1">
      <c r="A114" s="359"/>
      <c r="B114" s="359"/>
      <c r="C114" s="360"/>
      <c r="D114" s="74"/>
      <c r="E114" s="12"/>
      <c r="F114" s="738"/>
      <c r="G114" s="738"/>
      <c r="H114" s="738"/>
      <c r="I114" s="319"/>
      <c r="J114" s="738"/>
      <c r="K114" s="319"/>
      <c r="L114" s="738"/>
      <c r="M114" s="27"/>
      <c r="N114" s="535"/>
    </row>
    <row r="115" spans="1:14" s="362" customFormat="1" ht="13.5" customHeight="1">
      <c r="A115" s="359"/>
      <c r="B115" s="359"/>
      <c r="C115" s="360"/>
      <c r="D115" s="74"/>
      <c r="E115" s="12"/>
      <c r="F115" s="738"/>
      <c r="G115" s="738"/>
      <c r="H115" s="738"/>
      <c r="I115" s="319"/>
      <c r="J115" s="738"/>
      <c r="K115" s="319"/>
      <c r="L115" s="738"/>
      <c r="M115" s="27"/>
      <c r="N115" s="535"/>
    </row>
    <row r="116" spans="1:14" s="362" customFormat="1" ht="13.5" customHeight="1">
      <c r="A116" s="359"/>
      <c r="B116" s="359"/>
      <c r="C116" s="360"/>
      <c r="D116" s="74"/>
      <c r="E116" s="12"/>
      <c r="F116" s="738"/>
      <c r="G116" s="738"/>
      <c r="H116" s="738"/>
      <c r="I116" s="319"/>
      <c r="J116" s="738"/>
      <c r="K116" s="319"/>
      <c r="L116" s="738"/>
      <c r="M116" s="27"/>
      <c r="N116" s="535"/>
    </row>
    <row r="117" spans="1:13" s="114" customFormat="1" ht="18" customHeight="1">
      <c r="A117" s="182"/>
      <c r="B117" s="182"/>
      <c r="C117" s="114" t="s">
        <v>184</v>
      </c>
      <c r="D117" s="117"/>
      <c r="E117" s="370"/>
      <c r="F117" s="305"/>
      <c r="G117" s="787"/>
      <c r="H117" s="787"/>
      <c r="I117" s="787"/>
      <c r="J117" s="305"/>
      <c r="K117" s="305"/>
      <c r="L117" s="305"/>
      <c r="M117" s="496"/>
    </row>
    <row r="118" spans="1:12" ht="15.75">
      <c r="A118" s="259"/>
      <c r="B118" s="259"/>
      <c r="C118" s="260"/>
      <c r="D118" s="260"/>
      <c r="E118" s="17"/>
      <c r="F118" s="123"/>
      <c r="G118" s="412"/>
      <c r="H118" s="412"/>
      <c r="I118" s="413"/>
      <c r="J118" s="412"/>
      <c r="K118" s="413"/>
      <c r="L118" s="412"/>
    </row>
    <row r="119" spans="1:12" ht="15.75">
      <c r="A119" s="259"/>
      <c r="B119" s="259"/>
      <c r="C119" s="260"/>
      <c r="D119" s="260"/>
      <c r="E119" s="17"/>
      <c r="F119" s="123"/>
      <c r="G119" s="412"/>
      <c r="H119" s="412"/>
      <c r="I119" s="413"/>
      <c r="J119" s="412"/>
      <c r="K119" s="413"/>
      <c r="L119" s="412"/>
    </row>
    <row r="120" spans="1:12" ht="15.75">
      <c r="A120" s="259"/>
      <c r="B120" s="259"/>
      <c r="D120" s="260"/>
      <c r="E120" s="17"/>
      <c r="F120" s="123"/>
      <c r="G120" s="412"/>
      <c r="H120" s="412"/>
      <c r="I120" s="413"/>
      <c r="J120" s="412"/>
      <c r="K120" s="413"/>
      <c r="L120" s="412"/>
    </row>
    <row r="121" spans="1:16" s="261" customFormat="1" ht="15.75">
      <c r="A121" s="259"/>
      <c r="B121" s="259"/>
      <c r="D121" s="260"/>
      <c r="E121" s="17"/>
      <c r="F121" s="123"/>
      <c r="G121" s="412"/>
      <c r="H121" s="412"/>
      <c r="I121" s="413"/>
      <c r="J121" s="412"/>
      <c r="K121" s="413"/>
      <c r="L121" s="412"/>
      <c r="M121" s="22"/>
      <c r="N121" s="262"/>
      <c r="O121" s="262"/>
      <c r="P121" s="262"/>
    </row>
    <row r="122" spans="1:16" s="261" customFormat="1" ht="15.75">
      <c r="A122" s="259"/>
      <c r="B122" s="259"/>
      <c r="C122" s="260"/>
      <c r="D122" s="260"/>
      <c r="E122" s="17"/>
      <c r="F122" s="123"/>
      <c r="G122" s="412"/>
      <c r="H122" s="412"/>
      <c r="I122" s="413"/>
      <c r="J122" s="412"/>
      <c r="K122" s="413"/>
      <c r="L122" s="412"/>
      <c r="M122" s="22"/>
      <c r="N122" s="262"/>
      <c r="O122" s="262"/>
      <c r="P122" s="262"/>
    </row>
    <row r="123" spans="1:16" s="261" customFormat="1" ht="15.75">
      <c r="A123" s="259"/>
      <c r="B123" s="259"/>
      <c r="C123" s="260"/>
      <c r="D123" s="260"/>
      <c r="E123" s="17"/>
      <c r="F123" s="123"/>
      <c r="G123" s="412"/>
      <c r="H123" s="412"/>
      <c r="I123" s="413"/>
      <c r="J123" s="412"/>
      <c r="K123" s="413"/>
      <c r="L123" s="412"/>
      <c r="M123" s="22"/>
      <c r="N123" s="262"/>
      <c r="O123" s="262"/>
      <c r="P123" s="262"/>
    </row>
    <row r="124" spans="1:16" s="261" customFormat="1" ht="15.75">
      <c r="A124" s="259"/>
      <c r="B124" s="259"/>
      <c r="C124" s="260"/>
      <c r="D124" s="260"/>
      <c r="E124" s="17"/>
      <c r="F124" s="123"/>
      <c r="G124" s="412"/>
      <c r="H124" s="412"/>
      <c r="I124" s="413"/>
      <c r="J124" s="412"/>
      <c r="K124" s="413"/>
      <c r="L124" s="412"/>
      <c r="M124" s="22"/>
      <c r="N124" s="262"/>
      <c r="O124" s="262"/>
      <c r="P124" s="262"/>
    </row>
    <row r="125" spans="1:16" s="261" customFormat="1" ht="15.75">
      <c r="A125" s="259"/>
      <c r="B125" s="259"/>
      <c r="C125" s="260"/>
      <c r="D125" s="260"/>
      <c r="E125" s="17"/>
      <c r="F125" s="123"/>
      <c r="G125" s="412"/>
      <c r="H125" s="412"/>
      <c r="I125" s="413"/>
      <c r="J125" s="412"/>
      <c r="K125" s="413"/>
      <c r="L125" s="412"/>
      <c r="M125" s="22"/>
      <c r="N125" s="262"/>
      <c r="O125" s="262"/>
      <c r="P125" s="262"/>
    </row>
    <row r="126" spans="1:16" s="261" customFormat="1" ht="15.75">
      <c r="A126" s="259"/>
      <c r="B126" s="259"/>
      <c r="C126" s="260"/>
      <c r="D126" s="260"/>
      <c r="E126" s="17"/>
      <c r="F126" s="123"/>
      <c r="G126" s="412"/>
      <c r="H126" s="412"/>
      <c r="I126" s="413"/>
      <c r="J126" s="412"/>
      <c r="K126" s="413"/>
      <c r="L126" s="412"/>
      <c r="M126" s="22"/>
      <c r="N126" s="262"/>
      <c r="O126" s="262"/>
      <c r="P126" s="262"/>
    </row>
    <row r="127" spans="1:16" s="261" customFormat="1" ht="15.75">
      <c r="A127" s="259"/>
      <c r="B127" s="259"/>
      <c r="C127" s="260"/>
      <c r="D127" s="260"/>
      <c r="E127" s="17"/>
      <c r="F127" s="123"/>
      <c r="G127" s="412"/>
      <c r="H127" s="412"/>
      <c r="I127" s="413"/>
      <c r="J127" s="412"/>
      <c r="K127" s="413"/>
      <c r="L127" s="412"/>
      <c r="M127" s="22"/>
      <c r="N127" s="262"/>
      <c r="O127" s="262"/>
      <c r="P127" s="262"/>
    </row>
    <row r="128" spans="1:16" s="261" customFormat="1" ht="15.75">
      <c r="A128" s="259"/>
      <c r="B128" s="259"/>
      <c r="C128" s="260"/>
      <c r="D128" s="260"/>
      <c r="E128" s="17"/>
      <c r="F128" s="123"/>
      <c r="G128" s="412"/>
      <c r="H128" s="412"/>
      <c r="I128" s="413"/>
      <c r="J128" s="412"/>
      <c r="K128" s="413"/>
      <c r="L128" s="412"/>
      <c r="M128" s="22"/>
      <c r="N128" s="262"/>
      <c r="O128" s="262"/>
      <c r="P128" s="262"/>
    </row>
    <row r="129" spans="1:16" s="261" customFormat="1" ht="15.75">
      <c r="A129" s="259"/>
      <c r="B129" s="259"/>
      <c r="C129" s="260"/>
      <c r="D129" s="260"/>
      <c r="E129" s="17"/>
      <c r="F129" s="123"/>
      <c r="G129" s="412"/>
      <c r="H129" s="412"/>
      <c r="I129" s="413"/>
      <c r="J129" s="412"/>
      <c r="K129" s="413"/>
      <c r="L129" s="412"/>
      <c r="M129" s="22"/>
      <c r="N129" s="262"/>
      <c r="O129" s="262"/>
      <c r="P129" s="262"/>
    </row>
    <row r="130" spans="1:16" s="261" customFormat="1" ht="15.75">
      <c r="A130" s="259"/>
      <c r="B130" s="259"/>
      <c r="C130" s="260"/>
      <c r="D130" s="260"/>
      <c r="E130" s="17"/>
      <c r="F130" s="123"/>
      <c r="G130" s="412"/>
      <c r="H130" s="412"/>
      <c r="I130" s="413"/>
      <c r="J130" s="412"/>
      <c r="K130" s="413"/>
      <c r="L130" s="412"/>
      <c r="M130" s="22"/>
      <c r="N130" s="262"/>
      <c r="O130" s="262"/>
      <c r="P130" s="262"/>
    </row>
    <row r="131" spans="1:16" s="261" customFormat="1" ht="15.75">
      <c r="A131" s="259"/>
      <c r="B131" s="259"/>
      <c r="C131" s="260"/>
      <c r="D131" s="260"/>
      <c r="E131" s="17"/>
      <c r="F131" s="123"/>
      <c r="G131" s="412"/>
      <c r="H131" s="412"/>
      <c r="I131" s="413"/>
      <c r="J131" s="412"/>
      <c r="K131" s="413"/>
      <c r="L131" s="412"/>
      <c r="M131" s="22"/>
      <c r="N131" s="262"/>
      <c r="O131" s="262"/>
      <c r="P131" s="262"/>
    </row>
    <row r="132" spans="1:16" s="261" customFormat="1" ht="15.75">
      <c r="A132" s="259"/>
      <c r="B132" s="259"/>
      <c r="C132" s="260"/>
      <c r="D132" s="260"/>
      <c r="E132" s="17"/>
      <c r="F132" s="123"/>
      <c r="G132" s="412"/>
      <c r="H132" s="412"/>
      <c r="I132" s="413"/>
      <c r="J132" s="412"/>
      <c r="K132" s="413"/>
      <c r="L132" s="412"/>
      <c r="M132" s="22"/>
      <c r="N132" s="262"/>
      <c r="O132" s="262"/>
      <c r="P132" s="262"/>
    </row>
    <row r="133" spans="1:16" s="261" customFormat="1" ht="15.75">
      <c r="A133" s="259"/>
      <c r="B133" s="259"/>
      <c r="C133" s="260"/>
      <c r="D133" s="260"/>
      <c r="E133" s="17"/>
      <c r="F133" s="123"/>
      <c r="G133" s="412"/>
      <c r="H133" s="412"/>
      <c r="I133" s="413"/>
      <c r="J133" s="412"/>
      <c r="K133" s="413"/>
      <c r="L133" s="412"/>
      <c r="M133" s="22"/>
      <c r="N133" s="262"/>
      <c r="O133" s="262"/>
      <c r="P133" s="262"/>
    </row>
    <row r="134" spans="1:16" s="261" customFormat="1" ht="15.75">
      <c r="A134" s="259"/>
      <c r="B134" s="259"/>
      <c r="C134" s="260"/>
      <c r="D134" s="260"/>
      <c r="E134" s="17"/>
      <c r="F134" s="123"/>
      <c r="G134" s="412"/>
      <c r="H134" s="412"/>
      <c r="I134" s="413"/>
      <c r="J134" s="412"/>
      <c r="K134" s="413"/>
      <c r="L134" s="412"/>
      <c r="M134" s="22"/>
      <c r="N134" s="262"/>
      <c r="O134" s="262"/>
      <c r="P134" s="262"/>
    </row>
    <row r="135" spans="1:16" s="261" customFormat="1" ht="15.75">
      <c r="A135" s="259"/>
      <c r="B135" s="259"/>
      <c r="C135" s="260"/>
      <c r="D135" s="260"/>
      <c r="E135" s="17"/>
      <c r="F135" s="123"/>
      <c r="G135" s="412"/>
      <c r="H135" s="412"/>
      <c r="I135" s="413"/>
      <c r="J135" s="412"/>
      <c r="K135" s="413"/>
      <c r="L135" s="412"/>
      <c r="M135" s="22"/>
      <c r="N135" s="262"/>
      <c r="O135" s="262"/>
      <c r="P135" s="262"/>
    </row>
    <row r="136" spans="1:16" s="261" customFormat="1" ht="15.75">
      <c r="A136" s="259"/>
      <c r="B136" s="259"/>
      <c r="C136" s="260"/>
      <c r="D136" s="260"/>
      <c r="E136" s="17"/>
      <c r="F136" s="123"/>
      <c r="G136" s="412"/>
      <c r="H136" s="412"/>
      <c r="I136" s="413"/>
      <c r="J136" s="412"/>
      <c r="K136" s="413"/>
      <c r="L136" s="412"/>
      <c r="M136" s="22"/>
      <c r="N136" s="262"/>
      <c r="O136" s="262"/>
      <c r="P136" s="262"/>
    </row>
    <row r="137" spans="1:16" s="261" customFormat="1" ht="15.75">
      <c r="A137" s="259"/>
      <c r="B137" s="259"/>
      <c r="C137" s="260"/>
      <c r="D137" s="260"/>
      <c r="E137" s="17"/>
      <c r="F137" s="123"/>
      <c r="G137" s="412"/>
      <c r="H137" s="412"/>
      <c r="I137" s="413"/>
      <c r="J137" s="412"/>
      <c r="K137" s="413"/>
      <c r="L137" s="412"/>
      <c r="M137" s="22"/>
      <c r="N137" s="262"/>
      <c r="O137" s="262"/>
      <c r="P137" s="262"/>
    </row>
    <row r="138" spans="1:16" s="261" customFormat="1" ht="15.75">
      <c r="A138" s="259"/>
      <c r="B138" s="259"/>
      <c r="C138" s="260"/>
      <c r="D138" s="260"/>
      <c r="E138" s="17"/>
      <c r="F138" s="123"/>
      <c r="G138" s="412"/>
      <c r="H138" s="412"/>
      <c r="I138" s="413"/>
      <c r="J138" s="412"/>
      <c r="K138" s="413"/>
      <c r="L138" s="412"/>
      <c r="M138" s="22"/>
      <c r="N138" s="262"/>
      <c r="O138" s="262"/>
      <c r="P138" s="262"/>
    </row>
    <row r="139" spans="1:16" s="261" customFormat="1" ht="15.75">
      <c r="A139" s="259"/>
      <c r="B139" s="259"/>
      <c r="C139" s="260"/>
      <c r="D139" s="260"/>
      <c r="E139" s="17"/>
      <c r="F139" s="123"/>
      <c r="G139" s="412"/>
      <c r="H139" s="412"/>
      <c r="I139" s="413"/>
      <c r="J139" s="412"/>
      <c r="K139" s="413"/>
      <c r="L139" s="412"/>
      <c r="M139" s="22"/>
      <c r="N139" s="262"/>
      <c r="O139" s="262"/>
      <c r="P139" s="262"/>
    </row>
    <row r="140" spans="1:16" s="261" customFormat="1" ht="15.75">
      <c r="A140" s="259"/>
      <c r="B140" s="259"/>
      <c r="C140" s="260"/>
      <c r="D140" s="260"/>
      <c r="E140" s="17"/>
      <c r="F140" s="123"/>
      <c r="G140" s="412"/>
      <c r="H140" s="412"/>
      <c r="I140" s="413"/>
      <c r="J140" s="412"/>
      <c r="K140" s="413"/>
      <c r="L140" s="412"/>
      <c r="M140" s="22"/>
      <c r="N140" s="262"/>
      <c r="O140" s="262"/>
      <c r="P140" s="262"/>
    </row>
    <row r="141" spans="1:16" s="261" customFormat="1" ht="15.75">
      <c r="A141" s="259"/>
      <c r="B141" s="259"/>
      <c r="C141" s="260"/>
      <c r="D141" s="260"/>
      <c r="E141" s="17"/>
      <c r="F141" s="123"/>
      <c r="G141" s="412"/>
      <c r="H141" s="412"/>
      <c r="I141" s="413"/>
      <c r="J141" s="412"/>
      <c r="K141" s="413"/>
      <c r="L141" s="412"/>
      <c r="M141" s="22"/>
      <c r="N141" s="262"/>
      <c r="O141" s="262"/>
      <c r="P141" s="262"/>
    </row>
    <row r="142" spans="1:16" s="261" customFormat="1" ht="15.75">
      <c r="A142" s="259"/>
      <c r="B142" s="259"/>
      <c r="C142" s="260"/>
      <c r="D142" s="260"/>
      <c r="E142" s="17"/>
      <c r="F142" s="123"/>
      <c r="G142" s="412"/>
      <c r="H142" s="412"/>
      <c r="I142" s="413"/>
      <c r="J142" s="412"/>
      <c r="K142" s="413"/>
      <c r="L142" s="412"/>
      <c r="M142" s="22"/>
      <c r="N142" s="262"/>
      <c r="O142" s="262"/>
      <c r="P142" s="262"/>
    </row>
    <row r="143" spans="1:16" s="261" customFormat="1" ht="15.75">
      <c r="A143" s="259"/>
      <c r="B143" s="259"/>
      <c r="C143" s="260"/>
      <c r="D143" s="260"/>
      <c r="E143" s="17"/>
      <c r="F143" s="123"/>
      <c r="G143" s="412"/>
      <c r="H143" s="412"/>
      <c r="I143" s="413"/>
      <c r="J143" s="412"/>
      <c r="K143" s="413"/>
      <c r="L143" s="412"/>
      <c r="M143" s="22"/>
      <c r="N143" s="262"/>
      <c r="O143" s="262"/>
      <c r="P143" s="262"/>
    </row>
    <row r="144" spans="1:16" s="261" customFormat="1" ht="15.75">
      <c r="A144" s="259"/>
      <c r="B144" s="259"/>
      <c r="C144" s="260"/>
      <c r="D144" s="260"/>
      <c r="E144" s="17"/>
      <c r="F144" s="123"/>
      <c r="G144" s="412"/>
      <c r="H144" s="412"/>
      <c r="I144" s="413"/>
      <c r="J144" s="412"/>
      <c r="K144" s="413"/>
      <c r="L144" s="412"/>
      <c r="M144" s="22"/>
      <c r="N144" s="262"/>
      <c r="O144" s="262"/>
      <c r="P144" s="262"/>
    </row>
    <row r="145" spans="1:16" s="261" customFormat="1" ht="15.75">
      <c r="A145" s="259"/>
      <c r="B145" s="259"/>
      <c r="C145" s="260"/>
      <c r="D145" s="260"/>
      <c r="E145" s="17"/>
      <c r="F145" s="123"/>
      <c r="G145" s="412"/>
      <c r="H145" s="412"/>
      <c r="I145" s="413"/>
      <c r="J145" s="412"/>
      <c r="K145" s="413"/>
      <c r="L145" s="412"/>
      <c r="M145" s="22"/>
      <c r="N145" s="262"/>
      <c r="O145" s="262"/>
      <c r="P145" s="262"/>
    </row>
    <row r="146" spans="1:16" s="261" customFormat="1" ht="15.75">
      <c r="A146" s="259"/>
      <c r="B146" s="259"/>
      <c r="C146" s="260"/>
      <c r="D146" s="260"/>
      <c r="E146" s="17"/>
      <c r="F146" s="123"/>
      <c r="G146" s="412"/>
      <c r="H146" s="412"/>
      <c r="I146" s="413"/>
      <c r="J146" s="412"/>
      <c r="K146" s="413"/>
      <c r="L146" s="412"/>
      <c r="M146" s="22"/>
      <c r="N146" s="262"/>
      <c r="O146" s="262"/>
      <c r="P146" s="262"/>
    </row>
    <row r="147" spans="1:16" s="261" customFormat="1" ht="15.75">
      <c r="A147" s="259"/>
      <c r="B147" s="259"/>
      <c r="C147" s="260"/>
      <c r="D147" s="260"/>
      <c r="E147" s="17"/>
      <c r="F147" s="123"/>
      <c r="G147" s="412"/>
      <c r="H147" s="412"/>
      <c r="I147" s="413"/>
      <c r="J147" s="412"/>
      <c r="K147" s="413"/>
      <c r="L147" s="412"/>
      <c r="M147" s="22"/>
      <c r="N147" s="262"/>
      <c r="O147" s="262"/>
      <c r="P147" s="262"/>
    </row>
    <row r="148" spans="1:16" s="261" customFormat="1" ht="15.75">
      <c r="A148" s="259"/>
      <c r="B148" s="259"/>
      <c r="C148" s="260"/>
      <c r="D148" s="260"/>
      <c r="E148" s="17"/>
      <c r="F148" s="123"/>
      <c r="G148" s="412"/>
      <c r="H148" s="412"/>
      <c r="I148" s="413"/>
      <c r="J148" s="412"/>
      <c r="K148" s="413"/>
      <c r="L148" s="412"/>
      <c r="M148" s="22"/>
      <c r="N148" s="262"/>
      <c r="O148" s="262"/>
      <c r="P148" s="262"/>
    </row>
    <row r="149" spans="1:16" s="261" customFormat="1" ht="15.75">
      <c r="A149" s="259"/>
      <c r="B149" s="259"/>
      <c r="C149" s="260"/>
      <c r="D149" s="260"/>
      <c r="E149" s="17"/>
      <c r="F149" s="123"/>
      <c r="G149" s="412"/>
      <c r="H149" s="412"/>
      <c r="I149" s="413"/>
      <c r="J149" s="412"/>
      <c r="K149" s="413"/>
      <c r="L149" s="412"/>
      <c r="M149" s="22"/>
      <c r="N149" s="262"/>
      <c r="O149" s="262"/>
      <c r="P149" s="262"/>
    </row>
    <row r="150" spans="1:16" s="261" customFormat="1" ht="15.75">
      <c r="A150" s="259"/>
      <c r="B150" s="259"/>
      <c r="C150" s="260"/>
      <c r="D150" s="260"/>
      <c r="E150" s="17"/>
      <c r="F150" s="123"/>
      <c r="G150" s="412"/>
      <c r="H150" s="412"/>
      <c r="I150" s="413"/>
      <c r="J150" s="412"/>
      <c r="K150" s="413"/>
      <c r="L150" s="412"/>
      <c r="M150" s="22"/>
      <c r="N150" s="262"/>
      <c r="O150" s="262"/>
      <c r="P150" s="262"/>
    </row>
    <row r="151" spans="1:16" s="261" customFormat="1" ht="15.75">
      <c r="A151" s="259"/>
      <c r="B151" s="259"/>
      <c r="C151" s="260"/>
      <c r="D151" s="260"/>
      <c r="E151" s="17"/>
      <c r="F151" s="123"/>
      <c r="G151" s="412"/>
      <c r="H151" s="412"/>
      <c r="I151" s="413"/>
      <c r="J151" s="412"/>
      <c r="K151" s="413"/>
      <c r="L151" s="412"/>
      <c r="M151" s="22"/>
      <c r="N151" s="262"/>
      <c r="O151" s="262"/>
      <c r="P151" s="262"/>
    </row>
    <row r="152" spans="1:16" s="261" customFormat="1" ht="15.75">
      <c r="A152" s="259"/>
      <c r="B152" s="259"/>
      <c r="C152" s="260"/>
      <c r="D152" s="260"/>
      <c r="E152" s="17"/>
      <c r="F152" s="123"/>
      <c r="G152" s="412"/>
      <c r="H152" s="412"/>
      <c r="I152" s="413"/>
      <c r="J152" s="412"/>
      <c r="K152" s="413"/>
      <c r="L152" s="412"/>
      <c r="M152" s="22"/>
      <c r="N152" s="262"/>
      <c r="O152" s="262"/>
      <c r="P152" s="262"/>
    </row>
    <row r="153" spans="1:16" s="261" customFormat="1" ht="15.75">
      <c r="A153" s="259"/>
      <c r="B153" s="259"/>
      <c r="C153" s="260"/>
      <c r="D153" s="260"/>
      <c r="E153" s="17"/>
      <c r="F153" s="123"/>
      <c r="G153" s="412"/>
      <c r="H153" s="412"/>
      <c r="I153" s="413"/>
      <c r="J153" s="412"/>
      <c r="K153" s="413"/>
      <c r="L153" s="412"/>
      <c r="M153" s="22"/>
      <c r="N153" s="262"/>
      <c r="O153" s="262"/>
      <c r="P153" s="262"/>
    </row>
    <row r="154" spans="1:16" s="261" customFormat="1" ht="15.75">
      <c r="A154" s="259"/>
      <c r="B154" s="259"/>
      <c r="C154" s="260"/>
      <c r="D154" s="260"/>
      <c r="E154" s="17"/>
      <c r="F154" s="123"/>
      <c r="G154" s="412"/>
      <c r="H154" s="412"/>
      <c r="I154" s="413"/>
      <c r="J154" s="412"/>
      <c r="K154" s="413"/>
      <c r="L154" s="412"/>
      <c r="M154" s="22"/>
      <c r="N154" s="262"/>
      <c r="O154" s="262"/>
      <c r="P154" s="262"/>
    </row>
    <row r="155" spans="1:16" s="261" customFormat="1" ht="15.75">
      <c r="A155" s="259"/>
      <c r="B155" s="259"/>
      <c r="C155" s="260"/>
      <c r="D155" s="260"/>
      <c r="E155" s="17"/>
      <c r="F155" s="123"/>
      <c r="G155" s="412"/>
      <c r="H155" s="412"/>
      <c r="I155" s="413"/>
      <c r="J155" s="412"/>
      <c r="K155" s="413"/>
      <c r="L155" s="412"/>
      <c r="M155" s="22"/>
      <c r="N155" s="262"/>
      <c r="O155" s="262"/>
      <c r="P155" s="262"/>
    </row>
    <row r="156" spans="1:16" s="261" customFormat="1" ht="15.75">
      <c r="A156" s="259"/>
      <c r="B156" s="259"/>
      <c r="C156" s="260"/>
      <c r="D156" s="260"/>
      <c r="E156" s="17"/>
      <c r="F156" s="123"/>
      <c r="G156" s="412"/>
      <c r="H156" s="412"/>
      <c r="I156" s="413"/>
      <c r="J156" s="412"/>
      <c r="K156" s="413"/>
      <c r="L156" s="412"/>
      <c r="M156" s="22"/>
      <c r="N156" s="262"/>
      <c r="O156" s="262"/>
      <c r="P156" s="262"/>
    </row>
    <row r="157" spans="1:16" s="261" customFormat="1" ht="15.75">
      <c r="A157" s="259"/>
      <c r="B157" s="259"/>
      <c r="C157" s="260"/>
      <c r="D157" s="260"/>
      <c r="E157" s="17"/>
      <c r="F157" s="123"/>
      <c r="G157" s="412"/>
      <c r="H157" s="412"/>
      <c r="I157" s="413"/>
      <c r="J157" s="412"/>
      <c r="K157" s="413"/>
      <c r="L157" s="412"/>
      <c r="M157" s="22"/>
      <c r="N157" s="262"/>
      <c r="O157" s="262"/>
      <c r="P157" s="262"/>
    </row>
    <row r="158" spans="1:16" s="261" customFormat="1" ht="15.75">
      <c r="A158" s="259"/>
      <c r="B158" s="259"/>
      <c r="C158" s="260"/>
      <c r="D158" s="260"/>
      <c r="E158" s="17"/>
      <c r="F158" s="123"/>
      <c r="G158" s="412"/>
      <c r="H158" s="412"/>
      <c r="I158" s="413"/>
      <c r="J158" s="412"/>
      <c r="K158" s="413"/>
      <c r="L158" s="412"/>
      <c r="M158" s="22"/>
      <c r="N158" s="262"/>
      <c r="O158" s="262"/>
      <c r="P158" s="262"/>
    </row>
    <row r="159" spans="1:16" s="261" customFormat="1" ht="15.75">
      <c r="A159" s="259"/>
      <c r="B159" s="259"/>
      <c r="C159" s="260"/>
      <c r="D159" s="260"/>
      <c r="E159" s="17"/>
      <c r="F159" s="123"/>
      <c r="G159" s="412"/>
      <c r="H159" s="412"/>
      <c r="I159" s="413"/>
      <c r="J159" s="412"/>
      <c r="K159" s="413"/>
      <c r="L159" s="412"/>
      <c r="M159" s="22"/>
      <c r="N159" s="262"/>
      <c r="O159" s="262"/>
      <c r="P159" s="262"/>
    </row>
    <row r="160" spans="1:16" s="261" customFormat="1" ht="15.75">
      <c r="A160" s="259"/>
      <c r="B160" s="259"/>
      <c r="C160" s="260"/>
      <c r="D160" s="260"/>
      <c r="E160" s="17"/>
      <c r="F160" s="123"/>
      <c r="G160" s="412"/>
      <c r="H160" s="412"/>
      <c r="I160" s="413"/>
      <c r="J160" s="412"/>
      <c r="K160" s="413"/>
      <c r="L160" s="412"/>
      <c r="M160" s="22"/>
      <c r="N160" s="262"/>
      <c r="O160" s="262"/>
      <c r="P160" s="262"/>
    </row>
    <row r="161" spans="1:16" s="261" customFormat="1" ht="15.75">
      <c r="A161" s="259"/>
      <c r="B161" s="259"/>
      <c r="C161" s="260"/>
      <c r="D161" s="260"/>
      <c r="E161" s="17"/>
      <c r="F161" s="123"/>
      <c r="G161" s="412"/>
      <c r="H161" s="412"/>
      <c r="I161" s="413"/>
      <c r="J161" s="412"/>
      <c r="K161" s="413"/>
      <c r="L161" s="412"/>
      <c r="M161" s="22"/>
      <c r="N161" s="262"/>
      <c r="O161" s="262"/>
      <c r="P161" s="262"/>
    </row>
    <row r="162" spans="1:16" s="261" customFormat="1" ht="15.75">
      <c r="A162" s="259"/>
      <c r="B162" s="259"/>
      <c r="C162" s="260"/>
      <c r="D162" s="260"/>
      <c r="E162" s="17"/>
      <c r="F162" s="123"/>
      <c r="G162" s="412"/>
      <c r="H162" s="412"/>
      <c r="I162" s="413"/>
      <c r="J162" s="412"/>
      <c r="K162" s="413"/>
      <c r="L162" s="412"/>
      <c r="M162" s="22"/>
      <c r="N162" s="262"/>
      <c r="O162" s="262"/>
      <c r="P162" s="262"/>
    </row>
    <row r="163" spans="1:16" s="261" customFormat="1" ht="15.75">
      <c r="A163" s="259"/>
      <c r="B163" s="259"/>
      <c r="C163" s="260"/>
      <c r="D163" s="260"/>
      <c r="E163" s="17"/>
      <c r="F163" s="123"/>
      <c r="G163" s="412"/>
      <c r="H163" s="412"/>
      <c r="I163" s="413"/>
      <c r="J163" s="412"/>
      <c r="K163" s="413"/>
      <c r="L163" s="412"/>
      <c r="M163" s="22"/>
      <c r="N163" s="262"/>
      <c r="O163" s="262"/>
      <c r="P163" s="262"/>
    </row>
    <row r="164" spans="1:16" s="261" customFormat="1" ht="15.75">
      <c r="A164" s="259"/>
      <c r="B164" s="259"/>
      <c r="C164" s="260"/>
      <c r="D164" s="260"/>
      <c r="E164" s="17"/>
      <c r="F164" s="123"/>
      <c r="G164" s="412"/>
      <c r="H164" s="412"/>
      <c r="I164" s="413"/>
      <c r="J164" s="412"/>
      <c r="K164" s="413"/>
      <c r="L164" s="412"/>
      <c r="M164" s="22"/>
      <c r="N164" s="262"/>
      <c r="O164" s="262"/>
      <c r="P164" s="262"/>
    </row>
    <row r="165" spans="1:16" s="261" customFormat="1" ht="15.75">
      <c r="A165" s="259"/>
      <c r="B165" s="259"/>
      <c r="C165" s="260"/>
      <c r="D165" s="260"/>
      <c r="E165" s="17"/>
      <c r="F165" s="123"/>
      <c r="G165" s="412"/>
      <c r="H165" s="412"/>
      <c r="I165" s="413"/>
      <c r="J165" s="412"/>
      <c r="K165" s="413"/>
      <c r="L165" s="412"/>
      <c r="M165" s="22"/>
      <c r="N165" s="262"/>
      <c r="O165" s="262"/>
      <c r="P165" s="262"/>
    </row>
    <row r="166" spans="1:16" s="261" customFormat="1" ht="15.75">
      <c r="A166" s="259"/>
      <c r="B166" s="259"/>
      <c r="C166" s="260"/>
      <c r="D166" s="260"/>
      <c r="E166" s="17"/>
      <c r="F166" s="123"/>
      <c r="G166" s="412"/>
      <c r="H166" s="412"/>
      <c r="I166" s="413"/>
      <c r="J166" s="412"/>
      <c r="K166" s="413"/>
      <c r="L166" s="412"/>
      <c r="M166" s="22"/>
      <c r="N166" s="262"/>
      <c r="O166" s="262"/>
      <c r="P166" s="262"/>
    </row>
    <row r="167" spans="1:16" s="261" customFormat="1" ht="15.75">
      <c r="A167" s="259"/>
      <c r="B167" s="259"/>
      <c r="C167" s="260"/>
      <c r="D167" s="260"/>
      <c r="E167" s="17"/>
      <c r="F167" s="123"/>
      <c r="G167" s="412"/>
      <c r="H167" s="412"/>
      <c r="I167" s="413"/>
      <c r="J167" s="412"/>
      <c r="K167" s="413"/>
      <c r="L167" s="412"/>
      <c r="M167" s="22"/>
      <c r="N167" s="262"/>
      <c r="O167" s="262"/>
      <c r="P167" s="262"/>
    </row>
    <row r="168" spans="1:16" s="261" customFormat="1" ht="15.75">
      <c r="A168" s="259"/>
      <c r="B168" s="259"/>
      <c r="C168" s="260"/>
      <c r="D168" s="260"/>
      <c r="E168" s="17"/>
      <c r="F168" s="123"/>
      <c r="G168" s="412"/>
      <c r="H168" s="412"/>
      <c r="I168" s="413"/>
      <c r="J168" s="412"/>
      <c r="K168" s="413"/>
      <c r="L168" s="412"/>
      <c r="M168" s="22"/>
      <c r="N168" s="262"/>
      <c r="O168" s="262"/>
      <c r="P168" s="262"/>
    </row>
    <row r="169" spans="1:16" s="261" customFormat="1" ht="15.75">
      <c r="A169" s="259"/>
      <c r="B169" s="259"/>
      <c r="C169" s="260"/>
      <c r="D169" s="260"/>
      <c r="E169" s="17"/>
      <c r="F169" s="123"/>
      <c r="G169" s="412"/>
      <c r="H169" s="412"/>
      <c r="I169" s="413"/>
      <c r="J169" s="412"/>
      <c r="K169" s="413"/>
      <c r="L169" s="412"/>
      <c r="M169" s="22"/>
      <c r="N169" s="262"/>
      <c r="O169" s="262"/>
      <c r="P169" s="262"/>
    </row>
    <row r="170" spans="1:16" s="261" customFormat="1" ht="15.75">
      <c r="A170" s="259"/>
      <c r="B170" s="259"/>
      <c r="C170" s="260"/>
      <c r="D170" s="260"/>
      <c r="E170" s="17"/>
      <c r="F170" s="123"/>
      <c r="G170" s="412"/>
      <c r="H170" s="412"/>
      <c r="I170" s="413"/>
      <c r="J170" s="412"/>
      <c r="K170" s="413"/>
      <c r="L170" s="412"/>
      <c r="M170" s="22"/>
      <c r="N170" s="262"/>
      <c r="O170" s="262"/>
      <c r="P170" s="262"/>
    </row>
    <row r="171" spans="1:16" s="261" customFormat="1" ht="15.75">
      <c r="A171" s="259"/>
      <c r="B171" s="259"/>
      <c r="C171" s="260"/>
      <c r="D171" s="260"/>
      <c r="E171" s="17"/>
      <c r="F171" s="123"/>
      <c r="G171" s="412"/>
      <c r="H171" s="412"/>
      <c r="I171" s="413"/>
      <c r="J171" s="412"/>
      <c r="K171" s="413"/>
      <c r="L171" s="412"/>
      <c r="M171" s="22"/>
      <c r="N171" s="262"/>
      <c r="O171" s="262"/>
      <c r="P171" s="262"/>
    </row>
    <row r="172" spans="1:16" s="261" customFormat="1" ht="15.75">
      <c r="A172" s="259"/>
      <c r="B172" s="259"/>
      <c r="C172" s="260"/>
      <c r="D172" s="260"/>
      <c r="E172" s="17"/>
      <c r="F172" s="123"/>
      <c r="G172" s="412"/>
      <c r="H172" s="412"/>
      <c r="I172" s="413"/>
      <c r="J172" s="412"/>
      <c r="K172" s="413"/>
      <c r="L172" s="412"/>
      <c r="M172" s="22"/>
      <c r="N172" s="262"/>
      <c r="O172" s="262"/>
      <c r="P172" s="262"/>
    </row>
    <row r="173" spans="1:16" s="261" customFormat="1" ht="15.75">
      <c r="A173" s="259"/>
      <c r="B173" s="259"/>
      <c r="C173" s="260"/>
      <c r="D173" s="260"/>
      <c r="E173" s="17"/>
      <c r="F173" s="123"/>
      <c r="G173" s="412"/>
      <c r="H173" s="412"/>
      <c r="I173" s="413"/>
      <c r="J173" s="412"/>
      <c r="K173" s="413"/>
      <c r="L173" s="412"/>
      <c r="M173" s="22"/>
      <c r="N173" s="262"/>
      <c r="O173" s="262"/>
      <c r="P173" s="262"/>
    </row>
    <row r="174" spans="1:16" s="261" customFormat="1" ht="15.75">
      <c r="A174" s="259"/>
      <c r="B174" s="259"/>
      <c r="C174" s="260"/>
      <c r="D174" s="260"/>
      <c r="E174" s="17"/>
      <c r="F174" s="123"/>
      <c r="G174" s="412"/>
      <c r="H174" s="412"/>
      <c r="I174" s="413"/>
      <c r="J174" s="412"/>
      <c r="K174" s="413"/>
      <c r="L174" s="412"/>
      <c r="M174" s="22"/>
      <c r="N174" s="262"/>
      <c r="O174" s="262"/>
      <c r="P174" s="262"/>
    </row>
    <row r="175" spans="1:16" s="261" customFormat="1" ht="15.75">
      <c r="A175" s="259"/>
      <c r="B175" s="259"/>
      <c r="C175" s="260"/>
      <c r="D175" s="260"/>
      <c r="E175" s="17"/>
      <c r="F175" s="123"/>
      <c r="G175" s="412"/>
      <c r="H175" s="412"/>
      <c r="I175" s="413"/>
      <c r="J175" s="412"/>
      <c r="K175" s="413"/>
      <c r="L175" s="412"/>
      <c r="M175" s="22"/>
      <c r="N175" s="262"/>
      <c r="O175" s="262"/>
      <c r="P175" s="262"/>
    </row>
    <row r="176" spans="1:16" s="261" customFormat="1" ht="15.75">
      <c r="A176" s="259"/>
      <c r="B176" s="259"/>
      <c r="C176" s="260"/>
      <c r="D176" s="260"/>
      <c r="E176" s="17"/>
      <c r="F176" s="123"/>
      <c r="G176" s="412"/>
      <c r="H176" s="412"/>
      <c r="I176" s="413"/>
      <c r="J176" s="412"/>
      <c r="K176" s="413"/>
      <c r="L176" s="412"/>
      <c r="M176" s="22"/>
      <c r="N176" s="262"/>
      <c r="O176" s="262"/>
      <c r="P176" s="262"/>
    </row>
    <row r="177" spans="1:16" s="261" customFormat="1" ht="15.75">
      <c r="A177" s="259"/>
      <c r="B177" s="259"/>
      <c r="C177" s="260"/>
      <c r="D177" s="260"/>
      <c r="E177" s="17"/>
      <c r="F177" s="123"/>
      <c r="G177" s="412"/>
      <c r="H177" s="412"/>
      <c r="I177" s="413"/>
      <c r="J177" s="412"/>
      <c r="K177" s="413"/>
      <c r="L177" s="412"/>
      <c r="M177" s="22"/>
      <c r="N177" s="262"/>
      <c r="O177" s="262"/>
      <c r="P177" s="262"/>
    </row>
    <row r="178" spans="1:16" s="261" customFormat="1" ht="15.75">
      <c r="A178" s="259"/>
      <c r="B178" s="259"/>
      <c r="C178" s="260"/>
      <c r="D178" s="260"/>
      <c r="E178" s="17"/>
      <c r="F178" s="123"/>
      <c r="G178" s="412"/>
      <c r="H178" s="412"/>
      <c r="I178" s="413"/>
      <c r="J178" s="412"/>
      <c r="K178" s="413"/>
      <c r="L178" s="412"/>
      <c r="M178" s="22"/>
      <c r="N178" s="262"/>
      <c r="O178" s="262"/>
      <c r="P178" s="262"/>
    </row>
    <row r="179" spans="1:16" s="261" customFormat="1" ht="15.75">
      <c r="A179" s="259"/>
      <c r="B179" s="259"/>
      <c r="C179" s="260"/>
      <c r="D179" s="260"/>
      <c r="E179" s="17"/>
      <c r="F179" s="123"/>
      <c r="G179" s="412"/>
      <c r="H179" s="412"/>
      <c r="I179" s="413"/>
      <c r="J179" s="412"/>
      <c r="K179" s="413"/>
      <c r="L179" s="412"/>
      <c r="M179" s="22"/>
      <c r="N179" s="262"/>
      <c r="O179" s="262"/>
      <c r="P179" s="262"/>
    </row>
    <row r="180" spans="1:16" s="261" customFormat="1" ht="15.75">
      <c r="A180" s="259"/>
      <c r="B180" s="259"/>
      <c r="C180" s="260"/>
      <c r="D180" s="260"/>
      <c r="E180" s="17"/>
      <c r="F180" s="123"/>
      <c r="G180" s="412"/>
      <c r="H180" s="412"/>
      <c r="I180" s="413"/>
      <c r="J180" s="412"/>
      <c r="K180" s="413"/>
      <c r="L180" s="412"/>
      <c r="M180" s="22"/>
      <c r="N180" s="262"/>
      <c r="O180" s="262"/>
      <c r="P180" s="262"/>
    </row>
    <row r="181" spans="1:16" s="261" customFormat="1" ht="15.75">
      <c r="A181" s="259"/>
      <c r="B181" s="259"/>
      <c r="C181" s="260"/>
      <c r="D181" s="260"/>
      <c r="E181" s="17"/>
      <c r="F181" s="123"/>
      <c r="G181" s="412"/>
      <c r="H181" s="412"/>
      <c r="I181" s="413"/>
      <c r="J181" s="412"/>
      <c r="K181" s="413"/>
      <c r="L181" s="412"/>
      <c r="M181" s="22"/>
      <c r="N181" s="262"/>
      <c r="O181" s="262"/>
      <c r="P181" s="262"/>
    </row>
    <row r="182" spans="1:16" s="261" customFormat="1" ht="15.75">
      <c r="A182" s="259"/>
      <c r="B182" s="259"/>
      <c r="C182" s="260"/>
      <c r="D182" s="260"/>
      <c r="E182" s="17"/>
      <c r="F182" s="123"/>
      <c r="G182" s="412"/>
      <c r="H182" s="412"/>
      <c r="I182" s="413"/>
      <c r="J182" s="412"/>
      <c r="K182" s="413"/>
      <c r="L182" s="412"/>
      <c r="M182" s="22"/>
      <c r="N182" s="262"/>
      <c r="O182" s="262"/>
      <c r="P182" s="262"/>
    </row>
    <row r="183" spans="1:16" s="261" customFormat="1" ht="15.75">
      <c r="A183" s="259"/>
      <c r="B183" s="259"/>
      <c r="C183" s="260"/>
      <c r="D183" s="260"/>
      <c r="E183" s="17"/>
      <c r="F183" s="123"/>
      <c r="G183" s="412"/>
      <c r="H183" s="412"/>
      <c r="I183" s="413"/>
      <c r="J183" s="412"/>
      <c r="K183" s="413"/>
      <c r="L183" s="412"/>
      <c r="M183" s="22"/>
      <c r="N183" s="262"/>
      <c r="O183" s="262"/>
      <c r="P183" s="262"/>
    </row>
    <row r="184" spans="1:16" s="261" customFormat="1" ht="15.75">
      <c r="A184" s="259"/>
      <c r="B184" s="259"/>
      <c r="C184" s="260"/>
      <c r="D184" s="260"/>
      <c r="E184" s="17"/>
      <c r="F184" s="123"/>
      <c r="G184" s="412"/>
      <c r="H184" s="412"/>
      <c r="I184" s="413"/>
      <c r="J184" s="412"/>
      <c r="K184" s="413"/>
      <c r="L184" s="412"/>
      <c r="M184" s="22"/>
      <c r="N184" s="262"/>
      <c r="O184" s="262"/>
      <c r="P184" s="262"/>
    </row>
    <row r="185" spans="1:16" s="261" customFormat="1" ht="15.75">
      <c r="A185" s="259"/>
      <c r="B185" s="259"/>
      <c r="C185" s="260"/>
      <c r="D185" s="260"/>
      <c r="E185" s="17"/>
      <c r="F185" s="123"/>
      <c r="G185" s="412"/>
      <c r="H185" s="412"/>
      <c r="I185" s="413"/>
      <c r="J185" s="412"/>
      <c r="K185" s="413"/>
      <c r="L185" s="412"/>
      <c r="M185" s="22"/>
      <c r="N185" s="262"/>
      <c r="O185" s="262"/>
      <c r="P185" s="262"/>
    </row>
    <row r="186" spans="1:16" s="261" customFormat="1" ht="15.75">
      <c r="A186" s="259"/>
      <c r="B186" s="259"/>
      <c r="C186" s="260"/>
      <c r="D186" s="260"/>
      <c r="E186" s="17"/>
      <c r="F186" s="123"/>
      <c r="G186" s="412"/>
      <c r="H186" s="412"/>
      <c r="I186" s="413"/>
      <c r="J186" s="412"/>
      <c r="K186" s="413"/>
      <c r="L186" s="412"/>
      <c r="M186" s="22"/>
      <c r="N186" s="262"/>
      <c r="O186" s="262"/>
      <c r="P186" s="262"/>
    </row>
    <row r="187" spans="1:16" s="261" customFormat="1" ht="15.75">
      <c r="A187" s="259"/>
      <c r="B187" s="259"/>
      <c r="C187" s="260"/>
      <c r="D187" s="260"/>
      <c r="E187" s="17"/>
      <c r="F187" s="123"/>
      <c r="G187" s="412"/>
      <c r="H187" s="412"/>
      <c r="I187" s="413"/>
      <c r="J187" s="412"/>
      <c r="K187" s="413"/>
      <c r="L187" s="412"/>
      <c r="M187" s="22"/>
      <c r="N187" s="262"/>
      <c r="O187" s="262"/>
      <c r="P187" s="262"/>
    </row>
    <row r="188" spans="1:16" s="261" customFormat="1" ht="15.75">
      <c r="A188" s="259"/>
      <c r="B188" s="259"/>
      <c r="C188" s="260"/>
      <c r="D188" s="260"/>
      <c r="E188" s="17"/>
      <c r="F188" s="123"/>
      <c r="G188" s="412"/>
      <c r="H188" s="412"/>
      <c r="I188" s="413"/>
      <c r="J188" s="412"/>
      <c r="K188" s="413"/>
      <c r="L188" s="412"/>
      <c r="M188" s="22"/>
      <c r="N188" s="262"/>
      <c r="O188" s="262"/>
      <c r="P188" s="262"/>
    </row>
    <row r="189" spans="1:16" s="261" customFormat="1" ht="15.75">
      <c r="A189" s="259"/>
      <c r="B189" s="259"/>
      <c r="C189" s="260"/>
      <c r="D189" s="260"/>
      <c r="E189" s="17"/>
      <c r="F189" s="123"/>
      <c r="G189" s="412"/>
      <c r="H189" s="412"/>
      <c r="I189" s="413"/>
      <c r="J189" s="412"/>
      <c r="K189" s="413"/>
      <c r="L189" s="412"/>
      <c r="M189" s="22"/>
      <c r="N189" s="262"/>
      <c r="O189" s="262"/>
      <c r="P189" s="262"/>
    </row>
    <row r="190" spans="1:16" s="261" customFormat="1" ht="15.75">
      <c r="A190" s="259"/>
      <c r="B190" s="259"/>
      <c r="C190" s="260"/>
      <c r="D190" s="260"/>
      <c r="E190" s="17"/>
      <c r="F190" s="123"/>
      <c r="G190" s="412"/>
      <c r="H190" s="412"/>
      <c r="I190" s="413"/>
      <c r="J190" s="412"/>
      <c r="K190" s="413"/>
      <c r="L190" s="412"/>
      <c r="M190" s="22"/>
      <c r="N190" s="262"/>
      <c r="O190" s="262"/>
      <c r="P190" s="262"/>
    </row>
    <row r="191" spans="1:16" s="261" customFormat="1" ht="15.75">
      <c r="A191" s="259"/>
      <c r="B191" s="259"/>
      <c r="C191" s="260"/>
      <c r="D191" s="260"/>
      <c r="E191" s="17"/>
      <c r="F191" s="123"/>
      <c r="G191" s="412"/>
      <c r="H191" s="412"/>
      <c r="I191" s="413"/>
      <c r="J191" s="412"/>
      <c r="K191" s="413"/>
      <c r="L191" s="412"/>
      <c r="M191" s="22"/>
      <c r="N191" s="262"/>
      <c r="O191" s="262"/>
      <c r="P191" s="262"/>
    </row>
    <row r="192" spans="1:16" s="261" customFormat="1" ht="15.75">
      <c r="A192" s="259"/>
      <c r="B192" s="259"/>
      <c r="C192" s="260"/>
      <c r="D192" s="260"/>
      <c r="E192" s="17"/>
      <c r="F192" s="123"/>
      <c r="G192" s="412"/>
      <c r="H192" s="412"/>
      <c r="I192" s="413"/>
      <c r="J192" s="412"/>
      <c r="K192" s="413"/>
      <c r="L192" s="412"/>
      <c r="M192" s="22"/>
      <c r="N192" s="262"/>
      <c r="O192" s="262"/>
      <c r="P192" s="262"/>
    </row>
    <row r="193" spans="1:16" s="261" customFormat="1" ht="15.75">
      <c r="A193" s="259"/>
      <c r="B193" s="259"/>
      <c r="C193" s="260"/>
      <c r="D193" s="260"/>
      <c r="E193" s="17"/>
      <c r="F193" s="123"/>
      <c r="G193" s="412"/>
      <c r="H193" s="412"/>
      <c r="I193" s="413"/>
      <c r="J193" s="412"/>
      <c r="K193" s="413"/>
      <c r="L193" s="412"/>
      <c r="M193" s="22"/>
      <c r="N193" s="262"/>
      <c r="O193" s="262"/>
      <c r="P193" s="262"/>
    </row>
    <row r="194" spans="1:16" s="261" customFormat="1" ht="15.75">
      <c r="A194" s="259"/>
      <c r="B194" s="259"/>
      <c r="C194" s="260"/>
      <c r="D194" s="260"/>
      <c r="E194" s="17"/>
      <c r="F194" s="123"/>
      <c r="G194" s="412"/>
      <c r="H194" s="412"/>
      <c r="I194" s="413"/>
      <c r="J194" s="412"/>
      <c r="K194" s="413"/>
      <c r="L194" s="412"/>
      <c r="M194" s="22"/>
      <c r="N194" s="262"/>
      <c r="O194" s="262"/>
      <c r="P194" s="262"/>
    </row>
    <row r="195" spans="1:16" s="261" customFormat="1" ht="15.75">
      <c r="A195" s="259"/>
      <c r="B195" s="259"/>
      <c r="C195" s="260"/>
      <c r="D195" s="260"/>
      <c r="E195" s="17"/>
      <c r="F195" s="123"/>
      <c r="G195" s="412"/>
      <c r="H195" s="412"/>
      <c r="I195" s="413"/>
      <c r="J195" s="412"/>
      <c r="K195" s="413"/>
      <c r="L195" s="412"/>
      <c r="M195" s="22"/>
      <c r="N195" s="262"/>
      <c r="O195" s="262"/>
      <c r="P195" s="262"/>
    </row>
    <row r="196" spans="1:16" s="261" customFormat="1" ht="15.75">
      <c r="A196" s="259"/>
      <c r="B196" s="259"/>
      <c r="C196" s="260"/>
      <c r="D196" s="260"/>
      <c r="E196" s="17"/>
      <c r="F196" s="123"/>
      <c r="G196" s="412"/>
      <c r="H196" s="412"/>
      <c r="I196" s="413"/>
      <c r="J196" s="412"/>
      <c r="K196" s="413"/>
      <c r="L196" s="412"/>
      <c r="M196" s="22"/>
      <c r="N196" s="262"/>
      <c r="O196" s="262"/>
      <c r="P196" s="262"/>
    </row>
    <row r="197" spans="1:16" s="261" customFormat="1" ht="15.75">
      <c r="A197" s="259"/>
      <c r="B197" s="259"/>
      <c r="C197" s="260"/>
      <c r="D197" s="260"/>
      <c r="E197" s="17"/>
      <c r="F197" s="123"/>
      <c r="G197" s="412"/>
      <c r="H197" s="412"/>
      <c r="I197" s="413"/>
      <c r="J197" s="412"/>
      <c r="K197" s="413"/>
      <c r="L197" s="412"/>
      <c r="M197" s="22"/>
      <c r="N197" s="262"/>
      <c r="O197" s="262"/>
      <c r="P197" s="262"/>
    </row>
    <row r="198" spans="1:16" s="261" customFormat="1" ht="15.75">
      <c r="A198" s="259"/>
      <c r="B198" s="259"/>
      <c r="C198" s="260"/>
      <c r="D198" s="260"/>
      <c r="E198" s="17"/>
      <c r="F198" s="123"/>
      <c r="G198" s="412"/>
      <c r="H198" s="412"/>
      <c r="I198" s="413"/>
      <c r="J198" s="412"/>
      <c r="K198" s="413"/>
      <c r="L198" s="412"/>
      <c r="M198" s="22"/>
      <c r="N198" s="262"/>
      <c r="O198" s="262"/>
      <c r="P198" s="262"/>
    </row>
    <row r="199" spans="1:16" s="261" customFormat="1" ht="15.75">
      <c r="A199" s="259"/>
      <c r="B199" s="259"/>
      <c r="C199" s="260"/>
      <c r="D199" s="260"/>
      <c r="E199" s="17"/>
      <c r="F199" s="123"/>
      <c r="G199" s="412"/>
      <c r="H199" s="412"/>
      <c r="I199" s="413"/>
      <c r="J199" s="412"/>
      <c r="K199" s="413"/>
      <c r="L199" s="412"/>
      <c r="M199" s="22"/>
      <c r="N199" s="262"/>
      <c r="O199" s="262"/>
      <c r="P199" s="262"/>
    </row>
    <row r="200" spans="1:16" s="261" customFormat="1" ht="15.75">
      <c r="A200" s="259"/>
      <c r="B200" s="259"/>
      <c r="C200" s="260"/>
      <c r="D200" s="260"/>
      <c r="E200" s="17"/>
      <c r="F200" s="123"/>
      <c r="G200" s="412"/>
      <c r="H200" s="412"/>
      <c r="I200" s="413"/>
      <c r="J200" s="412"/>
      <c r="K200" s="413"/>
      <c r="L200" s="412"/>
      <c r="M200" s="22"/>
      <c r="N200" s="262"/>
      <c r="O200" s="262"/>
      <c r="P200" s="262"/>
    </row>
    <row r="201" spans="1:16" s="261" customFormat="1" ht="15.75">
      <c r="A201" s="259"/>
      <c r="B201" s="259"/>
      <c r="C201" s="260"/>
      <c r="D201" s="260"/>
      <c r="E201" s="17"/>
      <c r="F201" s="123"/>
      <c r="G201" s="412"/>
      <c r="H201" s="412"/>
      <c r="I201" s="413"/>
      <c r="J201" s="412"/>
      <c r="K201" s="413"/>
      <c r="L201" s="412"/>
      <c r="M201" s="22"/>
      <c r="N201" s="262"/>
      <c r="O201" s="262"/>
      <c r="P201" s="262"/>
    </row>
    <row r="202" spans="1:16" s="261" customFormat="1" ht="15.75">
      <c r="A202" s="259"/>
      <c r="B202" s="259"/>
      <c r="C202" s="260"/>
      <c r="D202" s="260"/>
      <c r="E202" s="17"/>
      <c r="F202" s="123"/>
      <c r="G202" s="412"/>
      <c r="H202" s="412"/>
      <c r="I202" s="413"/>
      <c r="J202" s="412"/>
      <c r="K202" s="413"/>
      <c r="L202" s="412"/>
      <c r="M202" s="22"/>
      <c r="N202" s="262"/>
      <c r="O202" s="262"/>
      <c r="P202" s="262"/>
    </row>
    <row r="203" spans="1:16" s="261" customFormat="1" ht="15.75">
      <c r="A203" s="259"/>
      <c r="B203" s="259"/>
      <c r="C203" s="260"/>
      <c r="D203" s="260"/>
      <c r="E203" s="17"/>
      <c r="F203" s="123"/>
      <c r="G203" s="412"/>
      <c r="H203" s="412"/>
      <c r="I203" s="413"/>
      <c r="J203" s="412"/>
      <c r="K203" s="413"/>
      <c r="L203" s="412"/>
      <c r="M203" s="22"/>
      <c r="N203" s="262"/>
      <c r="O203" s="262"/>
      <c r="P203" s="262"/>
    </row>
    <row r="204" spans="1:16" s="261" customFormat="1" ht="15.75">
      <c r="A204" s="259"/>
      <c r="B204" s="259"/>
      <c r="C204" s="260"/>
      <c r="D204" s="260"/>
      <c r="E204" s="17"/>
      <c r="F204" s="123"/>
      <c r="G204" s="412"/>
      <c r="H204" s="412"/>
      <c r="I204" s="413"/>
      <c r="J204" s="412"/>
      <c r="K204" s="413"/>
      <c r="L204" s="412"/>
      <c r="M204" s="22"/>
      <c r="N204" s="262"/>
      <c r="O204" s="262"/>
      <c r="P204" s="262"/>
    </row>
    <row r="205" spans="1:16" s="261" customFormat="1" ht="15.75">
      <c r="A205" s="259"/>
      <c r="B205" s="259"/>
      <c r="C205" s="260"/>
      <c r="D205" s="260"/>
      <c r="E205" s="17"/>
      <c r="F205" s="123"/>
      <c r="G205" s="412"/>
      <c r="H205" s="412"/>
      <c r="I205" s="413"/>
      <c r="J205" s="412"/>
      <c r="K205" s="413"/>
      <c r="L205" s="412"/>
      <c r="M205" s="22"/>
      <c r="N205" s="262"/>
      <c r="O205" s="262"/>
      <c r="P205" s="262"/>
    </row>
    <row r="206" spans="1:16" s="261" customFormat="1" ht="15.75">
      <c r="A206" s="259"/>
      <c r="B206" s="259"/>
      <c r="C206" s="260"/>
      <c r="D206" s="260"/>
      <c r="E206" s="17"/>
      <c r="F206" s="123"/>
      <c r="G206" s="412"/>
      <c r="H206" s="412"/>
      <c r="I206" s="413"/>
      <c r="J206" s="412"/>
      <c r="K206" s="413"/>
      <c r="L206" s="412"/>
      <c r="M206" s="22"/>
      <c r="N206" s="262"/>
      <c r="O206" s="262"/>
      <c r="P206" s="262"/>
    </row>
    <row r="207" spans="1:16" s="261" customFormat="1" ht="15.75">
      <c r="A207" s="259"/>
      <c r="B207" s="259"/>
      <c r="C207" s="260"/>
      <c r="D207" s="260"/>
      <c r="E207" s="17"/>
      <c r="F207" s="123"/>
      <c r="G207" s="412"/>
      <c r="H207" s="412"/>
      <c r="I207" s="413"/>
      <c r="J207" s="412"/>
      <c r="K207" s="413"/>
      <c r="L207" s="412"/>
      <c r="M207" s="22"/>
      <c r="N207" s="262"/>
      <c r="O207" s="262"/>
      <c r="P207" s="262"/>
    </row>
    <row r="208" spans="1:16" s="261" customFormat="1" ht="15.75">
      <c r="A208" s="259"/>
      <c r="B208" s="259"/>
      <c r="C208" s="260"/>
      <c r="D208" s="260"/>
      <c r="E208" s="17"/>
      <c r="F208" s="123"/>
      <c r="G208" s="412"/>
      <c r="H208" s="412"/>
      <c r="I208" s="413"/>
      <c r="J208" s="412"/>
      <c r="K208" s="413"/>
      <c r="L208" s="412"/>
      <c r="M208" s="22"/>
      <c r="N208" s="262"/>
      <c r="O208" s="262"/>
      <c r="P208" s="262"/>
    </row>
    <row r="209" spans="1:16" s="261" customFormat="1" ht="15.75">
      <c r="A209" s="259"/>
      <c r="B209" s="259"/>
      <c r="C209" s="260"/>
      <c r="D209" s="260"/>
      <c r="E209" s="17"/>
      <c r="F209" s="123"/>
      <c r="G209" s="412"/>
      <c r="H209" s="412"/>
      <c r="I209" s="413"/>
      <c r="J209" s="412"/>
      <c r="K209" s="413"/>
      <c r="L209" s="412"/>
      <c r="M209" s="22"/>
      <c r="N209" s="262"/>
      <c r="O209" s="262"/>
      <c r="P209" s="262"/>
    </row>
    <row r="210" spans="1:16" s="261" customFormat="1" ht="15.75">
      <c r="A210" s="259"/>
      <c r="B210" s="259"/>
      <c r="C210" s="260"/>
      <c r="D210" s="260"/>
      <c r="E210" s="17"/>
      <c r="F210" s="123"/>
      <c r="G210" s="412"/>
      <c r="H210" s="412"/>
      <c r="I210" s="413"/>
      <c r="J210" s="412"/>
      <c r="K210" s="413"/>
      <c r="L210" s="412"/>
      <c r="M210" s="22"/>
      <c r="N210" s="262"/>
      <c r="O210" s="262"/>
      <c r="P210" s="262"/>
    </row>
    <row r="211" spans="1:16" s="261" customFormat="1" ht="15.75">
      <c r="A211" s="259"/>
      <c r="B211" s="259"/>
      <c r="C211" s="260"/>
      <c r="D211" s="260"/>
      <c r="E211" s="17"/>
      <c r="F211" s="123"/>
      <c r="G211" s="412"/>
      <c r="H211" s="412"/>
      <c r="I211" s="413"/>
      <c r="J211" s="412"/>
      <c r="K211" s="413"/>
      <c r="L211" s="412"/>
      <c r="M211" s="22"/>
      <c r="N211" s="262"/>
      <c r="O211" s="262"/>
      <c r="P211" s="262"/>
    </row>
    <row r="212" spans="1:16" s="261" customFormat="1" ht="15.75">
      <c r="A212" s="259"/>
      <c r="B212" s="259"/>
      <c r="C212" s="260"/>
      <c r="D212" s="260"/>
      <c r="E212" s="17"/>
      <c r="F212" s="123"/>
      <c r="G212" s="412"/>
      <c r="H212" s="412"/>
      <c r="I212" s="413"/>
      <c r="J212" s="412"/>
      <c r="K212" s="413"/>
      <c r="L212" s="412"/>
      <c r="M212" s="22"/>
      <c r="N212" s="262"/>
      <c r="O212" s="262"/>
      <c r="P212" s="262"/>
    </row>
    <row r="213" spans="3:16" s="261" customFormat="1" ht="15.75">
      <c r="C213" s="262"/>
      <c r="D213" s="262"/>
      <c r="E213" s="22"/>
      <c r="F213" s="113"/>
      <c r="G213" s="180"/>
      <c r="H213" s="180"/>
      <c r="I213" s="192"/>
      <c r="J213" s="180"/>
      <c r="K213" s="192"/>
      <c r="L213" s="180"/>
      <c r="M213" s="22"/>
      <c r="N213" s="262"/>
      <c r="O213" s="262"/>
      <c r="P213" s="262"/>
    </row>
    <row r="214" spans="3:16" s="261" customFormat="1" ht="15.75">
      <c r="C214" s="262"/>
      <c r="D214" s="262"/>
      <c r="E214" s="22"/>
      <c r="F214" s="113"/>
      <c r="G214" s="180"/>
      <c r="H214" s="180"/>
      <c r="I214" s="192"/>
      <c r="J214" s="180"/>
      <c r="K214" s="192"/>
      <c r="L214" s="180"/>
      <c r="M214" s="22"/>
      <c r="N214" s="262"/>
      <c r="O214" s="262"/>
      <c r="P214" s="262"/>
    </row>
    <row r="215" spans="3:16" s="261" customFormat="1" ht="15.75">
      <c r="C215" s="262"/>
      <c r="D215" s="262"/>
      <c r="E215" s="22"/>
      <c r="F215" s="113"/>
      <c r="G215" s="180"/>
      <c r="H215" s="180"/>
      <c r="I215" s="192"/>
      <c r="J215" s="180"/>
      <c r="K215" s="192"/>
      <c r="L215" s="180"/>
      <c r="M215" s="22"/>
      <c r="N215" s="262"/>
      <c r="O215" s="262"/>
      <c r="P215" s="262"/>
    </row>
    <row r="216" spans="3:16" s="261" customFormat="1" ht="15.75">
      <c r="C216" s="262"/>
      <c r="D216" s="262"/>
      <c r="E216" s="22"/>
      <c r="F216" s="113"/>
      <c r="G216" s="180"/>
      <c r="H216" s="180"/>
      <c r="I216" s="192"/>
      <c r="J216" s="180"/>
      <c r="K216" s="192"/>
      <c r="L216" s="180"/>
      <c r="M216" s="22"/>
      <c r="N216" s="262"/>
      <c r="O216" s="262"/>
      <c r="P216" s="262"/>
    </row>
    <row r="260" spans="1:4" ht="15.75">
      <c r="A260" s="22"/>
      <c r="B260" s="22"/>
      <c r="C260" s="180"/>
      <c r="D260" s="180"/>
    </row>
    <row r="261" spans="1:4" ht="15.75">
      <c r="A261" s="22"/>
      <c r="B261" s="22"/>
      <c r="C261" s="180"/>
      <c r="D261" s="180"/>
    </row>
    <row r="262" spans="1:4" ht="15.75">
      <c r="A262" s="22"/>
      <c r="B262" s="22"/>
      <c r="C262" s="180"/>
      <c r="D262" s="180"/>
    </row>
    <row r="263" spans="1:4" ht="15.75">
      <c r="A263" s="22"/>
      <c r="B263" s="22"/>
      <c r="C263" s="180"/>
      <c r="D263" s="180"/>
    </row>
    <row r="264" spans="1:4" ht="15.75">
      <c r="A264" s="22"/>
      <c r="B264" s="22"/>
      <c r="C264" s="180"/>
      <c r="D264" s="180"/>
    </row>
    <row r="265" spans="1:4" ht="15.75">
      <c r="A265" s="22"/>
      <c r="B265" s="22"/>
      <c r="C265" s="180"/>
      <c r="D265" s="180"/>
    </row>
    <row r="266" spans="1:4" ht="15.75">
      <c r="A266" s="22"/>
      <c r="B266" s="22"/>
      <c r="C266" s="180"/>
      <c r="D266" s="180"/>
    </row>
    <row r="267" spans="1:4" ht="15.75">
      <c r="A267" s="22"/>
      <c r="B267" s="22"/>
      <c r="C267" s="180"/>
      <c r="D267" s="180"/>
    </row>
    <row r="268" spans="1:4" ht="15.75">
      <c r="A268" s="22"/>
      <c r="B268" s="22"/>
      <c r="C268" s="180"/>
      <c r="D268" s="180"/>
    </row>
    <row r="269" spans="1:4" ht="15.75">
      <c r="A269" s="22"/>
      <c r="B269" s="22"/>
      <c r="C269" s="180"/>
      <c r="D269" s="180"/>
    </row>
    <row r="270" spans="1:4" ht="15.75">
      <c r="A270" s="22"/>
      <c r="B270" s="22"/>
      <c r="C270" s="180"/>
      <c r="D270" s="180"/>
    </row>
    <row r="271" spans="1:4" ht="15.75">
      <c r="A271" s="22"/>
      <c r="B271" s="22"/>
      <c r="C271" s="180"/>
      <c r="D271" s="180"/>
    </row>
    <row r="272" spans="1:4" ht="15.75">
      <c r="A272" s="22"/>
      <c r="B272" s="22"/>
      <c r="C272" s="180"/>
      <c r="D272" s="180"/>
    </row>
    <row r="273" spans="1:4" ht="15.75">
      <c r="A273" s="22"/>
      <c r="B273" s="22"/>
      <c r="C273" s="180"/>
      <c r="D273" s="180"/>
    </row>
    <row r="274" spans="1:4" ht="15.75">
      <c r="A274" s="22"/>
      <c r="B274" s="22"/>
      <c r="C274" s="180"/>
      <c r="D274" s="180"/>
    </row>
    <row r="275" spans="1:4" ht="15.75">
      <c r="A275" s="22"/>
      <c r="B275" s="22"/>
      <c r="C275" s="180"/>
      <c r="D275" s="180"/>
    </row>
    <row r="276" spans="1:4" ht="15.75">
      <c r="A276" s="22"/>
      <c r="B276" s="22"/>
      <c r="C276" s="180"/>
      <c r="D276" s="180"/>
    </row>
    <row r="277" spans="1:4" ht="15.75">
      <c r="A277" s="22"/>
      <c r="B277" s="22"/>
      <c r="C277" s="180"/>
      <c r="D277" s="180"/>
    </row>
    <row r="278" spans="1:4" ht="15.75">
      <c r="A278" s="22"/>
      <c r="B278" s="22"/>
      <c r="C278" s="180"/>
      <c r="D278" s="180"/>
    </row>
    <row r="279" spans="1:4" ht="15.75">
      <c r="A279" s="22"/>
      <c r="B279" s="22"/>
      <c r="C279" s="180"/>
      <c r="D279" s="180"/>
    </row>
    <row r="280" spans="1:4" ht="15.75">
      <c r="A280" s="22"/>
      <c r="B280" s="22"/>
      <c r="C280" s="180"/>
      <c r="D280" s="180"/>
    </row>
    <row r="281" spans="1:4" ht="15.75">
      <c r="A281" s="22"/>
      <c r="B281" s="22"/>
      <c r="C281" s="180"/>
      <c r="D281" s="180"/>
    </row>
    <row r="282" spans="1:4" ht="15.75">
      <c r="A282" s="22"/>
      <c r="B282" s="22"/>
      <c r="C282" s="180"/>
      <c r="D282" s="180"/>
    </row>
    <row r="283" spans="1:4" ht="15.75">
      <c r="A283" s="22"/>
      <c r="B283" s="22"/>
      <c r="C283" s="180"/>
      <c r="D283" s="180"/>
    </row>
    <row r="284" spans="1:4" ht="15.75">
      <c r="A284" s="22"/>
      <c r="B284" s="22"/>
      <c r="C284" s="180"/>
      <c r="D284" s="180"/>
    </row>
    <row r="285" spans="1:4" ht="15.75">
      <c r="A285" s="22"/>
      <c r="B285" s="22"/>
      <c r="C285" s="180"/>
      <c r="D285" s="180"/>
    </row>
    <row r="286" spans="1:4" ht="15.75">
      <c r="A286" s="22"/>
      <c r="B286" s="22"/>
      <c r="C286" s="180"/>
      <c r="D286" s="180"/>
    </row>
    <row r="287" spans="1:4" ht="15.75">
      <c r="A287" s="22"/>
      <c r="B287" s="22"/>
      <c r="C287" s="180"/>
      <c r="D287" s="180"/>
    </row>
    <row r="288" spans="1:4" ht="15.75">
      <c r="A288" s="22"/>
      <c r="B288" s="22"/>
      <c r="C288" s="180"/>
      <c r="D288" s="180"/>
    </row>
    <row r="289" spans="1:4" ht="15.75">
      <c r="A289" s="22"/>
      <c r="B289" s="22"/>
      <c r="C289" s="180"/>
      <c r="D289" s="180"/>
    </row>
    <row r="290" spans="1:4" ht="15.75">
      <c r="A290" s="22"/>
      <c r="B290" s="22"/>
      <c r="C290" s="180"/>
      <c r="D290" s="180"/>
    </row>
    <row r="291" spans="1:4" ht="15.75">
      <c r="A291" s="22"/>
      <c r="B291" s="22"/>
      <c r="C291" s="180"/>
      <c r="D291" s="180"/>
    </row>
    <row r="292" spans="1:4" ht="15.75">
      <c r="A292" s="22"/>
      <c r="B292" s="22"/>
      <c r="C292" s="180"/>
      <c r="D292" s="180"/>
    </row>
    <row r="293" spans="1:4" ht="15.75">
      <c r="A293" s="22"/>
      <c r="B293" s="22"/>
      <c r="C293" s="180"/>
      <c r="D293" s="180"/>
    </row>
    <row r="294" spans="1:4" ht="15.75">
      <c r="A294" s="22"/>
      <c r="B294" s="22"/>
      <c r="C294" s="180"/>
      <c r="D294" s="180"/>
    </row>
    <row r="295" spans="1:4" ht="15.75">
      <c r="A295" s="22"/>
      <c r="B295" s="22"/>
      <c r="C295" s="180"/>
      <c r="D295" s="180"/>
    </row>
    <row r="296" spans="1:4" ht="15.75">
      <c r="A296" s="22"/>
      <c r="B296" s="22"/>
      <c r="C296" s="180"/>
      <c r="D296" s="180"/>
    </row>
    <row r="297" spans="1:4" ht="15.75">
      <c r="A297" s="22"/>
      <c r="B297" s="22"/>
      <c r="C297" s="180"/>
      <c r="D297" s="180"/>
    </row>
    <row r="298" spans="1:4" ht="15.75">
      <c r="A298" s="22"/>
      <c r="B298" s="22"/>
      <c r="C298" s="180"/>
      <c r="D298" s="180"/>
    </row>
    <row r="299" spans="1:4" ht="15.75">
      <c r="A299" s="22"/>
      <c r="B299" s="22"/>
      <c r="C299" s="180"/>
      <c r="D299" s="180"/>
    </row>
    <row r="300" spans="1:4" ht="15.75">
      <c r="A300" s="22"/>
      <c r="B300" s="22"/>
      <c r="C300" s="180"/>
      <c r="D300" s="180"/>
    </row>
    <row r="301" spans="1:4" ht="15.75">
      <c r="A301" s="22"/>
      <c r="B301" s="22"/>
      <c r="C301" s="180"/>
      <c r="D301" s="180"/>
    </row>
    <row r="302" spans="1:4" ht="15.75">
      <c r="A302" s="22"/>
      <c r="B302" s="22"/>
      <c r="C302" s="180"/>
      <c r="D302" s="180"/>
    </row>
    <row r="303" spans="1:4" ht="15.75">
      <c r="A303" s="22"/>
      <c r="B303" s="22"/>
      <c r="C303" s="180"/>
      <c r="D303" s="180"/>
    </row>
    <row r="304" spans="1:4" ht="15.75">
      <c r="A304" s="22"/>
      <c r="B304" s="22"/>
      <c r="C304" s="180"/>
      <c r="D304" s="180"/>
    </row>
    <row r="305" spans="1:4" ht="15.75">
      <c r="A305" s="22"/>
      <c r="B305" s="22"/>
      <c r="C305" s="180"/>
      <c r="D305" s="180"/>
    </row>
    <row r="306" spans="1:4" ht="15.75">
      <c r="A306" s="22"/>
      <c r="B306" s="22"/>
      <c r="C306" s="180"/>
      <c r="D306" s="180"/>
    </row>
    <row r="307" spans="1:4" ht="15.75">
      <c r="A307" s="22"/>
      <c r="B307" s="22"/>
      <c r="C307" s="180"/>
      <c r="D307" s="180"/>
    </row>
    <row r="308" spans="1:4" ht="15.75">
      <c r="A308" s="22"/>
      <c r="B308" s="22"/>
      <c r="C308" s="180"/>
      <c r="D308" s="180"/>
    </row>
    <row r="309" spans="1:4" ht="15.75">
      <c r="A309" s="22"/>
      <c r="B309" s="22"/>
      <c r="C309" s="180"/>
      <c r="D309" s="180"/>
    </row>
    <row r="310" spans="1:4" ht="15.75">
      <c r="A310" s="22"/>
      <c r="B310" s="22"/>
      <c r="C310" s="180"/>
      <c r="D310" s="180"/>
    </row>
    <row r="311" spans="1:4" ht="15.75">
      <c r="A311" s="22"/>
      <c r="B311" s="22"/>
      <c r="C311" s="180"/>
      <c r="D311" s="180"/>
    </row>
    <row r="312" spans="1:4" ht="15.75">
      <c r="A312" s="22"/>
      <c r="B312" s="22"/>
      <c r="C312" s="180"/>
      <c r="D312" s="180"/>
    </row>
    <row r="313" spans="1:4" ht="15.75">
      <c r="A313" s="22"/>
      <c r="B313" s="22"/>
      <c r="C313" s="180"/>
      <c r="D313" s="180"/>
    </row>
    <row r="314" spans="1:4" ht="15.75">
      <c r="A314" s="22"/>
      <c r="B314" s="22"/>
      <c r="C314" s="180"/>
      <c r="D314" s="180"/>
    </row>
    <row r="315" spans="1:4" ht="15.75">
      <c r="A315" s="22"/>
      <c r="B315" s="22"/>
      <c r="C315" s="180"/>
      <c r="D315" s="180"/>
    </row>
    <row r="316" spans="1:4" ht="15.75">
      <c r="A316" s="22"/>
      <c r="B316" s="22"/>
      <c r="C316" s="180"/>
      <c r="D316" s="180"/>
    </row>
    <row r="317" spans="1:4" ht="15.75">
      <c r="A317" s="22"/>
      <c r="B317" s="22"/>
      <c r="C317" s="180"/>
      <c r="D317" s="180"/>
    </row>
    <row r="318" spans="1:4" ht="15.75">
      <c r="A318" s="22"/>
      <c r="B318" s="22"/>
      <c r="C318" s="180"/>
      <c r="D318" s="180"/>
    </row>
    <row r="319" spans="1:4" ht="15.75">
      <c r="A319" s="22"/>
      <c r="B319" s="22"/>
      <c r="C319" s="180"/>
      <c r="D319" s="180"/>
    </row>
    <row r="320" spans="1:4" ht="15.75">
      <c r="A320" s="22"/>
      <c r="B320" s="22"/>
      <c r="C320" s="180"/>
      <c r="D320" s="180"/>
    </row>
    <row r="321" spans="1:4" ht="15.75">
      <c r="A321" s="22"/>
      <c r="B321" s="22"/>
      <c r="C321" s="180"/>
      <c r="D321" s="180"/>
    </row>
    <row r="322" spans="1:4" ht="15.75">
      <c r="A322" s="22"/>
      <c r="B322" s="22"/>
      <c r="C322" s="180"/>
      <c r="D322" s="180"/>
    </row>
    <row r="323" spans="1:4" ht="15.75">
      <c r="A323" s="22"/>
      <c r="B323" s="22"/>
      <c r="C323" s="180"/>
      <c r="D323" s="180"/>
    </row>
    <row r="324" spans="1:4" ht="15.75">
      <c r="A324" s="22"/>
      <c r="B324" s="22"/>
      <c r="C324" s="180"/>
      <c r="D324" s="180"/>
    </row>
    <row r="325" spans="1:4" ht="15.75">
      <c r="A325" s="22"/>
      <c r="B325" s="22"/>
      <c r="C325" s="180"/>
      <c r="D325" s="180"/>
    </row>
    <row r="326" spans="1:4" ht="15.75">
      <c r="A326" s="22"/>
      <c r="B326" s="22"/>
      <c r="C326" s="180"/>
      <c r="D326" s="180"/>
    </row>
    <row r="327" spans="1:4" ht="15.75">
      <c r="A327" s="22"/>
      <c r="B327" s="22"/>
      <c r="C327" s="180"/>
      <c r="D327" s="180"/>
    </row>
    <row r="328" spans="1:4" ht="15.75">
      <c r="A328" s="22"/>
      <c r="B328" s="22"/>
      <c r="C328" s="180"/>
      <c r="D328" s="180"/>
    </row>
    <row r="329" spans="1:4" ht="15.75">
      <c r="A329" s="22"/>
      <c r="B329" s="22"/>
      <c r="C329" s="180"/>
      <c r="D329" s="180"/>
    </row>
    <row r="330" spans="1:4" ht="15.75">
      <c r="A330" s="22"/>
      <c r="B330" s="22"/>
      <c r="C330" s="180"/>
      <c r="D330" s="180"/>
    </row>
    <row r="331" spans="1:4" ht="15.75">
      <c r="A331" s="22"/>
      <c r="B331" s="22"/>
      <c r="C331" s="180"/>
      <c r="D331" s="180"/>
    </row>
    <row r="332" spans="1:4" ht="15.75">
      <c r="A332" s="22"/>
      <c r="B332" s="22"/>
      <c r="C332" s="180"/>
      <c r="D332" s="180"/>
    </row>
    <row r="333" spans="1:4" ht="15.75">
      <c r="A333" s="22"/>
      <c r="B333" s="22"/>
      <c r="C333" s="180"/>
      <c r="D333" s="180"/>
    </row>
    <row r="334" spans="1:4" ht="15.75">
      <c r="A334" s="22"/>
      <c r="B334" s="22"/>
      <c r="C334" s="180"/>
      <c r="D334" s="180"/>
    </row>
    <row r="335" spans="1:4" ht="15.75">
      <c r="A335" s="22"/>
      <c r="B335" s="22"/>
      <c r="C335" s="180"/>
      <c r="D335" s="180"/>
    </row>
    <row r="336" spans="1:4" ht="15.75">
      <c r="A336" s="22"/>
      <c r="B336" s="22"/>
      <c r="C336" s="180"/>
      <c r="D336" s="180"/>
    </row>
    <row r="337" spans="1:4" ht="15.75">
      <c r="A337" s="22"/>
      <c r="B337" s="22"/>
      <c r="C337" s="180"/>
      <c r="D337" s="180"/>
    </row>
    <row r="338" spans="1:4" ht="15.75">
      <c r="A338" s="22"/>
      <c r="B338" s="22"/>
      <c r="C338" s="180"/>
      <c r="D338" s="180"/>
    </row>
    <row r="339" spans="1:4" ht="15.75">
      <c r="A339" s="22"/>
      <c r="B339" s="22"/>
      <c r="C339" s="180"/>
      <c r="D339" s="180"/>
    </row>
    <row r="340" spans="1:4" ht="15.75">
      <c r="A340" s="22"/>
      <c r="B340" s="22"/>
      <c r="C340" s="180"/>
      <c r="D340" s="180"/>
    </row>
    <row r="341" spans="1:4" ht="15.75">
      <c r="A341" s="22"/>
      <c r="B341" s="22"/>
      <c r="C341" s="180"/>
      <c r="D341" s="180"/>
    </row>
    <row r="342" spans="1:4" ht="15.75">
      <c r="A342" s="22"/>
      <c r="B342" s="22"/>
      <c r="C342" s="180"/>
      <c r="D342" s="180"/>
    </row>
    <row r="343" spans="1:4" ht="15.75">
      <c r="A343" s="22"/>
      <c r="B343" s="22"/>
      <c r="C343" s="180"/>
      <c r="D343" s="180"/>
    </row>
    <row r="344" spans="1:4" ht="15.75">
      <c r="A344" s="22"/>
      <c r="B344" s="22"/>
      <c r="C344" s="180"/>
      <c r="D344" s="180"/>
    </row>
    <row r="345" spans="1:4" ht="15.75">
      <c r="A345" s="22"/>
      <c r="B345" s="22"/>
      <c r="C345" s="180"/>
      <c r="D345" s="180"/>
    </row>
    <row r="346" spans="1:4" ht="15.75">
      <c r="A346" s="22"/>
      <c r="B346" s="22"/>
      <c r="C346" s="180"/>
      <c r="D346" s="180"/>
    </row>
    <row r="347" spans="1:4" ht="15.75">
      <c r="A347" s="22"/>
      <c r="B347" s="22"/>
      <c r="C347" s="180"/>
      <c r="D347" s="180"/>
    </row>
    <row r="348" spans="1:4" ht="15.75">
      <c r="A348" s="22"/>
      <c r="B348" s="22"/>
      <c r="C348" s="180"/>
      <c r="D348" s="180"/>
    </row>
    <row r="349" spans="1:4" ht="15.75">
      <c r="A349" s="22"/>
      <c r="B349" s="22"/>
      <c r="C349" s="180"/>
      <c r="D349" s="180"/>
    </row>
    <row r="350" spans="1:4" ht="15.75">
      <c r="A350" s="22"/>
      <c r="B350" s="22"/>
      <c r="C350" s="180"/>
      <c r="D350" s="180"/>
    </row>
    <row r="351" spans="1:4" ht="15.75">
      <c r="A351" s="22"/>
      <c r="B351" s="22"/>
      <c r="C351" s="180"/>
      <c r="D351" s="180"/>
    </row>
    <row r="352" spans="1:4" ht="15.75">
      <c r="A352" s="22"/>
      <c r="B352" s="22"/>
      <c r="C352" s="180"/>
      <c r="D352" s="180"/>
    </row>
    <row r="353" spans="1:4" ht="15.75">
      <c r="A353" s="22"/>
      <c r="B353" s="22"/>
      <c r="C353" s="180"/>
      <c r="D353" s="180"/>
    </row>
    <row r="354" spans="1:4" ht="15.75">
      <c r="A354" s="22"/>
      <c r="B354" s="22"/>
      <c r="C354" s="180"/>
      <c r="D354" s="180"/>
    </row>
    <row r="355" spans="1:4" ht="15.75">
      <c r="A355" s="22"/>
      <c r="B355" s="22"/>
      <c r="C355" s="180"/>
      <c r="D355" s="180"/>
    </row>
    <row r="356" spans="1:4" ht="15.75">
      <c r="A356" s="22"/>
      <c r="B356" s="22"/>
      <c r="C356" s="180"/>
      <c r="D356" s="180"/>
    </row>
    <row r="357" spans="1:4" ht="15.75">
      <c r="A357" s="22"/>
      <c r="B357" s="22"/>
      <c r="C357" s="180"/>
      <c r="D357" s="180"/>
    </row>
    <row r="358" spans="1:4" ht="15.75">
      <c r="A358" s="22"/>
      <c r="B358" s="22"/>
      <c r="C358" s="180"/>
      <c r="D358" s="180"/>
    </row>
    <row r="359" spans="1:4" ht="15.75">
      <c r="A359" s="22"/>
      <c r="B359" s="22"/>
      <c r="C359" s="180"/>
      <c r="D359" s="180"/>
    </row>
    <row r="360" spans="1:4" ht="15.75">
      <c r="A360" s="22"/>
      <c r="B360" s="22"/>
      <c r="C360" s="180"/>
      <c r="D360" s="180"/>
    </row>
    <row r="361" spans="1:4" ht="15.75">
      <c r="A361" s="22"/>
      <c r="B361" s="22"/>
      <c r="C361" s="180"/>
      <c r="D361" s="180"/>
    </row>
    <row r="362" spans="1:4" ht="15.75">
      <c r="A362" s="22"/>
      <c r="B362" s="22"/>
      <c r="C362" s="180"/>
      <c r="D362" s="180"/>
    </row>
    <row r="363" spans="1:4" ht="15.75">
      <c r="A363" s="22"/>
      <c r="B363" s="22"/>
      <c r="C363" s="180"/>
      <c r="D363" s="180"/>
    </row>
    <row r="364" spans="1:4" ht="15.75">
      <c r="A364" s="22"/>
      <c r="B364" s="22"/>
      <c r="C364" s="180"/>
      <c r="D364" s="180"/>
    </row>
    <row r="365" spans="1:4" ht="15.75">
      <c r="A365" s="22"/>
      <c r="B365" s="22"/>
      <c r="C365" s="180"/>
      <c r="D365" s="180"/>
    </row>
    <row r="366" spans="1:4" ht="15.75">
      <c r="A366" s="22"/>
      <c r="B366" s="22"/>
      <c r="C366" s="180"/>
      <c r="D366" s="180"/>
    </row>
    <row r="367" spans="1:4" ht="15.75">
      <c r="A367" s="22"/>
      <c r="B367" s="22"/>
      <c r="C367" s="180"/>
      <c r="D367" s="180"/>
    </row>
    <row r="368" spans="1:4" ht="15.75">
      <c r="A368" s="22"/>
      <c r="B368" s="22"/>
      <c r="C368" s="180"/>
      <c r="D368" s="180"/>
    </row>
    <row r="369" spans="1:4" ht="15.75">
      <c r="A369" s="22"/>
      <c r="B369" s="22"/>
      <c r="C369" s="180"/>
      <c r="D369" s="180"/>
    </row>
    <row r="370" spans="1:4" ht="15.75">
      <c r="A370" s="22"/>
      <c r="B370" s="22"/>
      <c r="C370" s="180"/>
      <c r="D370" s="180"/>
    </row>
    <row r="371" spans="1:4" ht="15.75">
      <c r="A371" s="22"/>
      <c r="B371" s="22"/>
      <c r="C371" s="180"/>
      <c r="D371" s="180"/>
    </row>
    <row r="372" spans="1:4" ht="15.75">
      <c r="A372" s="22"/>
      <c r="B372" s="22"/>
      <c r="C372" s="180"/>
      <c r="D372" s="180"/>
    </row>
    <row r="373" spans="1:4" ht="15.75">
      <c r="A373" s="22"/>
      <c r="B373" s="22"/>
      <c r="C373" s="180"/>
      <c r="D373" s="180"/>
    </row>
    <row r="374" spans="1:4" ht="15.75">
      <c r="A374" s="22"/>
      <c r="B374" s="22"/>
      <c r="C374" s="180"/>
      <c r="D374" s="180"/>
    </row>
    <row r="375" spans="1:4" ht="15.75">
      <c r="A375" s="22"/>
      <c r="B375" s="22"/>
      <c r="C375" s="180"/>
      <c r="D375" s="180"/>
    </row>
    <row r="376" spans="1:4" ht="15.75">
      <c r="A376" s="22"/>
      <c r="B376" s="22"/>
      <c r="C376" s="180"/>
      <c r="D376" s="180"/>
    </row>
    <row r="377" spans="1:4" ht="15.75">
      <c r="A377" s="22"/>
      <c r="B377" s="22"/>
      <c r="C377" s="180"/>
      <c r="D377" s="180"/>
    </row>
    <row r="378" spans="1:4" ht="15.75">
      <c r="A378" s="22"/>
      <c r="B378" s="22"/>
      <c r="C378" s="180"/>
      <c r="D378" s="180"/>
    </row>
    <row r="379" spans="1:4" ht="15.75">
      <c r="A379" s="22"/>
      <c r="B379" s="22"/>
      <c r="C379" s="180"/>
      <c r="D379" s="180"/>
    </row>
    <row r="380" spans="1:4" ht="15.75">
      <c r="A380" s="22"/>
      <c r="B380" s="22"/>
      <c r="C380" s="180"/>
      <c r="D380" s="180"/>
    </row>
    <row r="381" spans="1:4" ht="15.75">
      <c r="A381" s="22"/>
      <c r="B381" s="22"/>
      <c r="C381" s="180"/>
      <c r="D381" s="180"/>
    </row>
    <row r="382" spans="1:4" ht="15.75">
      <c r="A382" s="22"/>
      <c r="B382" s="22"/>
      <c r="C382" s="180"/>
      <c r="D382" s="180"/>
    </row>
    <row r="383" spans="1:4" ht="15.75">
      <c r="A383" s="22"/>
      <c r="B383" s="22"/>
      <c r="C383" s="180"/>
      <c r="D383" s="180"/>
    </row>
    <row r="384" spans="1:4" ht="15.75">
      <c r="A384" s="22"/>
      <c r="B384" s="22"/>
      <c r="C384" s="180"/>
      <c r="D384" s="180"/>
    </row>
    <row r="385" spans="1:4" ht="15.75">
      <c r="A385" s="22"/>
      <c r="B385" s="22"/>
      <c r="C385" s="180"/>
      <c r="D385" s="180"/>
    </row>
    <row r="386" spans="1:4" ht="15.75">
      <c r="A386" s="22"/>
      <c r="B386" s="22"/>
      <c r="C386" s="180"/>
      <c r="D386" s="180"/>
    </row>
    <row r="387" spans="1:4" ht="15.75">
      <c r="A387" s="22"/>
      <c r="B387" s="22"/>
      <c r="C387" s="180"/>
      <c r="D387" s="180"/>
    </row>
    <row r="388" spans="1:4" ht="15.75">
      <c r="A388" s="22"/>
      <c r="B388" s="22"/>
      <c r="C388" s="180"/>
      <c r="D388" s="180"/>
    </row>
    <row r="389" spans="1:4" ht="15.75">
      <c r="A389" s="22"/>
      <c r="B389" s="22"/>
      <c r="C389" s="180"/>
      <c r="D389" s="180"/>
    </row>
    <row r="390" spans="1:4" ht="15.75">
      <c r="A390" s="22"/>
      <c r="B390" s="22"/>
      <c r="C390" s="180"/>
      <c r="D390" s="180"/>
    </row>
    <row r="391" spans="1:4" ht="15.75">
      <c r="A391" s="22"/>
      <c r="B391" s="22"/>
      <c r="C391" s="180"/>
      <c r="D391" s="180"/>
    </row>
    <row r="392" spans="1:4" ht="15.75">
      <c r="A392" s="22"/>
      <c r="B392" s="22"/>
      <c r="C392" s="180"/>
      <c r="D392" s="180"/>
    </row>
    <row r="393" spans="1:4" ht="15.75">
      <c r="A393" s="22"/>
      <c r="B393" s="22"/>
      <c r="C393" s="180"/>
      <c r="D393" s="180"/>
    </row>
    <row r="394" spans="1:4" ht="15.75">
      <c r="A394" s="22"/>
      <c r="B394" s="22"/>
      <c r="C394" s="180"/>
      <c r="D394" s="180"/>
    </row>
    <row r="395" spans="1:4" ht="15.75">
      <c r="A395" s="22"/>
      <c r="B395" s="22"/>
      <c r="C395" s="180"/>
      <c r="D395" s="180"/>
    </row>
    <row r="396" spans="1:4" ht="15.75">
      <c r="A396" s="22"/>
      <c r="B396" s="22"/>
      <c r="C396" s="180"/>
      <c r="D396" s="180"/>
    </row>
    <row r="397" spans="1:4" ht="15.75">
      <c r="A397" s="22"/>
      <c r="B397" s="22"/>
      <c r="C397" s="180"/>
      <c r="D397" s="180"/>
    </row>
    <row r="398" spans="1:4" ht="15.75">
      <c r="A398" s="22"/>
      <c r="B398" s="22"/>
      <c r="C398" s="180"/>
      <c r="D398" s="180"/>
    </row>
    <row r="399" spans="1:4" ht="15.75">
      <c r="A399" s="22"/>
      <c r="B399" s="22"/>
      <c r="C399" s="180"/>
      <c r="D399" s="180"/>
    </row>
    <row r="400" spans="1:4" ht="15.75">
      <c r="A400" s="22"/>
      <c r="B400" s="22"/>
      <c r="C400" s="180"/>
      <c r="D400" s="180"/>
    </row>
    <row r="401" spans="1:4" ht="15.75">
      <c r="A401" s="22"/>
      <c r="B401" s="22"/>
      <c r="C401" s="180"/>
      <c r="D401" s="180"/>
    </row>
    <row r="402" spans="1:4" ht="15.75">
      <c r="A402" s="22"/>
      <c r="B402" s="22"/>
      <c r="C402" s="180"/>
      <c r="D402" s="180"/>
    </row>
    <row r="403" spans="1:4" ht="15.75">
      <c r="A403" s="22"/>
      <c r="B403" s="22"/>
      <c r="C403" s="180"/>
      <c r="D403" s="180"/>
    </row>
    <row r="404" spans="1:4" ht="15.75">
      <c r="A404" s="22"/>
      <c r="B404" s="22"/>
      <c r="C404" s="180"/>
      <c r="D404" s="180"/>
    </row>
    <row r="405" spans="1:4" ht="15.75">
      <c r="A405" s="22"/>
      <c r="B405" s="22"/>
      <c r="C405" s="180"/>
      <c r="D405" s="180"/>
    </row>
    <row r="406" spans="1:4" ht="15.75">
      <c r="A406" s="22"/>
      <c r="B406" s="22"/>
      <c r="C406" s="180"/>
      <c r="D406" s="180"/>
    </row>
    <row r="407" spans="1:4" ht="15.75">
      <c r="A407" s="22"/>
      <c r="B407" s="22"/>
      <c r="C407" s="180"/>
      <c r="D407" s="180"/>
    </row>
    <row r="408" spans="1:4" ht="15.75">
      <c r="A408" s="22"/>
      <c r="B408" s="22"/>
      <c r="C408" s="180"/>
      <c r="D408" s="180"/>
    </row>
    <row r="409" spans="1:4" ht="15.75">
      <c r="A409" s="22"/>
      <c r="B409" s="22"/>
      <c r="C409" s="180"/>
      <c r="D409" s="180"/>
    </row>
    <row r="410" spans="1:4" ht="15.75">
      <c r="A410" s="22"/>
      <c r="B410" s="22"/>
      <c r="C410" s="180"/>
      <c r="D410" s="180"/>
    </row>
    <row r="411" spans="1:4" ht="15.75">
      <c r="A411" s="22"/>
      <c r="B411" s="22"/>
      <c r="C411" s="180"/>
      <c r="D411" s="180"/>
    </row>
    <row r="412" spans="1:4" ht="15.75">
      <c r="A412" s="22"/>
      <c r="B412" s="22"/>
      <c r="C412" s="180"/>
      <c r="D412" s="180"/>
    </row>
    <row r="413" spans="1:4" ht="15.75">
      <c r="A413" s="22"/>
      <c r="B413" s="22"/>
      <c r="C413" s="180"/>
      <c r="D413" s="180"/>
    </row>
    <row r="414" spans="1:4" ht="15.75">
      <c r="A414" s="22"/>
      <c r="B414" s="22"/>
      <c r="C414" s="180"/>
      <c r="D414" s="180"/>
    </row>
    <row r="415" spans="1:4" ht="15.75">
      <c r="A415" s="22"/>
      <c r="B415" s="22"/>
      <c r="C415" s="180"/>
      <c r="D415" s="180"/>
    </row>
    <row r="416" spans="1:4" ht="15.75">
      <c r="A416" s="22"/>
      <c r="B416" s="22"/>
      <c r="C416" s="180"/>
      <c r="D416" s="180"/>
    </row>
    <row r="417" spans="1:4" ht="15.75">
      <c r="A417" s="22"/>
      <c r="B417" s="22"/>
      <c r="C417" s="180"/>
      <c r="D417" s="180"/>
    </row>
    <row r="418" spans="1:4" ht="15.75">
      <c r="A418" s="22"/>
      <c r="B418" s="22"/>
      <c r="C418" s="180"/>
      <c r="D418" s="180"/>
    </row>
    <row r="419" spans="1:4" ht="15.75">
      <c r="A419" s="22"/>
      <c r="B419" s="22"/>
      <c r="C419" s="180"/>
      <c r="D419" s="180"/>
    </row>
    <row r="420" spans="1:4" ht="15.75">
      <c r="A420" s="22"/>
      <c r="B420" s="22"/>
      <c r="C420" s="180"/>
      <c r="D420" s="180"/>
    </row>
    <row r="421" spans="1:4" ht="15.75">
      <c r="A421" s="22"/>
      <c r="B421" s="22"/>
      <c r="C421" s="180"/>
      <c r="D421" s="180"/>
    </row>
    <row r="422" spans="1:4" ht="15.75">
      <c r="A422" s="22"/>
      <c r="B422" s="22"/>
      <c r="C422" s="180"/>
      <c r="D422" s="180"/>
    </row>
    <row r="423" spans="1:4" ht="15.75">
      <c r="A423" s="22"/>
      <c r="B423" s="22"/>
      <c r="C423" s="180"/>
      <c r="D423" s="180"/>
    </row>
    <row r="424" spans="1:4" ht="15.75">
      <c r="A424" s="22"/>
      <c r="B424" s="22"/>
      <c r="C424" s="180"/>
      <c r="D424" s="180"/>
    </row>
    <row r="425" spans="1:4" ht="15.75">
      <c r="A425" s="22"/>
      <c r="B425" s="22"/>
      <c r="C425" s="180"/>
      <c r="D425" s="180"/>
    </row>
    <row r="426" spans="1:4" ht="15.75">
      <c r="A426" s="22"/>
      <c r="B426" s="22"/>
      <c r="C426" s="180"/>
      <c r="D426" s="180"/>
    </row>
    <row r="427" spans="1:4" ht="15.75">
      <c r="A427" s="22"/>
      <c r="B427" s="22"/>
      <c r="C427" s="180"/>
      <c r="D427" s="180"/>
    </row>
    <row r="428" spans="1:4" ht="15.75">
      <c r="A428" s="22"/>
      <c r="B428" s="22"/>
      <c r="C428" s="180"/>
      <c r="D428" s="180"/>
    </row>
    <row r="429" spans="1:4" ht="15.75">
      <c r="A429" s="22"/>
      <c r="B429" s="22"/>
      <c r="C429" s="180"/>
      <c r="D429" s="180"/>
    </row>
    <row r="430" spans="1:4" ht="15.75">
      <c r="A430" s="22"/>
      <c r="B430" s="22"/>
      <c r="C430" s="180"/>
      <c r="D430" s="180"/>
    </row>
    <row r="431" spans="1:4" ht="15.75">
      <c r="A431" s="22"/>
      <c r="B431" s="22"/>
      <c r="C431" s="180"/>
      <c r="D431" s="180"/>
    </row>
    <row r="432" spans="1:4" ht="15.75">
      <c r="A432" s="22"/>
      <c r="B432" s="22"/>
      <c r="C432" s="180"/>
      <c r="D432" s="180"/>
    </row>
    <row r="433" spans="1:4" ht="15.75">
      <c r="A433" s="22"/>
      <c r="B433" s="22"/>
      <c r="C433" s="180"/>
      <c r="D433" s="180"/>
    </row>
    <row r="434" spans="1:4" ht="15.75">
      <c r="A434" s="22"/>
      <c r="B434" s="22"/>
      <c r="C434" s="180"/>
      <c r="D434" s="180"/>
    </row>
    <row r="435" spans="1:4" ht="15.75">
      <c r="A435" s="22"/>
      <c r="B435" s="22"/>
      <c r="C435" s="180"/>
      <c r="D435" s="180"/>
    </row>
    <row r="436" spans="1:4" ht="15.75">
      <c r="A436" s="22"/>
      <c r="B436" s="22"/>
      <c r="C436" s="180"/>
      <c r="D436" s="180"/>
    </row>
    <row r="437" spans="1:4" ht="15.75">
      <c r="A437" s="22"/>
      <c r="B437" s="22"/>
      <c r="C437" s="180"/>
      <c r="D437" s="180"/>
    </row>
    <row r="438" spans="1:4" ht="15.75">
      <c r="A438" s="22"/>
      <c r="B438" s="22"/>
      <c r="C438" s="180"/>
      <c r="D438" s="180"/>
    </row>
    <row r="439" spans="1:4" ht="15.75">
      <c r="A439" s="22"/>
      <c r="B439" s="22"/>
      <c r="C439" s="180"/>
      <c r="D439" s="180"/>
    </row>
    <row r="440" spans="1:4" ht="15.75">
      <c r="A440" s="22"/>
      <c r="B440" s="22"/>
      <c r="C440" s="180"/>
      <c r="D440" s="180"/>
    </row>
    <row r="441" spans="1:4" ht="15.75">
      <c r="A441" s="22"/>
      <c r="B441" s="22"/>
      <c r="C441" s="180"/>
      <c r="D441" s="180"/>
    </row>
    <row r="442" spans="1:4" ht="15.75">
      <c r="A442" s="22"/>
      <c r="B442" s="22"/>
      <c r="C442" s="180"/>
      <c r="D442" s="180"/>
    </row>
    <row r="443" spans="1:4" ht="15.75">
      <c r="A443" s="22"/>
      <c r="B443" s="22"/>
      <c r="C443" s="180"/>
      <c r="D443" s="180"/>
    </row>
    <row r="444" spans="1:4" ht="15.75">
      <c r="A444" s="22"/>
      <c r="B444" s="22"/>
      <c r="C444" s="180"/>
      <c r="D444" s="180"/>
    </row>
    <row r="445" spans="1:4" ht="15.75">
      <c r="A445" s="22"/>
      <c r="B445" s="22"/>
      <c r="C445" s="180"/>
      <c r="D445" s="180"/>
    </row>
    <row r="446" spans="1:4" ht="15.75">
      <c r="A446" s="22"/>
      <c r="B446" s="22"/>
      <c r="C446" s="180"/>
      <c r="D446" s="180"/>
    </row>
    <row r="447" spans="1:4" ht="15.75">
      <c r="A447" s="22"/>
      <c r="B447" s="22"/>
      <c r="C447" s="180"/>
      <c r="D447" s="180"/>
    </row>
    <row r="448" spans="1:4" ht="15.75">
      <c r="A448" s="22"/>
      <c r="B448" s="22"/>
      <c r="C448" s="180"/>
      <c r="D448" s="180"/>
    </row>
    <row r="449" spans="1:4" ht="15.75">
      <c r="A449" s="22"/>
      <c r="B449" s="22"/>
      <c r="C449" s="180"/>
      <c r="D449" s="180"/>
    </row>
    <row r="450" spans="1:4" ht="15.75">
      <c r="A450" s="22"/>
      <c r="B450" s="22"/>
      <c r="C450" s="180"/>
      <c r="D450" s="180"/>
    </row>
    <row r="451" spans="1:4" ht="15.75">
      <c r="A451" s="22"/>
      <c r="B451" s="22"/>
      <c r="C451" s="180"/>
      <c r="D451" s="180"/>
    </row>
    <row r="452" spans="1:4" ht="15.75">
      <c r="A452" s="22"/>
      <c r="B452" s="22"/>
      <c r="C452" s="180"/>
      <c r="D452" s="180"/>
    </row>
    <row r="453" spans="1:4" ht="15.75">
      <c r="A453" s="22"/>
      <c r="B453" s="22"/>
      <c r="C453" s="180"/>
      <c r="D453" s="180"/>
    </row>
    <row r="454" spans="1:4" ht="15.75">
      <c r="A454" s="22"/>
      <c r="B454" s="22"/>
      <c r="C454" s="180"/>
      <c r="D454" s="180"/>
    </row>
    <row r="455" spans="1:4" ht="15.75">
      <c r="A455" s="22"/>
      <c r="B455" s="22"/>
      <c r="C455" s="180"/>
      <c r="D455" s="180"/>
    </row>
    <row r="456" spans="1:4" ht="15.75">
      <c r="A456" s="22"/>
      <c r="B456" s="22"/>
      <c r="C456" s="180"/>
      <c r="D456" s="180"/>
    </row>
    <row r="457" spans="1:4" ht="15.75">
      <c r="A457" s="22"/>
      <c r="B457" s="22"/>
      <c r="C457" s="180"/>
      <c r="D457" s="180"/>
    </row>
    <row r="458" spans="1:4" ht="15.75">
      <c r="A458" s="22"/>
      <c r="B458" s="22"/>
      <c r="C458" s="180"/>
      <c r="D458" s="180"/>
    </row>
    <row r="459" spans="1:4" ht="15.75">
      <c r="A459" s="22"/>
      <c r="B459" s="22"/>
      <c r="C459" s="180"/>
      <c r="D459" s="180"/>
    </row>
    <row r="460" spans="1:4" ht="15.75">
      <c r="A460" s="22"/>
      <c r="B460" s="22"/>
      <c r="C460" s="180"/>
      <c r="D460" s="180"/>
    </row>
    <row r="461" spans="1:4" ht="15.75">
      <c r="A461" s="22"/>
      <c r="B461" s="22"/>
      <c r="C461" s="180"/>
      <c r="D461" s="180"/>
    </row>
    <row r="462" spans="1:4" ht="15.75">
      <c r="A462" s="22"/>
      <c r="B462" s="22"/>
      <c r="C462" s="180"/>
      <c r="D462" s="180"/>
    </row>
    <row r="463" spans="1:4" ht="15.75">
      <c r="A463" s="22"/>
      <c r="B463" s="22"/>
      <c r="C463" s="180"/>
      <c r="D463" s="180"/>
    </row>
    <row r="464" spans="1:4" ht="15.75">
      <c r="A464" s="22"/>
      <c r="B464" s="22"/>
      <c r="C464" s="180"/>
      <c r="D464" s="180"/>
    </row>
    <row r="465" spans="1:4" ht="15.75">
      <c r="A465" s="22"/>
      <c r="B465" s="22"/>
      <c r="C465" s="180"/>
      <c r="D465" s="180"/>
    </row>
    <row r="466" spans="1:4" ht="15.75">
      <c r="A466" s="22"/>
      <c r="B466" s="22"/>
      <c r="C466" s="180"/>
      <c r="D466" s="180"/>
    </row>
    <row r="467" spans="1:4" ht="15.75">
      <c r="A467" s="22"/>
      <c r="B467" s="22"/>
      <c r="C467" s="180"/>
      <c r="D467" s="180"/>
    </row>
    <row r="468" spans="1:4" ht="15.75">
      <c r="A468" s="22"/>
      <c r="B468" s="22"/>
      <c r="C468" s="180"/>
      <c r="D468" s="180"/>
    </row>
    <row r="469" spans="1:4" ht="15.75">
      <c r="A469" s="22"/>
      <c r="B469" s="22"/>
      <c r="C469" s="180"/>
      <c r="D469" s="180"/>
    </row>
    <row r="470" spans="1:4" ht="15.75">
      <c r="A470" s="22"/>
      <c r="B470" s="22"/>
      <c r="C470" s="180"/>
      <c r="D470" s="180"/>
    </row>
    <row r="471" spans="1:4" ht="15.75">
      <c r="A471" s="22"/>
      <c r="B471" s="22"/>
      <c r="C471" s="180"/>
      <c r="D471" s="180"/>
    </row>
    <row r="472" spans="1:4" ht="15.75">
      <c r="A472" s="22"/>
      <c r="B472" s="22"/>
      <c r="C472" s="180"/>
      <c r="D472" s="180"/>
    </row>
    <row r="473" spans="1:4" ht="15.75">
      <c r="A473" s="22"/>
      <c r="B473" s="22"/>
      <c r="C473" s="180"/>
      <c r="D473" s="180"/>
    </row>
    <row r="474" spans="1:4" ht="15.75">
      <c r="A474" s="22"/>
      <c r="B474" s="22"/>
      <c r="C474" s="180"/>
      <c r="D474" s="180"/>
    </row>
    <row r="475" spans="1:4" ht="15.75">
      <c r="A475" s="22"/>
      <c r="B475" s="22"/>
      <c r="C475" s="180"/>
      <c r="D475" s="180"/>
    </row>
    <row r="476" spans="1:4" ht="15.75">
      <c r="A476" s="22"/>
      <c r="B476" s="22"/>
      <c r="C476" s="180"/>
      <c r="D476" s="180"/>
    </row>
    <row r="477" spans="1:4" ht="15.75">
      <c r="A477" s="22"/>
      <c r="B477" s="22"/>
      <c r="C477" s="180"/>
      <c r="D477" s="180"/>
    </row>
    <row r="478" spans="1:4" ht="15.75">
      <c r="A478" s="22"/>
      <c r="B478" s="22"/>
      <c r="C478" s="180"/>
      <c r="D478" s="180"/>
    </row>
    <row r="479" spans="1:4" ht="15.75">
      <c r="A479" s="22"/>
      <c r="B479" s="22"/>
      <c r="C479" s="180"/>
      <c r="D479" s="180"/>
    </row>
    <row r="480" spans="1:4" ht="15.75">
      <c r="A480" s="22"/>
      <c r="B480" s="22"/>
      <c r="C480" s="180"/>
      <c r="D480" s="180"/>
    </row>
    <row r="481" spans="1:4" ht="15.75">
      <c r="A481" s="22"/>
      <c r="B481" s="22"/>
      <c r="C481" s="180"/>
      <c r="D481" s="180"/>
    </row>
    <row r="482" spans="1:4" ht="15.75">
      <c r="A482" s="22"/>
      <c r="B482" s="22"/>
      <c r="C482" s="180"/>
      <c r="D482" s="180"/>
    </row>
    <row r="483" spans="1:4" ht="15.75">
      <c r="A483" s="22"/>
      <c r="B483" s="22"/>
      <c r="C483" s="180"/>
      <c r="D483" s="180"/>
    </row>
    <row r="484" spans="1:4" ht="15.75">
      <c r="A484" s="22"/>
      <c r="B484" s="22"/>
      <c r="C484" s="180"/>
      <c r="D484" s="180"/>
    </row>
    <row r="485" spans="1:4" ht="15.75">
      <c r="A485" s="22"/>
      <c r="B485" s="22"/>
      <c r="C485" s="180"/>
      <c r="D485" s="180"/>
    </row>
    <row r="486" spans="1:4" ht="15.75">
      <c r="A486" s="22"/>
      <c r="B486" s="22"/>
      <c r="C486" s="180"/>
      <c r="D486" s="180"/>
    </row>
    <row r="487" spans="1:4" ht="15.75">
      <c r="A487" s="22"/>
      <c r="B487" s="22"/>
      <c r="C487" s="180"/>
      <c r="D487" s="180"/>
    </row>
    <row r="488" spans="1:4" ht="15.75">
      <c r="A488" s="22"/>
      <c r="B488" s="22"/>
      <c r="C488" s="180"/>
      <c r="D488" s="180"/>
    </row>
    <row r="489" spans="1:4" ht="15.75">
      <c r="A489" s="22"/>
      <c r="B489" s="22"/>
      <c r="C489" s="180"/>
      <c r="D489" s="180"/>
    </row>
    <row r="490" spans="1:4" ht="15.75">
      <c r="A490" s="22"/>
      <c r="B490" s="22"/>
      <c r="C490" s="180"/>
      <c r="D490" s="180"/>
    </row>
    <row r="491" spans="1:4" ht="15.75">
      <c r="A491" s="22"/>
      <c r="B491" s="22"/>
      <c r="C491" s="180"/>
      <c r="D491" s="180"/>
    </row>
    <row r="492" spans="1:4" ht="15.75">
      <c r="A492" s="22"/>
      <c r="B492" s="22"/>
      <c r="C492" s="180"/>
      <c r="D492" s="180"/>
    </row>
    <row r="493" spans="1:4" ht="15.75">
      <c r="A493" s="22"/>
      <c r="B493" s="22"/>
      <c r="C493" s="180"/>
      <c r="D493" s="180"/>
    </row>
    <row r="494" spans="1:4" ht="15.75">
      <c r="A494" s="22"/>
      <c r="B494" s="22"/>
      <c r="C494" s="180"/>
      <c r="D494" s="180"/>
    </row>
    <row r="495" spans="1:4" ht="15.75">
      <c r="A495" s="22"/>
      <c r="B495" s="22"/>
      <c r="C495" s="180"/>
      <c r="D495" s="180"/>
    </row>
    <row r="496" spans="1:4" ht="15.75">
      <c r="A496" s="22"/>
      <c r="B496" s="22"/>
      <c r="C496" s="180"/>
      <c r="D496" s="180"/>
    </row>
    <row r="497" spans="1:4" ht="15.75">
      <c r="A497" s="22"/>
      <c r="B497" s="22"/>
      <c r="C497" s="180"/>
      <c r="D497" s="180"/>
    </row>
    <row r="498" spans="1:4" ht="15.75">
      <c r="A498" s="22"/>
      <c r="B498" s="22"/>
      <c r="C498" s="180"/>
      <c r="D498" s="180"/>
    </row>
    <row r="499" spans="1:4" ht="15.75">
      <c r="A499" s="22"/>
      <c r="B499" s="22"/>
      <c r="C499" s="180"/>
      <c r="D499" s="180"/>
    </row>
    <row r="500" spans="1:4" ht="15.75">
      <c r="A500" s="22"/>
      <c r="B500" s="22"/>
      <c r="C500" s="180"/>
      <c r="D500" s="180"/>
    </row>
    <row r="501" spans="1:4" ht="15.75">
      <c r="A501" s="22"/>
      <c r="B501" s="22"/>
      <c r="C501" s="180"/>
      <c r="D501" s="180"/>
    </row>
    <row r="502" spans="1:4" ht="15.75">
      <c r="A502" s="22"/>
      <c r="B502" s="22"/>
      <c r="C502" s="180"/>
      <c r="D502" s="180"/>
    </row>
    <row r="503" spans="1:4" ht="15.75">
      <c r="A503" s="22"/>
      <c r="B503" s="22"/>
      <c r="C503" s="180"/>
      <c r="D503" s="180"/>
    </row>
    <row r="504" spans="1:4" ht="15.75">
      <c r="A504" s="22"/>
      <c r="B504" s="22"/>
      <c r="C504" s="180"/>
      <c r="D504" s="180"/>
    </row>
    <row r="505" spans="1:4" ht="15.75">
      <c r="A505" s="22"/>
      <c r="B505" s="22"/>
      <c r="C505" s="180"/>
      <c r="D505" s="180"/>
    </row>
    <row r="506" spans="1:4" ht="15.75">
      <c r="A506" s="22"/>
      <c r="B506" s="22"/>
      <c r="C506" s="180"/>
      <c r="D506" s="180"/>
    </row>
    <row r="507" spans="1:4" ht="15.75">
      <c r="A507" s="22"/>
      <c r="B507" s="22"/>
      <c r="C507" s="180"/>
      <c r="D507" s="180"/>
    </row>
    <row r="508" spans="1:4" ht="15.75">
      <c r="A508" s="22"/>
      <c r="B508" s="22"/>
      <c r="C508" s="180"/>
      <c r="D508" s="180"/>
    </row>
    <row r="509" spans="1:4" ht="15.75">
      <c r="A509" s="22"/>
      <c r="B509" s="22"/>
      <c r="C509" s="180"/>
      <c r="D509" s="180"/>
    </row>
    <row r="510" spans="1:4" ht="15.75">
      <c r="A510" s="22"/>
      <c r="B510" s="22"/>
      <c r="C510" s="180"/>
      <c r="D510" s="180"/>
    </row>
    <row r="511" spans="1:4" ht="15.75">
      <c r="A511" s="22"/>
      <c r="B511" s="22"/>
      <c r="C511" s="180"/>
      <c r="D511" s="180"/>
    </row>
    <row r="512" spans="1:4" ht="15.75">
      <c r="A512" s="22"/>
      <c r="B512" s="22"/>
      <c r="C512" s="180"/>
      <c r="D512" s="180"/>
    </row>
    <row r="513" spans="1:4" ht="15.75">
      <c r="A513" s="22"/>
      <c r="B513" s="22"/>
      <c r="C513" s="180"/>
      <c r="D513" s="180"/>
    </row>
    <row r="514" spans="1:4" ht="15.75">
      <c r="A514" s="22"/>
      <c r="B514" s="22"/>
      <c r="C514" s="180"/>
      <c r="D514" s="180"/>
    </row>
    <row r="515" spans="1:4" ht="15.75">
      <c r="A515" s="22"/>
      <c r="B515" s="22"/>
      <c r="C515" s="180"/>
      <c r="D515" s="180"/>
    </row>
    <row r="516" spans="1:4" ht="15.75">
      <c r="A516" s="22"/>
      <c r="B516" s="22"/>
      <c r="C516" s="180"/>
      <c r="D516" s="180"/>
    </row>
    <row r="517" spans="1:4" ht="15.75">
      <c r="A517" s="22"/>
      <c r="B517" s="22"/>
      <c r="C517" s="180"/>
      <c r="D517" s="180"/>
    </row>
    <row r="518" spans="1:4" ht="15.75">
      <c r="A518" s="22"/>
      <c r="B518" s="22"/>
      <c r="C518" s="180"/>
      <c r="D518" s="180"/>
    </row>
    <row r="519" spans="1:4" ht="15.75">
      <c r="A519" s="22"/>
      <c r="B519" s="22"/>
      <c r="C519" s="180"/>
      <c r="D519" s="180"/>
    </row>
    <row r="520" spans="1:4" ht="15.75">
      <c r="A520" s="22"/>
      <c r="B520" s="22"/>
      <c r="C520" s="180"/>
      <c r="D520" s="180"/>
    </row>
    <row r="521" spans="1:4" ht="15.75">
      <c r="A521" s="22"/>
      <c r="B521" s="22"/>
      <c r="C521" s="180"/>
      <c r="D521" s="180"/>
    </row>
    <row r="522" spans="1:4" ht="15.75">
      <c r="A522" s="22"/>
      <c r="B522" s="22"/>
      <c r="C522" s="180"/>
      <c r="D522" s="180"/>
    </row>
    <row r="523" spans="1:4" ht="15.75">
      <c r="A523" s="22"/>
      <c r="B523" s="22"/>
      <c r="C523" s="180"/>
      <c r="D523" s="180"/>
    </row>
    <row r="524" spans="1:4" ht="15.75">
      <c r="A524" s="22"/>
      <c r="B524" s="22"/>
      <c r="C524" s="180"/>
      <c r="D524" s="180"/>
    </row>
    <row r="525" spans="1:4" ht="15.75">
      <c r="A525" s="22"/>
      <c r="B525" s="22"/>
      <c r="C525" s="180"/>
      <c r="D525" s="180"/>
    </row>
    <row r="526" spans="1:4" ht="15.75">
      <c r="A526" s="22"/>
      <c r="B526" s="22"/>
      <c r="C526" s="180"/>
      <c r="D526" s="180"/>
    </row>
    <row r="527" spans="1:4" ht="15.75">
      <c r="A527" s="22"/>
      <c r="B527" s="22"/>
      <c r="C527" s="180"/>
      <c r="D527" s="180"/>
    </row>
    <row r="528" spans="1:4" ht="15.75">
      <c r="A528" s="22"/>
      <c r="B528" s="22"/>
      <c r="C528" s="180"/>
      <c r="D528" s="180"/>
    </row>
    <row r="529" spans="1:4" ht="15.75">
      <c r="A529" s="22"/>
      <c r="B529" s="22"/>
      <c r="C529" s="180"/>
      <c r="D529" s="180"/>
    </row>
    <row r="530" spans="1:4" ht="15.75">
      <c r="A530" s="22"/>
      <c r="B530" s="22"/>
      <c r="C530" s="180"/>
      <c r="D530" s="180"/>
    </row>
    <row r="531" spans="1:4" ht="15.75">
      <c r="A531" s="22"/>
      <c r="B531" s="22"/>
      <c r="C531" s="180"/>
      <c r="D531" s="180"/>
    </row>
    <row r="532" spans="1:4" ht="15.75">
      <c r="A532" s="22"/>
      <c r="B532" s="22"/>
      <c r="C532" s="180"/>
      <c r="D532" s="180"/>
    </row>
    <row r="533" spans="1:4" ht="15.75">
      <c r="A533" s="22"/>
      <c r="B533" s="22"/>
      <c r="C533" s="180"/>
      <c r="D533" s="180"/>
    </row>
    <row r="534" spans="1:4" ht="15.75">
      <c r="A534" s="22"/>
      <c r="B534" s="22"/>
      <c r="C534" s="180"/>
      <c r="D534" s="180"/>
    </row>
    <row r="535" spans="1:4" ht="15.75">
      <c r="A535" s="22"/>
      <c r="B535" s="22"/>
      <c r="C535" s="180"/>
      <c r="D535" s="180"/>
    </row>
    <row r="536" spans="1:4" ht="15.75">
      <c r="A536" s="22"/>
      <c r="B536" s="22"/>
      <c r="C536" s="180"/>
      <c r="D536" s="180"/>
    </row>
    <row r="537" spans="1:4" ht="15.75">
      <c r="A537" s="22"/>
      <c r="B537" s="22"/>
      <c r="C537" s="180"/>
      <c r="D537" s="180"/>
    </row>
    <row r="538" spans="1:4" ht="15.75">
      <c r="A538" s="22"/>
      <c r="B538" s="22"/>
      <c r="C538" s="180"/>
      <c r="D538" s="180"/>
    </row>
    <row r="539" spans="1:4" ht="15.75">
      <c r="A539" s="22"/>
      <c r="B539" s="22"/>
      <c r="C539" s="180"/>
      <c r="D539" s="180"/>
    </row>
    <row r="540" spans="1:4" ht="15.75">
      <c r="A540" s="22"/>
      <c r="B540" s="22"/>
      <c r="C540" s="180"/>
      <c r="D540" s="180"/>
    </row>
    <row r="541" spans="1:4" ht="15.75">
      <c r="A541" s="22"/>
      <c r="B541" s="22"/>
      <c r="C541" s="180"/>
      <c r="D541" s="180"/>
    </row>
    <row r="542" spans="1:4" ht="15.75">
      <c r="A542" s="22"/>
      <c r="B542" s="22"/>
      <c r="C542" s="180"/>
      <c r="D542" s="180"/>
    </row>
    <row r="543" spans="1:4" ht="15.75">
      <c r="A543" s="22"/>
      <c r="B543" s="22"/>
      <c r="C543" s="180"/>
      <c r="D543" s="180"/>
    </row>
    <row r="544" spans="1:4" ht="15.75">
      <c r="A544" s="22"/>
      <c r="B544" s="22"/>
      <c r="C544" s="180"/>
      <c r="D544" s="180"/>
    </row>
    <row r="545" spans="1:4" ht="15.75">
      <c r="A545" s="22"/>
      <c r="B545" s="22"/>
      <c r="C545" s="180"/>
      <c r="D545" s="180"/>
    </row>
    <row r="546" spans="1:4" ht="15.75">
      <c r="A546" s="22"/>
      <c r="B546" s="22"/>
      <c r="C546" s="180"/>
      <c r="D546" s="180"/>
    </row>
    <row r="547" spans="1:4" ht="15.75">
      <c r="A547" s="22"/>
      <c r="B547" s="22"/>
      <c r="C547" s="180"/>
      <c r="D547" s="180"/>
    </row>
    <row r="548" spans="1:4" ht="15.75">
      <c r="A548" s="22"/>
      <c r="B548" s="22"/>
      <c r="C548" s="180"/>
      <c r="D548" s="180"/>
    </row>
    <row r="549" spans="1:4" ht="15.75">
      <c r="A549" s="22"/>
      <c r="B549" s="22"/>
      <c r="C549" s="180"/>
      <c r="D549" s="180"/>
    </row>
    <row r="550" spans="1:4" ht="15.75">
      <c r="A550" s="22"/>
      <c r="B550" s="22"/>
      <c r="C550" s="180"/>
      <c r="D550" s="180"/>
    </row>
    <row r="551" spans="1:4" ht="15.75">
      <c r="A551" s="22"/>
      <c r="B551" s="22"/>
      <c r="C551" s="180"/>
      <c r="D551" s="180"/>
    </row>
    <row r="552" spans="1:4" ht="15.75">
      <c r="A552" s="22"/>
      <c r="B552" s="22"/>
      <c r="C552" s="180"/>
      <c r="D552" s="180"/>
    </row>
    <row r="553" spans="1:4" ht="15.75">
      <c r="A553" s="22"/>
      <c r="B553" s="22"/>
      <c r="C553" s="180"/>
      <c r="D553" s="180"/>
    </row>
    <row r="554" spans="1:4" ht="15.75">
      <c r="A554" s="22"/>
      <c r="B554" s="22"/>
      <c r="C554" s="180"/>
      <c r="D554" s="180"/>
    </row>
    <row r="555" spans="1:4" ht="15.75">
      <c r="A555" s="22"/>
      <c r="B555" s="22"/>
      <c r="C555" s="180"/>
      <c r="D555" s="180"/>
    </row>
    <row r="556" spans="1:4" ht="15.75">
      <c r="A556" s="22"/>
      <c r="B556" s="22"/>
      <c r="C556" s="180"/>
      <c r="D556" s="180"/>
    </row>
    <row r="557" spans="1:4" ht="15.75">
      <c r="A557" s="22"/>
      <c r="B557" s="22"/>
      <c r="C557" s="180"/>
      <c r="D557" s="180"/>
    </row>
    <row r="558" spans="1:4" ht="15.75">
      <c r="A558" s="22"/>
      <c r="B558" s="22"/>
      <c r="C558" s="180"/>
      <c r="D558" s="180"/>
    </row>
    <row r="559" spans="1:4" ht="15.75">
      <c r="A559" s="22"/>
      <c r="B559" s="22"/>
      <c r="C559" s="180"/>
      <c r="D559" s="180"/>
    </row>
    <row r="560" spans="1:4" ht="15.75">
      <c r="A560" s="22"/>
      <c r="B560" s="22"/>
      <c r="C560" s="180"/>
      <c r="D560" s="180"/>
    </row>
    <row r="561" spans="1:4" ht="15.75">
      <c r="A561" s="22"/>
      <c r="B561" s="22"/>
      <c r="C561" s="180"/>
      <c r="D561" s="180"/>
    </row>
    <row r="562" spans="1:4" ht="15.75">
      <c r="A562" s="22"/>
      <c r="B562" s="22"/>
      <c r="C562" s="180"/>
      <c r="D562" s="180"/>
    </row>
    <row r="563" spans="1:4" ht="15.75">
      <c r="A563" s="22"/>
      <c r="B563" s="22"/>
      <c r="C563" s="180"/>
      <c r="D563" s="180"/>
    </row>
    <row r="564" spans="1:4" ht="15.75">
      <c r="A564" s="22"/>
      <c r="B564" s="22"/>
      <c r="C564" s="180"/>
      <c r="D564" s="180"/>
    </row>
    <row r="565" spans="1:4" ht="15.75">
      <c r="A565" s="22"/>
      <c r="B565" s="22"/>
      <c r="C565" s="180"/>
      <c r="D565" s="180"/>
    </row>
    <row r="566" spans="1:4" ht="15.75">
      <c r="A566" s="22"/>
      <c r="B566" s="22"/>
      <c r="C566" s="180"/>
      <c r="D566" s="180"/>
    </row>
    <row r="567" spans="1:4" ht="15.75">
      <c r="A567" s="22"/>
      <c r="B567" s="22"/>
      <c r="C567" s="180"/>
      <c r="D567" s="180"/>
    </row>
    <row r="568" spans="1:4" ht="15.75">
      <c r="A568" s="22"/>
      <c r="B568" s="22"/>
      <c r="C568" s="180"/>
      <c r="D568" s="180"/>
    </row>
    <row r="569" spans="1:4" ht="15.75">
      <c r="A569" s="22"/>
      <c r="B569" s="22"/>
      <c r="C569" s="180"/>
      <c r="D569" s="180"/>
    </row>
    <row r="570" spans="1:4" ht="15.75">
      <c r="A570" s="22"/>
      <c r="B570" s="22"/>
      <c r="C570" s="180"/>
      <c r="D570" s="180"/>
    </row>
    <row r="571" spans="1:4" ht="15.75">
      <c r="A571" s="22"/>
      <c r="B571" s="22"/>
      <c r="C571" s="180"/>
      <c r="D571" s="180"/>
    </row>
    <row r="572" spans="1:4" ht="15.75">
      <c r="A572" s="22"/>
      <c r="B572" s="22"/>
      <c r="C572" s="180"/>
      <c r="D572" s="180"/>
    </row>
    <row r="573" spans="1:4" ht="15.75">
      <c r="A573" s="22"/>
      <c r="B573" s="22"/>
      <c r="C573" s="180"/>
      <c r="D573" s="180"/>
    </row>
    <row r="574" spans="1:4" ht="15.75">
      <c r="A574" s="22"/>
      <c r="B574" s="22"/>
      <c r="C574" s="180"/>
      <c r="D574" s="180"/>
    </row>
    <row r="575" spans="1:4" ht="15.75">
      <c r="A575" s="22"/>
      <c r="B575" s="22"/>
      <c r="C575" s="180"/>
      <c r="D575" s="180"/>
    </row>
    <row r="576" spans="1:4" ht="15.75">
      <c r="A576" s="22"/>
      <c r="B576" s="22"/>
      <c r="C576" s="180"/>
      <c r="D576" s="180"/>
    </row>
    <row r="577" spans="1:4" ht="15.75">
      <c r="A577" s="22"/>
      <c r="B577" s="22"/>
      <c r="C577" s="180"/>
      <c r="D577" s="180"/>
    </row>
    <row r="578" spans="1:4" ht="15.75">
      <c r="A578" s="22"/>
      <c r="B578" s="22"/>
      <c r="C578" s="180"/>
      <c r="D578" s="180"/>
    </row>
    <row r="579" spans="1:4" ht="15.75">
      <c r="A579" s="22"/>
      <c r="B579" s="22"/>
      <c r="C579" s="180"/>
      <c r="D579" s="180"/>
    </row>
    <row r="580" spans="1:4" ht="15.75">
      <c r="A580" s="22"/>
      <c r="B580" s="22"/>
      <c r="C580" s="180"/>
      <c r="D580" s="180"/>
    </row>
    <row r="581" spans="1:4" ht="15.75">
      <c r="A581" s="22"/>
      <c r="B581" s="22"/>
      <c r="C581" s="180"/>
      <c r="D581" s="180"/>
    </row>
    <row r="582" spans="1:4" ht="15.75">
      <c r="A582" s="22"/>
      <c r="B582" s="22"/>
      <c r="C582" s="180"/>
      <c r="D582" s="180"/>
    </row>
    <row r="583" spans="1:4" ht="15.75">
      <c r="A583" s="22"/>
      <c r="B583" s="22"/>
      <c r="C583" s="180"/>
      <c r="D583" s="180"/>
    </row>
    <row r="584" spans="1:4" ht="15.75">
      <c r="A584" s="22"/>
      <c r="B584" s="22"/>
      <c r="C584" s="180"/>
      <c r="D584" s="180"/>
    </row>
    <row r="585" spans="1:4" ht="15.75">
      <c r="A585" s="22"/>
      <c r="B585" s="22"/>
      <c r="C585" s="180"/>
      <c r="D585" s="180"/>
    </row>
    <row r="586" spans="1:4" ht="15.75">
      <c r="A586" s="22"/>
      <c r="B586" s="22"/>
      <c r="C586" s="180"/>
      <c r="D586" s="180"/>
    </row>
    <row r="587" spans="1:4" ht="15.75">
      <c r="A587" s="22"/>
      <c r="B587" s="22"/>
      <c r="C587" s="180"/>
      <c r="D587" s="180"/>
    </row>
    <row r="588" spans="1:4" ht="15.75">
      <c r="A588" s="22"/>
      <c r="B588" s="22"/>
      <c r="C588" s="180"/>
      <c r="D588" s="180"/>
    </row>
    <row r="589" spans="1:4" ht="15.75">
      <c r="A589" s="22"/>
      <c r="B589" s="22"/>
      <c r="C589" s="180"/>
      <c r="D589" s="180"/>
    </row>
    <row r="590" spans="1:4" ht="15.75">
      <c r="A590" s="22"/>
      <c r="B590" s="22"/>
      <c r="C590" s="180"/>
      <c r="D590" s="180"/>
    </row>
    <row r="591" spans="1:4" ht="15.75">
      <c r="A591" s="22"/>
      <c r="B591" s="22"/>
      <c r="C591" s="180"/>
      <c r="D591" s="180"/>
    </row>
    <row r="592" spans="1:4" ht="15.75">
      <c r="A592" s="22"/>
      <c r="B592" s="22"/>
      <c r="C592" s="180"/>
      <c r="D592" s="180"/>
    </row>
    <row r="593" spans="1:4" ht="15.75">
      <c r="A593" s="22"/>
      <c r="B593" s="22"/>
      <c r="C593" s="180"/>
      <c r="D593" s="180"/>
    </row>
    <row r="594" spans="1:4" ht="15.75">
      <c r="A594" s="22"/>
      <c r="B594" s="22"/>
      <c r="C594" s="180"/>
      <c r="D594" s="180"/>
    </row>
    <row r="595" spans="1:4" ht="15.75">
      <c r="A595" s="22"/>
      <c r="B595" s="22"/>
      <c r="C595" s="180"/>
      <c r="D595" s="180"/>
    </row>
    <row r="596" spans="1:4" ht="15.75">
      <c r="A596" s="22"/>
      <c r="B596" s="22"/>
      <c r="C596" s="180"/>
      <c r="D596" s="180"/>
    </row>
    <row r="597" spans="1:4" ht="15.75">
      <c r="A597" s="22"/>
      <c r="B597" s="22"/>
      <c r="C597" s="180"/>
      <c r="D597" s="180"/>
    </row>
    <row r="598" spans="1:4" ht="15.75">
      <c r="A598" s="22"/>
      <c r="B598" s="22"/>
      <c r="C598" s="180"/>
      <c r="D598" s="180"/>
    </row>
    <row r="599" spans="1:4" ht="15.75">
      <c r="A599" s="22"/>
      <c r="B599" s="22"/>
      <c r="C599" s="180"/>
      <c r="D599" s="180"/>
    </row>
    <row r="600" spans="1:4" ht="15.75">
      <c r="A600" s="22"/>
      <c r="B600" s="22"/>
      <c r="C600" s="180"/>
      <c r="D600" s="180"/>
    </row>
    <row r="601" spans="1:4" ht="15.75">
      <c r="A601" s="22"/>
      <c r="B601" s="22"/>
      <c r="C601" s="180"/>
      <c r="D601" s="180"/>
    </row>
    <row r="602" spans="1:4" ht="15.75">
      <c r="A602" s="22"/>
      <c r="B602" s="22"/>
      <c r="C602" s="180"/>
      <c r="D602" s="180"/>
    </row>
    <row r="603" spans="1:4" ht="15.75">
      <c r="A603" s="22"/>
      <c r="B603" s="22"/>
      <c r="C603" s="180"/>
      <c r="D603" s="180"/>
    </row>
    <row r="604" spans="1:4" ht="15.75">
      <c r="A604" s="22"/>
      <c r="B604" s="22"/>
      <c r="C604" s="180"/>
      <c r="D604" s="180"/>
    </row>
    <row r="605" spans="1:4" ht="15.75">
      <c r="A605" s="22"/>
      <c r="B605" s="22"/>
      <c r="C605" s="180"/>
      <c r="D605" s="180"/>
    </row>
    <row r="606" spans="1:4" ht="15.75">
      <c r="A606" s="22"/>
      <c r="B606" s="22"/>
      <c r="C606" s="180"/>
      <c r="D606" s="180"/>
    </row>
    <row r="607" spans="1:4" ht="15.75">
      <c r="A607" s="22"/>
      <c r="B607" s="22"/>
      <c r="C607" s="180"/>
      <c r="D607" s="180"/>
    </row>
    <row r="608" spans="1:4" ht="15.75">
      <c r="A608" s="22"/>
      <c r="B608" s="22"/>
      <c r="C608" s="180"/>
      <c r="D608" s="180"/>
    </row>
    <row r="609" spans="1:4" ht="15.75">
      <c r="A609" s="22"/>
      <c r="B609" s="22"/>
      <c r="C609" s="180"/>
      <c r="D609" s="180"/>
    </row>
    <row r="610" spans="1:4" ht="15.75">
      <c r="A610" s="22"/>
      <c r="B610" s="22"/>
      <c r="C610" s="180"/>
      <c r="D610" s="180"/>
    </row>
    <row r="611" spans="1:4" ht="15.75">
      <c r="A611" s="22"/>
      <c r="B611" s="22"/>
      <c r="C611" s="180"/>
      <c r="D611" s="180"/>
    </row>
    <row r="612" spans="1:4" ht="15.75">
      <c r="A612" s="22"/>
      <c r="B612" s="22"/>
      <c r="C612" s="180"/>
      <c r="D612" s="180"/>
    </row>
    <row r="613" spans="1:4" ht="15.75">
      <c r="A613" s="22"/>
      <c r="B613" s="22"/>
      <c r="C613" s="180"/>
      <c r="D613" s="180"/>
    </row>
    <row r="614" spans="1:4" ht="15.75">
      <c r="A614" s="22"/>
      <c r="B614" s="22"/>
      <c r="C614" s="180"/>
      <c r="D614" s="180"/>
    </row>
    <row r="615" spans="1:4" ht="15.75">
      <c r="A615" s="22"/>
      <c r="B615" s="22"/>
      <c r="C615" s="180"/>
      <c r="D615" s="180"/>
    </row>
    <row r="616" spans="1:4" ht="15.75">
      <c r="A616" s="22"/>
      <c r="B616" s="22"/>
      <c r="C616" s="180"/>
      <c r="D616" s="180"/>
    </row>
    <row r="617" spans="1:4" ht="15.75">
      <c r="A617" s="22"/>
      <c r="B617" s="22"/>
      <c r="C617" s="180"/>
      <c r="D617" s="180"/>
    </row>
    <row r="618" spans="1:4" ht="15.75">
      <c r="A618" s="22"/>
      <c r="B618" s="22"/>
      <c r="C618" s="180"/>
      <c r="D618" s="180"/>
    </row>
    <row r="619" spans="1:4" ht="15.75">
      <c r="A619" s="22"/>
      <c r="B619" s="22"/>
      <c r="C619" s="180"/>
      <c r="D619" s="180"/>
    </row>
    <row r="620" spans="1:4" ht="15.75">
      <c r="A620" s="22"/>
      <c r="B620" s="22"/>
      <c r="C620" s="180"/>
      <c r="D620" s="180"/>
    </row>
    <row r="621" spans="1:4" ht="15.75">
      <c r="A621" s="22"/>
      <c r="B621" s="22"/>
      <c r="C621" s="180"/>
      <c r="D621" s="180"/>
    </row>
    <row r="622" spans="1:4" ht="15.75">
      <c r="A622" s="22"/>
      <c r="B622" s="22"/>
      <c r="C622" s="180"/>
      <c r="D622" s="180"/>
    </row>
    <row r="623" spans="1:4" ht="15.75">
      <c r="A623" s="22"/>
      <c r="B623" s="22"/>
      <c r="C623" s="180"/>
      <c r="D623" s="180"/>
    </row>
    <row r="624" spans="1:4" ht="15.75">
      <c r="A624" s="22"/>
      <c r="B624" s="22"/>
      <c r="C624" s="180"/>
      <c r="D624" s="180"/>
    </row>
    <row r="625" spans="1:4" ht="15.75">
      <c r="A625" s="22"/>
      <c r="B625" s="22"/>
      <c r="C625" s="180"/>
      <c r="D625" s="180"/>
    </row>
    <row r="626" spans="1:4" ht="15.75">
      <c r="A626" s="22"/>
      <c r="B626" s="22"/>
      <c r="C626" s="180"/>
      <c r="D626" s="180"/>
    </row>
    <row r="627" spans="1:4" ht="15.75">
      <c r="A627" s="22"/>
      <c r="B627" s="22"/>
      <c r="C627" s="180"/>
      <c r="D627" s="180"/>
    </row>
    <row r="628" spans="1:4" ht="15.75">
      <c r="A628" s="22"/>
      <c r="B628" s="22"/>
      <c r="C628" s="180"/>
      <c r="D628" s="180"/>
    </row>
    <row r="629" spans="1:4" ht="15.75">
      <c r="A629" s="22"/>
      <c r="B629" s="22"/>
      <c r="C629" s="180"/>
      <c r="D629" s="180"/>
    </row>
    <row r="630" spans="1:4" ht="15.75">
      <c r="A630" s="22"/>
      <c r="B630" s="22"/>
      <c r="C630" s="180"/>
      <c r="D630" s="180"/>
    </row>
    <row r="631" spans="1:4" ht="15.75">
      <c r="A631" s="22"/>
      <c r="B631" s="22"/>
      <c r="C631" s="180"/>
      <c r="D631" s="180"/>
    </row>
    <row r="632" spans="1:4" ht="15.75">
      <c r="A632" s="22"/>
      <c r="B632" s="22"/>
      <c r="C632" s="180"/>
      <c r="D632" s="180"/>
    </row>
    <row r="633" spans="1:4" ht="15.75">
      <c r="A633" s="22"/>
      <c r="B633" s="22"/>
      <c r="C633" s="180"/>
      <c r="D633" s="180"/>
    </row>
    <row r="634" spans="1:4" ht="15.75">
      <c r="A634" s="22"/>
      <c r="B634" s="22"/>
      <c r="C634" s="180"/>
      <c r="D634" s="180"/>
    </row>
    <row r="635" spans="1:4" ht="15.75">
      <c r="A635" s="22"/>
      <c r="B635" s="22"/>
      <c r="C635" s="180"/>
      <c r="D635" s="180"/>
    </row>
    <row r="636" spans="1:4" ht="15.75">
      <c r="A636" s="22"/>
      <c r="B636" s="22"/>
      <c r="C636" s="180"/>
      <c r="D636" s="180"/>
    </row>
    <row r="637" spans="1:4" ht="15.75">
      <c r="A637" s="22"/>
      <c r="B637" s="22"/>
      <c r="C637" s="180"/>
      <c r="D637" s="180"/>
    </row>
    <row r="638" spans="1:4" ht="15.75">
      <c r="A638" s="22"/>
      <c r="B638" s="22"/>
      <c r="C638" s="180"/>
      <c r="D638" s="180"/>
    </row>
    <row r="639" spans="1:4" ht="15.75">
      <c r="A639" s="22"/>
      <c r="B639" s="22"/>
      <c r="C639" s="180"/>
      <c r="D639" s="180"/>
    </row>
    <row r="640" spans="1:4" ht="15.75">
      <c r="A640" s="22"/>
      <c r="B640" s="22"/>
      <c r="C640" s="180"/>
      <c r="D640" s="180"/>
    </row>
    <row r="641" spans="1:4" ht="15.75">
      <c r="A641" s="22"/>
      <c r="B641" s="22"/>
      <c r="C641" s="180"/>
      <c r="D641" s="180"/>
    </row>
    <row r="642" spans="1:4" ht="15.75">
      <c r="A642" s="22"/>
      <c r="B642" s="22"/>
      <c r="C642" s="180"/>
      <c r="D642" s="180"/>
    </row>
    <row r="643" spans="1:4" ht="15.75">
      <c r="A643" s="22"/>
      <c r="B643" s="22"/>
      <c r="C643" s="180"/>
      <c r="D643" s="180"/>
    </row>
    <row r="644" spans="1:4" ht="15.75">
      <c r="A644" s="22"/>
      <c r="B644" s="22"/>
      <c r="C644" s="180"/>
      <c r="D644" s="180"/>
    </row>
    <row r="645" spans="1:4" ht="15.75">
      <c r="A645" s="22"/>
      <c r="B645" s="22"/>
      <c r="C645" s="180"/>
      <c r="D645" s="180"/>
    </row>
    <row r="646" spans="1:4" ht="15.75">
      <c r="A646" s="22"/>
      <c r="B646" s="22"/>
      <c r="C646" s="180"/>
      <c r="D646" s="180"/>
    </row>
    <row r="647" spans="1:4" ht="15.75">
      <c r="A647" s="22"/>
      <c r="B647" s="22"/>
      <c r="C647" s="180"/>
      <c r="D647" s="180"/>
    </row>
    <row r="648" spans="1:4" ht="15.75">
      <c r="A648" s="22"/>
      <c r="B648" s="22"/>
      <c r="C648" s="180"/>
      <c r="D648" s="180"/>
    </row>
    <row r="649" spans="1:4" ht="15.75">
      <c r="A649" s="22"/>
      <c r="B649" s="22"/>
      <c r="C649" s="180"/>
      <c r="D649" s="180"/>
    </row>
    <row r="650" spans="1:4" ht="15.75">
      <c r="A650" s="22"/>
      <c r="B650" s="22"/>
      <c r="C650" s="180"/>
      <c r="D650" s="180"/>
    </row>
    <row r="651" spans="1:4" ht="15.75">
      <c r="A651" s="22"/>
      <c r="B651" s="22"/>
      <c r="C651" s="180"/>
      <c r="D651" s="180"/>
    </row>
    <row r="652" spans="1:4" ht="15.75">
      <c r="A652" s="22"/>
      <c r="B652" s="22"/>
      <c r="C652" s="180"/>
      <c r="D652" s="180"/>
    </row>
    <row r="653" spans="1:4" ht="15.75">
      <c r="A653" s="22"/>
      <c r="B653" s="22"/>
      <c r="C653" s="180"/>
      <c r="D653" s="180"/>
    </row>
    <row r="654" spans="1:4" ht="15.75">
      <c r="A654" s="22"/>
      <c r="B654" s="22"/>
      <c r="C654" s="180"/>
      <c r="D654" s="180"/>
    </row>
    <row r="655" spans="1:4" ht="15.75">
      <c r="A655" s="22"/>
      <c r="B655" s="22"/>
      <c r="C655" s="180"/>
      <c r="D655" s="180"/>
    </row>
    <row r="656" spans="1:4" ht="15.75">
      <c r="A656" s="22"/>
      <c r="B656" s="22"/>
      <c r="C656" s="180"/>
      <c r="D656" s="180"/>
    </row>
    <row r="657" spans="1:4" ht="15.75">
      <c r="A657" s="22"/>
      <c r="B657" s="22"/>
      <c r="C657" s="180"/>
      <c r="D657" s="180"/>
    </row>
    <row r="658" spans="1:4" ht="15.75">
      <c r="A658" s="22"/>
      <c r="B658" s="22"/>
      <c r="C658" s="180"/>
      <c r="D658" s="180"/>
    </row>
    <row r="659" spans="1:4" ht="15.75">
      <c r="A659" s="22"/>
      <c r="B659" s="22"/>
      <c r="C659" s="180"/>
      <c r="D659" s="180"/>
    </row>
    <row r="660" spans="1:4" ht="15.75">
      <c r="A660" s="22"/>
      <c r="B660" s="22"/>
      <c r="C660" s="180"/>
      <c r="D660" s="180"/>
    </row>
    <row r="661" spans="1:4" ht="15.75">
      <c r="A661" s="22"/>
      <c r="B661" s="22"/>
      <c r="C661" s="180"/>
      <c r="D661" s="180"/>
    </row>
    <row r="662" spans="1:4" ht="15.75">
      <c r="A662" s="22"/>
      <c r="B662" s="22"/>
      <c r="C662" s="180"/>
      <c r="D662" s="180"/>
    </row>
    <row r="663" spans="1:4" ht="15.75">
      <c r="A663" s="22"/>
      <c r="B663" s="22"/>
      <c r="C663" s="180"/>
      <c r="D663" s="180"/>
    </row>
    <row r="664" spans="1:4" ht="15.75">
      <c r="A664" s="22"/>
      <c r="B664" s="22"/>
      <c r="C664" s="180"/>
      <c r="D664" s="180"/>
    </row>
    <row r="665" spans="1:4" ht="15.75">
      <c r="A665" s="22"/>
      <c r="B665" s="22"/>
      <c r="C665" s="180"/>
      <c r="D665" s="180"/>
    </row>
    <row r="666" spans="1:4" ht="15.75">
      <c r="A666" s="22"/>
      <c r="B666" s="22"/>
      <c r="C666" s="180"/>
      <c r="D666" s="180"/>
    </row>
    <row r="667" spans="1:4" ht="15.75">
      <c r="A667" s="22"/>
      <c r="B667" s="22"/>
      <c r="C667" s="180"/>
      <c r="D667" s="180"/>
    </row>
    <row r="668" spans="1:4" ht="15.75">
      <c r="A668" s="22"/>
      <c r="B668" s="22"/>
      <c r="C668" s="180"/>
      <c r="D668" s="180"/>
    </row>
    <row r="669" spans="1:4" ht="15.75">
      <c r="A669" s="22"/>
      <c r="B669" s="22"/>
      <c r="C669" s="180"/>
      <c r="D669" s="180"/>
    </row>
    <row r="670" spans="1:4" ht="15.75">
      <c r="A670" s="22"/>
      <c r="B670" s="22"/>
      <c r="C670" s="180"/>
      <c r="D670" s="180"/>
    </row>
    <row r="671" spans="1:4" ht="15.75">
      <c r="A671" s="22"/>
      <c r="B671" s="22"/>
      <c r="C671" s="180"/>
      <c r="D671" s="180"/>
    </row>
    <row r="672" spans="1:4" ht="15.75">
      <c r="A672" s="22"/>
      <c r="B672" s="22"/>
      <c r="C672" s="180"/>
      <c r="D672" s="180"/>
    </row>
    <row r="673" spans="1:4" ht="15.75">
      <c r="A673" s="22"/>
      <c r="B673" s="22"/>
      <c r="C673" s="180"/>
      <c r="D673" s="180"/>
    </row>
    <row r="674" spans="1:4" ht="15.75">
      <c r="A674" s="22"/>
      <c r="B674" s="22"/>
      <c r="C674" s="180"/>
      <c r="D674" s="180"/>
    </row>
    <row r="675" spans="1:4" ht="15.75">
      <c r="A675" s="22"/>
      <c r="B675" s="22"/>
      <c r="C675" s="180"/>
      <c r="D675" s="180"/>
    </row>
    <row r="676" spans="1:4" ht="15.75">
      <c r="A676" s="22"/>
      <c r="B676" s="22"/>
      <c r="C676" s="180"/>
      <c r="D676" s="180"/>
    </row>
    <row r="677" spans="1:4" ht="15.75">
      <c r="A677" s="22"/>
      <c r="B677" s="22"/>
      <c r="C677" s="180"/>
      <c r="D677" s="180"/>
    </row>
    <row r="678" spans="1:4" ht="15.75">
      <c r="A678" s="22"/>
      <c r="B678" s="22"/>
      <c r="C678" s="180"/>
      <c r="D678" s="180"/>
    </row>
    <row r="679" spans="1:4" ht="15.75">
      <c r="A679" s="22"/>
      <c r="B679" s="22"/>
      <c r="C679" s="180"/>
      <c r="D679" s="180"/>
    </row>
    <row r="680" spans="1:4" ht="15.75">
      <c r="A680" s="22"/>
      <c r="B680" s="22"/>
      <c r="C680" s="180"/>
      <c r="D680" s="180"/>
    </row>
    <row r="681" spans="1:4" ht="15.75">
      <c r="A681" s="22"/>
      <c r="B681" s="22"/>
      <c r="C681" s="180"/>
      <c r="D681" s="180"/>
    </row>
    <row r="682" spans="1:4" ht="15.75">
      <c r="A682" s="22"/>
      <c r="B682" s="22"/>
      <c r="C682" s="180"/>
      <c r="D682" s="180"/>
    </row>
    <row r="683" spans="1:4" ht="15.75">
      <c r="A683" s="22"/>
      <c r="B683" s="22"/>
      <c r="C683" s="180"/>
      <c r="D683" s="180"/>
    </row>
    <row r="684" spans="1:4" ht="15.75">
      <c r="A684" s="22"/>
      <c r="B684" s="22"/>
      <c r="C684" s="180"/>
      <c r="D684" s="180"/>
    </row>
    <row r="685" spans="1:4" ht="15.75">
      <c r="A685" s="22"/>
      <c r="B685" s="22"/>
      <c r="C685" s="180"/>
      <c r="D685" s="180"/>
    </row>
    <row r="686" spans="1:4" ht="15.75">
      <c r="A686" s="22"/>
      <c r="B686" s="22"/>
      <c r="C686" s="180"/>
      <c r="D686" s="180"/>
    </row>
    <row r="687" spans="1:4" ht="15.75">
      <c r="A687" s="22"/>
      <c r="B687" s="22"/>
      <c r="C687" s="180"/>
      <c r="D687" s="180"/>
    </row>
    <row r="688" spans="1:4" ht="15.75">
      <c r="A688" s="22"/>
      <c r="B688" s="22"/>
      <c r="C688" s="180"/>
      <c r="D688" s="180"/>
    </row>
  </sheetData>
  <sheetProtection/>
  <autoFilter ref="A9:O105"/>
  <mergeCells count="14">
    <mergeCell ref="A1:M1"/>
    <mergeCell ref="A3:M3"/>
    <mergeCell ref="A5:M5"/>
    <mergeCell ref="A7:A8"/>
    <mergeCell ref="C7:C8"/>
    <mergeCell ref="D7:D8"/>
    <mergeCell ref="F7:F8"/>
    <mergeCell ref="M7:M8"/>
    <mergeCell ref="G117:I117"/>
    <mergeCell ref="G7:H7"/>
    <mergeCell ref="I7:J7"/>
    <mergeCell ref="K7:L7"/>
    <mergeCell ref="B7:B8"/>
    <mergeCell ref="E7:E8"/>
  </mergeCells>
  <printOptions horizontalCentered="1"/>
  <pageMargins left="0.2" right="0.2" top="0.5" bottom="0.5" header="0.433070866141732" footer="0.196850393700787"/>
  <pageSetup cellComments="asDisplayed" horizontalDpi="600" verticalDpi="600" orientation="landscape" paperSize="9" scale="79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A615"/>
  <sheetViews>
    <sheetView view="pageBreakPreview" zoomScaleSheetLayoutView="100" zoomScalePageLayoutView="0" workbookViewId="0" topLeftCell="A1">
      <selection activeCell="B32" sqref="B32"/>
    </sheetView>
  </sheetViews>
  <sheetFormatPr defaultColWidth="9.140625" defaultRowHeight="12.75"/>
  <cols>
    <col min="1" max="1" width="3.8515625" style="766" customWidth="1"/>
    <col min="2" max="2" width="13.8515625" style="611" customWidth="1"/>
    <col min="3" max="3" width="55.140625" style="610" customWidth="1"/>
    <col min="4" max="4" width="7.8515625" style="610" customWidth="1"/>
    <col min="5" max="5" width="6.8515625" style="180" customWidth="1"/>
    <col min="6" max="6" width="8.8515625" style="113" customWidth="1"/>
    <col min="7" max="7" width="8.8515625" style="180" customWidth="1"/>
    <col min="8" max="8" width="9.8515625" style="180" customWidth="1"/>
    <col min="9" max="9" width="8.8515625" style="192" customWidth="1"/>
    <col min="10" max="10" width="9.8515625" style="180" customWidth="1"/>
    <col min="11" max="11" width="8.8515625" style="192" customWidth="1"/>
    <col min="12" max="12" width="9.8515625" style="180" customWidth="1"/>
    <col min="13" max="13" width="11.7109375" style="22" customWidth="1"/>
    <col min="14" max="14" width="19.8515625" style="610" customWidth="1"/>
    <col min="15" max="15" width="12.8515625" style="610" customWidth="1"/>
    <col min="16" max="16" width="31.421875" style="610" customWidth="1"/>
    <col min="17" max="16384" width="9.140625" style="610" customWidth="1"/>
  </cols>
  <sheetData>
    <row r="1" spans="1:23" s="587" customFormat="1" ht="42" customHeight="1">
      <c r="A1" s="812" t="str">
        <f>კრებსიტი!A1</f>
        <v>სსიპ წიაღის ეროვნული სააგენტოსთვის დავით აღმაშენებლის გამზირზე #150 მდებარე შენობის მე-8 სართულის (საერთო ფართი 889.32 კვ.მ.) სარემონტო-სამონტაჟო სამუშაოებისთვის საჭირო საპროექტო-სახარჯთაღრიცხვო დოკუმენტაციის შედგენა. 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O1" s="588"/>
      <c r="P1" s="588"/>
      <c r="Q1" s="588"/>
      <c r="R1" s="588"/>
      <c r="S1" s="588"/>
      <c r="T1" s="588"/>
      <c r="U1" s="588"/>
      <c r="V1" s="588"/>
      <c r="W1" s="588"/>
    </row>
    <row r="2" spans="1:23" s="111" customFormat="1" ht="0.75" customHeight="1">
      <c r="A2" s="228"/>
      <c r="D2" s="228"/>
      <c r="E2" s="228"/>
      <c r="O2" s="612"/>
      <c r="P2" s="612"/>
      <c r="Q2" s="612"/>
      <c r="R2" s="612"/>
      <c r="S2" s="612"/>
      <c r="T2" s="612"/>
      <c r="U2" s="612"/>
      <c r="V2" s="612"/>
      <c r="W2" s="612"/>
    </row>
    <row r="3" spans="1:23" s="345" customFormat="1" ht="19.5" customHeight="1">
      <c r="A3" s="813" t="s">
        <v>115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343"/>
      <c r="O3" s="343"/>
      <c r="P3" s="343"/>
      <c r="Q3" s="344"/>
      <c r="R3" s="344"/>
      <c r="S3" s="344"/>
      <c r="T3" s="344"/>
      <c r="U3" s="344"/>
      <c r="V3" s="344"/>
      <c r="W3" s="344"/>
    </row>
    <row r="4" spans="1:23" s="345" customFormat="1" ht="9" customHeight="1">
      <c r="A4" s="201"/>
      <c r="B4" s="201"/>
      <c r="C4" s="201"/>
      <c r="D4" s="201"/>
      <c r="E4" s="201"/>
      <c r="F4" s="449"/>
      <c r="G4" s="201"/>
      <c r="H4" s="201"/>
      <c r="I4" s="201"/>
      <c r="J4" s="201"/>
      <c r="K4" s="201"/>
      <c r="L4" s="201"/>
      <c r="M4" s="263"/>
      <c r="N4" s="263"/>
      <c r="O4" s="201"/>
      <c r="P4" s="201"/>
      <c r="Q4" s="344"/>
      <c r="R4" s="344"/>
      <c r="S4" s="344"/>
      <c r="T4" s="344"/>
      <c r="U4" s="344"/>
      <c r="V4" s="344"/>
      <c r="W4" s="344"/>
    </row>
    <row r="5" spans="1:13" s="589" customFormat="1" ht="18.75" customHeight="1">
      <c r="A5" s="804" t="s">
        <v>225</v>
      </c>
      <c r="B5" s="804"/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04"/>
    </row>
    <row r="6" spans="1:13" s="587" customFormat="1" ht="14.25" customHeight="1" thickBot="1">
      <c r="A6" s="590"/>
      <c r="B6" s="18"/>
      <c r="C6" s="184"/>
      <c r="D6" s="18"/>
      <c r="E6" s="18"/>
      <c r="F6" s="357"/>
      <c r="G6" s="18"/>
      <c r="H6" s="18"/>
      <c r="I6" s="185"/>
      <c r="J6" s="18"/>
      <c r="K6" s="185"/>
      <c r="L6" s="18"/>
      <c r="M6" s="18"/>
    </row>
    <row r="7" spans="1:13" s="587" customFormat="1" ht="36" customHeight="1" thickBot="1" thickTop="1">
      <c r="A7" s="814" t="s">
        <v>4</v>
      </c>
      <c r="B7" s="815" t="s">
        <v>5</v>
      </c>
      <c r="C7" s="816" t="s">
        <v>2</v>
      </c>
      <c r="D7" s="809" t="s">
        <v>0</v>
      </c>
      <c r="E7" s="817" t="s">
        <v>35</v>
      </c>
      <c r="F7" s="805" t="s">
        <v>1</v>
      </c>
      <c r="G7" s="807" t="s">
        <v>34</v>
      </c>
      <c r="H7" s="808"/>
      <c r="I7" s="809" t="s">
        <v>31</v>
      </c>
      <c r="J7" s="809"/>
      <c r="K7" s="809" t="s">
        <v>36</v>
      </c>
      <c r="L7" s="809"/>
      <c r="M7" s="810" t="s">
        <v>32</v>
      </c>
    </row>
    <row r="8" spans="1:14" s="587" customFormat="1" ht="29.25" customHeight="1" thickBot="1" thickTop="1">
      <c r="A8" s="814"/>
      <c r="B8" s="815"/>
      <c r="C8" s="816"/>
      <c r="D8" s="809"/>
      <c r="E8" s="818"/>
      <c r="F8" s="806"/>
      <c r="G8" s="591" t="s">
        <v>33</v>
      </c>
      <c r="H8" s="739" t="s">
        <v>26</v>
      </c>
      <c r="I8" s="591" t="s">
        <v>33</v>
      </c>
      <c r="J8" s="739" t="s">
        <v>26</v>
      </c>
      <c r="K8" s="591" t="s">
        <v>33</v>
      </c>
      <c r="L8" s="739" t="s">
        <v>26</v>
      </c>
      <c r="M8" s="811"/>
      <c r="N8" s="592"/>
    </row>
    <row r="9" spans="1:13" s="595" customFormat="1" ht="14.25" customHeight="1" thickBot="1" thickTop="1">
      <c r="A9" s="593">
        <v>1</v>
      </c>
      <c r="B9" s="593">
        <v>2</v>
      </c>
      <c r="C9" s="593">
        <v>3</v>
      </c>
      <c r="D9" s="593">
        <v>4</v>
      </c>
      <c r="E9" s="594">
        <v>5</v>
      </c>
      <c r="F9" s="594">
        <v>6</v>
      </c>
      <c r="G9" s="594">
        <v>7</v>
      </c>
      <c r="H9" s="594">
        <v>8</v>
      </c>
      <c r="I9" s="594">
        <v>9</v>
      </c>
      <c r="J9" s="594">
        <v>10</v>
      </c>
      <c r="K9" s="594">
        <v>11</v>
      </c>
      <c r="L9" s="594">
        <v>12</v>
      </c>
      <c r="M9" s="594">
        <v>13</v>
      </c>
    </row>
    <row r="10" spans="1:13" s="247" customFormat="1" ht="36" customHeight="1" thickTop="1">
      <c r="A10" s="92">
        <v>1</v>
      </c>
      <c r="B10" s="422" t="s">
        <v>88</v>
      </c>
      <c r="C10" s="528" t="s">
        <v>359</v>
      </c>
      <c r="D10" s="93" t="s">
        <v>7</v>
      </c>
      <c r="E10" s="70"/>
      <c r="F10" s="24">
        <v>250</v>
      </c>
      <c r="G10" s="143"/>
      <c r="H10" s="195"/>
      <c r="I10" s="143"/>
      <c r="J10" s="195"/>
      <c r="K10" s="143"/>
      <c r="L10" s="143"/>
      <c r="M10" s="143"/>
    </row>
    <row r="11" spans="1:79" s="242" customFormat="1" ht="18" customHeight="1">
      <c r="A11" s="31"/>
      <c r="B11" s="32"/>
      <c r="C11" s="10" t="s">
        <v>84</v>
      </c>
      <c r="D11" s="32" t="s">
        <v>85</v>
      </c>
      <c r="E11" s="14">
        <v>0.22</v>
      </c>
      <c r="F11" s="1">
        <f>E11*F10</f>
        <v>55</v>
      </c>
      <c r="G11" s="143"/>
      <c r="H11" s="195"/>
      <c r="I11" s="143"/>
      <c r="J11" s="195">
        <f>I11*F11</f>
        <v>0</v>
      </c>
      <c r="K11" s="143"/>
      <c r="L11" s="143"/>
      <c r="M11" s="143">
        <f>H11+J11+L11</f>
        <v>0</v>
      </c>
      <c r="N11" s="115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</row>
    <row r="12" spans="1:79" s="242" customFormat="1" ht="18" customHeight="1">
      <c r="A12" s="31"/>
      <c r="B12" s="32"/>
      <c r="C12" s="10" t="s">
        <v>86</v>
      </c>
      <c r="D12" s="32" t="s">
        <v>6</v>
      </c>
      <c r="E12" s="226">
        <v>0.0382</v>
      </c>
      <c r="F12" s="1">
        <f>E12*F10</f>
        <v>9.549999999999999</v>
      </c>
      <c r="G12" s="143"/>
      <c r="H12" s="195"/>
      <c r="I12" s="143"/>
      <c r="J12" s="195"/>
      <c r="K12" s="143"/>
      <c r="L12" s="143">
        <f>K12*F12</f>
        <v>0</v>
      </c>
      <c r="M12" s="143">
        <f>H12+J12+L12</f>
        <v>0</v>
      </c>
      <c r="N12" s="115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</row>
    <row r="13" spans="1:79" s="242" customFormat="1" ht="36" customHeight="1">
      <c r="A13" s="31"/>
      <c r="B13" s="32"/>
      <c r="C13" s="526" t="s">
        <v>359</v>
      </c>
      <c r="D13" s="6" t="str">
        <f>D10</f>
        <v>grZ.m.</v>
      </c>
      <c r="E13" s="68">
        <v>1</v>
      </c>
      <c r="F13" s="26">
        <f>E13*F10</f>
        <v>250</v>
      </c>
      <c r="G13" s="143"/>
      <c r="H13" s="195">
        <f>F13*G13</f>
        <v>0</v>
      </c>
      <c r="I13" s="143"/>
      <c r="J13" s="195"/>
      <c r="K13" s="143"/>
      <c r="L13" s="143"/>
      <c r="M13" s="143">
        <f>H13+J13+L13</f>
        <v>0</v>
      </c>
      <c r="N13" s="115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</row>
    <row r="14" spans="1:79" s="242" customFormat="1" ht="18" customHeight="1">
      <c r="A14" s="31"/>
      <c r="B14" s="32"/>
      <c r="C14" s="10" t="s">
        <v>87</v>
      </c>
      <c r="D14" s="32" t="s">
        <v>6</v>
      </c>
      <c r="E14" s="226">
        <v>0.0658</v>
      </c>
      <c r="F14" s="1">
        <f>E14*F10</f>
        <v>16.45</v>
      </c>
      <c r="G14" s="143"/>
      <c r="H14" s="195">
        <f>G14*F14</f>
        <v>0</v>
      </c>
      <c r="I14" s="143"/>
      <c r="J14" s="195"/>
      <c r="K14" s="143"/>
      <c r="L14" s="143"/>
      <c r="M14" s="143">
        <f>H14+J14+L14</f>
        <v>0</v>
      </c>
      <c r="N14" s="115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</row>
    <row r="15" spans="1:16" s="193" customFormat="1" ht="21" customHeight="1">
      <c r="A15" s="136">
        <f>A9+1</f>
        <v>2</v>
      </c>
      <c r="B15" s="203" t="s">
        <v>148</v>
      </c>
      <c r="C15" s="528" t="s">
        <v>314</v>
      </c>
      <c r="D15" s="203" t="s">
        <v>7</v>
      </c>
      <c r="E15" s="203"/>
      <c r="F15" s="204">
        <v>50</v>
      </c>
      <c r="G15" s="143"/>
      <c r="H15" s="143"/>
      <c r="I15" s="195"/>
      <c r="J15" s="199"/>
      <c r="K15" s="195"/>
      <c r="L15" s="195"/>
      <c r="M15" s="143"/>
      <c r="N15" s="537"/>
      <c r="O15" s="538"/>
      <c r="P15" s="450"/>
    </row>
    <row r="16" spans="1:16" s="144" customFormat="1" ht="18" customHeight="1">
      <c r="A16" s="138"/>
      <c r="B16" s="205"/>
      <c r="C16" s="198" t="s">
        <v>13</v>
      </c>
      <c r="D16" s="32" t="s">
        <v>85</v>
      </c>
      <c r="E16" s="206">
        <v>0.26</v>
      </c>
      <c r="F16" s="143">
        <f>E16*F15</f>
        <v>13</v>
      </c>
      <c r="G16" s="143"/>
      <c r="H16" s="143"/>
      <c r="I16" s="195"/>
      <c r="J16" s="199">
        <f>I16*F16</f>
        <v>0</v>
      </c>
      <c r="K16" s="195"/>
      <c r="L16" s="195"/>
      <c r="M16" s="143">
        <f>H16+J16+L16</f>
        <v>0</v>
      </c>
      <c r="N16" s="539"/>
      <c r="O16" s="540">
        <f>M16+K16+I16</f>
        <v>0</v>
      </c>
      <c r="P16" s="449"/>
    </row>
    <row r="17" spans="1:16" s="144" customFormat="1" ht="18" customHeight="1">
      <c r="A17" s="138"/>
      <c r="B17" s="32"/>
      <c r="C17" s="10" t="s">
        <v>86</v>
      </c>
      <c r="D17" s="32" t="s">
        <v>6</v>
      </c>
      <c r="E17" s="30">
        <v>0.122</v>
      </c>
      <c r="F17" s="1">
        <f>E17*F15</f>
        <v>6.1</v>
      </c>
      <c r="G17" s="143"/>
      <c r="H17" s="195"/>
      <c r="I17" s="143"/>
      <c r="J17" s="195"/>
      <c r="K17" s="143"/>
      <c r="L17" s="143">
        <f>K17*F17</f>
        <v>0</v>
      </c>
      <c r="M17" s="143">
        <f>H17+J17+L17</f>
        <v>0</v>
      </c>
      <c r="N17" s="540"/>
      <c r="O17" s="540"/>
      <c r="P17" s="449"/>
    </row>
    <row r="18" spans="1:13" s="27" customFormat="1" ht="18" customHeight="1">
      <c r="A18" s="243"/>
      <c r="B18" s="243"/>
      <c r="C18" s="526" t="s">
        <v>354</v>
      </c>
      <c r="D18" s="245" t="s">
        <v>55</v>
      </c>
      <c r="E18" s="86">
        <v>1</v>
      </c>
      <c r="F18" s="2">
        <f>E18*F15</f>
        <v>50</v>
      </c>
      <c r="G18" s="143"/>
      <c r="H18" s="195">
        <f>G18*F18</f>
        <v>0</v>
      </c>
      <c r="I18" s="143"/>
      <c r="J18" s="195"/>
      <c r="K18" s="143"/>
      <c r="L18" s="143"/>
      <c r="M18" s="143">
        <f>H18+J18+L18</f>
        <v>0</v>
      </c>
    </row>
    <row r="19" spans="1:16" s="144" customFormat="1" ht="18" customHeight="1">
      <c r="A19" s="138"/>
      <c r="B19" s="205"/>
      <c r="C19" s="198" t="s">
        <v>69</v>
      </c>
      <c r="D19" s="139" t="s">
        <v>6</v>
      </c>
      <c r="E19" s="206">
        <v>0.082</v>
      </c>
      <c r="F19" s="143">
        <f>E19*F15</f>
        <v>4.1000000000000005</v>
      </c>
      <c r="G19" s="143"/>
      <c r="H19" s="143">
        <f>G19*F19</f>
        <v>0</v>
      </c>
      <c r="I19" s="195"/>
      <c r="J19" s="199"/>
      <c r="K19" s="195"/>
      <c r="L19" s="195"/>
      <c r="M19" s="143">
        <f>H19+J19+L19</f>
        <v>0</v>
      </c>
      <c r="N19" s="539"/>
      <c r="O19" s="540">
        <f>M19+K19+I19</f>
        <v>0</v>
      </c>
      <c r="P19" s="449"/>
    </row>
    <row r="20" spans="1:14" s="349" customFormat="1" ht="33" customHeight="1">
      <c r="A20" s="350">
        <f>A15+1</f>
        <v>3</v>
      </c>
      <c r="B20" s="596" t="s">
        <v>46</v>
      </c>
      <c r="C20" s="528" t="s">
        <v>228</v>
      </c>
      <c r="D20" s="420" t="s">
        <v>57</v>
      </c>
      <c r="E20" s="351"/>
      <c r="F20" s="146">
        <f>SUM(F22:F22)</f>
        <v>1</v>
      </c>
      <c r="G20" s="143"/>
      <c r="H20" s="143"/>
      <c r="I20" s="195"/>
      <c r="J20" s="199"/>
      <c r="K20" s="195"/>
      <c r="L20" s="195"/>
      <c r="M20" s="143"/>
      <c r="N20" s="421"/>
    </row>
    <row r="21" spans="1:14" s="347" customFormat="1" ht="18" customHeight="1">
      <c r="A21" s="346"/>
      <c r="B21" s="136"/>
      <c r="C21" s="198" t="s">
        <v>84</v>
      </c>
      <c r="D21" s="136" t="s">
        <v>6</v>
      </c>
      <c r="E21" s="137">
        <v>1</v>
      </c>
      <c r="F21" s="195">
        <f>E21*F20</f>
        <v>1</v>
      </c>
      <c r="G21" s="143"/>
      <c r="H21" s="143"/>
      <c r="I21" s="195"/>
      <c r="J21" s="199">
        <f>I21*F21</f>
        <v>0</v>
      </c>
      <c r="K21" s="195"/>
      <c r="L21" s="195"/>
      <c r="M21" s="143">
        <f>L21+J21+H21</f>
        <v>0</v>
      </c>
      <c r="N21" s="421"/>
    </row>
    <row r="22" spans="1:15" s="347" customFormat="1" ht="36" customHeight="1">
      <c r="A22" s="350"/>
      <c r="B22" s="32"/>
      <c r="C22" s="406" t="s">
        <v>312</v>
      </c>
      <c r="D22" s="420" t="s">
        <v>57</v>
      </c>
      <c r="E22" s="311">
        <v>1</v>
      </c>
      <c r="F22" s="195">
        <v>1</v>
      </c>
      <c r="G22" s="143"/>
      <c r="H22" s="143">
        <f>G22*F22</f>
        <v>0</v>
      </c>
      <c r="I22" s="195"/>
      <c r="J22" s="199">
        <f>I22*F22</f>
        <v>0</v>
      </c>
      <c r="K22" s="195"/>
      <c r="L22" s="195"/>
      <c r="M22" s="143">
        <f>H22+J22+L22</f>
        <v>0</v>
      </c>
      <c r="O22" s="421"/>
    </row>
    <row r="23" spans="1:79" s="764" customFormat="1" ht="36" customHeight="1">
      <c r="A23" s="759"/>
      <c r="B23" s="32"/>
      <c r="C23" s="536" t="s">
        <v>421</v>
      </c>
      <c r="D23" s="760" t="s">
        <v>12</v>
      </c>
      <c r="E23" s="761">
        <v>1</v>
      </c>
      <c r="F23" s="195">
        <v>2</v>
      </c>
      <c r="G23" s="143"/>
      <c r="H23" s="143">
        <f>F23*G23</f>
        <v>0</v>
      </c>
      <c r="I23" s="195"/>
      <c r="J23" s="199"/>
      <c r="K23" s="195"/>
      <c r="L23" s="195"/>
      <c r="M23" s="143">
        <f>H23</f>
        <v>0</v>
      </c>
      <c r="N23" s="762"/>
      <c r="O23" s="763"/>
      <c r="P23" s="763"/>
      <c r="Q23" s="763"/>
      <c r="R23" s="763"/>
      <c r="S23" s="763"/>
      <c r="T23" s="763"/>
      <c r="U23" s="763"/>
      <c r="V23" s="763"/>
      <c r="W23" s="763"/>
      <c r="X23" s="763"/>
      <c r="Y23" s="763"/>
      <c r="Z23" s="763"/>
      <c r="AA23" s="763"/>
      <c r="AB23" s="763"/>
      <c r="AC23" s="763"/>
      <c r="AD23" s="763"/>
      <c r="AE23" s="763"/>
      <c r="AF23" s="763"/>
      <c r="AG23" s="763"/>
      <c r="AH23" s="763"/>
      <c r="AI23" s="763"/>
      <c r="AJ23" s="763"/>
      <c r="AK23" s="763"/>
      <c r="AL23" s="763"/>
      <c r="AM23" s="763"/>
      <c r="AN23" s="763"/>
      <c r="AO23" s="763"/>
      <c r="AP23" s="763"/>
      <c r="AQ23" s="763"/>
      <c r="AR23" s="763"/>
      <c r="AS23" s="763"/>
      <c r="AT23" s="763"/>
      <c r="AU23" s="763"/>
      <c r="AV23" s="763"/>
      <c r="AW23" s="763"/>
      <c r="AX23" s="763"/>
      <c r="AY23" s="763"/>
      <c r="AZ23" s="763"/>
      <c r="BA23" s="763"/>
      <c r="BB23" s="763"/>
      <c r="BC23" s="763"/>
      <c r="BD23" s="763"/>
      <c r="BE23" s="763"/>
      <c r="BF23" s="763"/>
      <c r="BG23" s="763"/>
      <c r="BH23" s="763"/>
      <c r="BI23" s="763"/>
      <c r="BJ23" s="763"/>
      <c r="BK23" s="763"/>
      <c r="BL23" s="763"/>
      <c r="BM23" s="763"/>
      <c r="BN23" s="763"/>
      <c r="BO23" s="763"/>
      <c r="BP23" s="763"/>
      <c r="BQ23" s="763"/>
      <c r="BR23" s="763"/>
      <c r="BS23" s="763"/>
      <c r="BT23" s="763"/>
      <c r="BU23" s="763"/>
      <c r="BV23" s="763"/>
      <c r="BW23" s="763"/>
      <c r="BX23" s="763"/>
      <c r="BY23" s="763"/>
      <c r="BZ23" s="763"/>
      <c r="CA23" s="763"/>
    </row>
    <row r="24" spans="1:79" s="764" customFormat="1" ht="36" customHeight="1">
      <c r="A24" s="759"/>
      <c r="B24" s="32"/>
      <c r="C24" s="406" t="s">
        <v>422</v>
      </c>
      <c r="D24" s="760" t="s">
        <v>12</v>
      </c>
      <c r="E24" s="761">
        <v>1</v>
      </c>
      <c r="F24" s="195">
        <v>1</v>
      </c>
      <c r="G24" s="143"/>
      <c r="H24" s="143">
        <f>F24*G24</f>
        <v>0</v>
      </c>
      <c r="I24" s="195"/>
      <c r="J24" s="199"/>
      <c r="K24" s="195"/>
      <c r="L24" s="195"/>
      <c r="M24" s="143">
        <f>H24</f>
        <v>0</v>
      </c>
      <c r="N24" s="762"/>
      <c r="O24" s="763"/>
      <c r="P24" s="763"/>
      <c r="Q24" s="763"/>
      <c r="R24" s="763"/>
      <c r="S24" s="763"/>
      <c r="T24" s="763"/>
      <c r="U24" s="763"/>
      <c r="V24" s="763"/>
      <c r="W24" s="763"/>
      <c r="X24" s="763"/>
      <c r="Y24" s="763"/>
      <c r="Z24" s="763"/>
      <c r="AA24" s="763"/>
      <c r="AB24" s="763"/>
      <c r="AC24" s="763"/>
      <c r="AD24" s="763"/>
      <c r="AE24" s="763"/>
      <c r="AF24" s="763"/>
      <c r="AG24" s="763"/>
      <c r="AH24" s="763"/>
      <c r="AI24" s="763"/>
      <c r="AJ24" s="763"/>
      <c r="AK24" s="763"/>
      <c r="AL24" s="763"/>
      <c r="AM24" s="763"/>
      <c r="AN24" s="763"/>
      <c r="AO24" s="763"/>
      <c r="AP24" s="763"/>
      <c r="AQ24" s="763"/>
      <c r="AR24" s="763"/>
      <c r="AS24" s="763"/>
      <c r="AT24" s="763"/>
      <c r="AU24" s="763"/>
      <c r="AV24" s="763"/>
      <c r="AW24" s="763"/>
      <c r="AX24" s="763"/>
      <c r="AY24" s="763"/>
      <c r="AZ24" s="763"/>
      <c r="BA24" s="763"/>
      <c r="BB24" s="763"/>
      <c r="BC24" s="763"/>
      <c r="BD24" s="763"/>
      <c r="BE24" s="763"/>
      <c r="BF24" s="763"/>
      <c r="BG24" s="763"/>
      <c r="BH24" s="763"/>
      <c r="BI24" s="763"/>
      <c r="BJ24" s="763"/>
      <c r="BK24" s="763"/>
      <c r="BL24" s="763"/>
      <c r="BM24" s="763"/>
      <c r="BN24" s="763"/>
      <c r="BO24" s="763"/>
      <c r="BP24" s="763"/>
      <c r="BQ24" s="763"/>
      <c r="BR24" s="763"/>
      <c r="BS24" s="763"/>
      <c r="BT24" s="763"/>
      <c r="BU24" s="763"/>
      <c r="BV24" s="763"/>
      <c r="BW24" s="763"/>
      <c r="BX24" s="763"/>
      <c r="BY24" s="763"/>
      <c r="BZ24" s="763"/>
      <c r="CA24" s="763"/>
    </row>
    <row r="25" spans="1:15" s="349" customFormat="1" ht="21" customHeight="1">
      <c r="A25" s="350">
        <f>A20+1</f>
        <v>4</v>
      </c>
      <c r="B25" s="596" t="s">
        <v>226</v>
      </c>
      <c r="C25" s="197" t="s">
        <v>227</v>
      </c>
      <c r="D25" s="348" t="s">
        <v>138</v>
      </c>
      <c r="E25" s="351"/>
      <c r="F25" s="204">
        <f>F27</f>
        <v>8</v>
      </c>
      <c r="G25" s="143"/>
      <c r="H25" s="143"/>
      <c r="I25" s="195"/>
      <c r="J25" s="199"/>
      <c r="K25" s="195"/>
      <c r="L25" s="195"/>
      <c r="M25" s="143"/>
      <c r="O25" s="421"/>
    </row>
    <row r="26" spans="1:15" s="347" customFormat="1" ht="18" customHeight="1">
      <c r="A26" s="346"/>
      <c r="B26" s="136"/>
      <c r="C26" s="198" t="s">
        <v>84</v>
      </c>
      <c r="D26" s="136" t="s">
        <v>85</v>
      </c>
      <c r="E26" s="137">
        <v>22</v>
      </c>
      <c r="F26" s="195">
        <f>E26*F25</f>
        <v>176</v>
      </c>
      <c r="G26" s="143"/>
      <c r="H26" s="143"/>
      <c r="I26" s="195"/>
      <c r="J26" s="199">
        <f>I26*F26</f>
        <v>0</v>
      </c>
      <c r="K26" s="195"/>
      <c r="L26" s="195"/>
      <c r="M26" s="143">
        <f aca="true" t="shared" si="0" ref="M26:M33">H26+J26+L26</f>
        <v>0</v>
      </c>
      <c r="O26" s="421"/>
    </row>
    <row r="27" spans="1:15" s="347" customFormat="1" ht="99" customHeight="1">
      <c r="A27" s="350"/>
      <c r="B27" s="423"/>
      <c r="C27" s="406" t="s">
        <v>361</v>
      </c>
      <c r="D27" s="420" t="s">
        <v>57</v>
      </c>
      <c r="E27" s="311">
        <v>1</v>
      </c>
      <c r="F27" s="195">
        <v>8</v>
      </c>
      <c r="G27" s="143"/>
      <c r="H27" s="143">
        <f>G27*F27</f>
        <v>0</v>
      </c>
      <c r="I27" s="195"/>
      <c r="J27" s="199"/>
      <c r="K27" s="195"/>
      <c r="L27" s="195"/>
      <c r="M27" s="143">
        <f>H27+J27+L27</f>
        <v>0</v>
      </c>
      <c r="O27" s="421"/>
    </row>
    <row r="28" spans="1:15" s="347" customFormat="1" ht="17.25" customHeight="1">
      <c r="A28" s="352"/>
      <c r="B28" s="136"/>
      <c r="C28" s="198" t="s">
        <v>87</v>
      </c>
      <c r="D28" s="350" t="s">
        <v>6</v>
      </c>
      <c r="E28" s="715">
        <v>0.4</v>
      </c>
      <c r="F28" s="195">
        <f>E28*F25</f>
        <v>3.2</v>
      </c>
      <c r="G28" s="143"/>
      <c r="H28" s="143">
        <f>G28*F28</f>
        <v>0</v>
      </c>
      <c r="I28" s="195"/>
      <c r="J28" s="199"/>
      <c r="K28" s="195"/>
      <c r="L28" s="195"/>
      <c r="M28" s="143">
        <f t="shared" si="0"/>
        <v>0</v>
      </c>
      <c r="O28" s="421"/>
    </row>
    <row r="29" spans="1:13" s="247" customFormat="1" ht="21" customHeight="1">
      <c r="A29" s="353">
        <f>A25+1</f>
        <v>5</v>
      </c>
      <c r="B29" s="16" t="s">
        <v>473</v>
      </c>
      <c r="C29" s="597" t="s">
        <v>360</v>
      </c>
      <c r="D29" s="355" t="s">
        <v>12</v>
      </c>
      <c r="E29" s="70"/>
      <c r="F29" s="204">
        <v>1</v>
      </c>
      <c r="G29" s="143"/>
      <c r="H29" s="143"/>
      <c r="I29" s="195"/>
      <c r="J29" s="199"/>
      <c r="K29" s="195"/>
      <c r="L29" s="195"/>
      <c r="M29" s="143">
        <f t="shared" si="0"/>
        <v>0</v>
      </c>
    </row>
    <row r="30" spans="1:79" s="252" customFormat="1" ht="17.25" customHeight="1">
      <c r="A30" s="354"/>
      <c r="B30" s="32"/>
      <c r="C30" s="10" t="s">
        <v>84</v>
      </c>
      <c r="D30" s="44" t="s">
        <v>85</v>
      </c>
      <c r="E30" s="14">
        <v>15</v>
      </c>
      <c r="F30" s="1">
        <f>E30*F29</f>
        <v>15</v>
      </c>
      <c r="G30" s="143"/>
      <c r="H30" s="143"/>
      <c r="I30" s="195"/>
      <c r="J30" s="199">
        <f>I30*F30</f>
        <v>0</v>
      </c>
      <c r="K30" s="195"/>
      <c r="L30" s="195"/>
      <c r="M30" s="143">
        <f t="shared" si="0"/>
        <v>0</v>
      </c>
      <c r="N30" s="106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</row>
    <row r="31" spans="1:79" s="252" customFormat="1" ht="18" customHeight="1">
      <c r="A31" s="354"/>
      <c r="B31" s="33"/>
      <c r="C31" s="529" t="s">
        <v>224</v>
      </c>
      <c r="D31" s="356" t="s">
        <v>65</v>
      </c>
      <c r="E31" s="68">
        <v>1</v>
      </c>
      <c r="F31" s="1">
        <f>E31*F29</f>
        <v>1</v>
      </c>
      <c r="G31" s="143"/>
      <c r="H31" s="143">
        <f>F31*G31</f>
        <v>0</v>
      </c>
      <c r="I31" s="195"/>
      <c r="J31" s="199"/>
      <c r="K31" s="195"/>
      <c r="L31" s="195"/>
      <c r="M31" s="143">
        <f t="shared" si="0"/>
        <v>0</v>
      </c>
      <c r="N31" s="106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</row>
    <row r="32" spans="1:79" s="242" customFormat="1" ht="18" customHeight="1">
      <c r="A32" s="31"/>
      <c r="B32" s="33"/>
      <c r="C32" s="526" t="s">
        <v>230</v>
      </c>
      <c r="D32" s="6" t="str">
        <f>D29</f>
        <v>cali</v>
      </c>
      <c r="E32" s="411"/>
      <c r="F32" s="1">
        <v>20</v>
      </c>
      <c r="G32" s="143"/>
      <c r="H32" s="143">
        <f>F32*G32</f>
        <v>0</v>
      </c>
      <c r="I32" s="195"/>
      <c r="J32" s="199"/>
      <c r="K32" s="195"/>
      <c r="L32" s="195"/>
      <c r="M32" s="143">
        <f>H32+J32+L32</f>
        <v>0</v>
      </c>
      <c r="N32" s="115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</row>
    <row r="33" spans="1:79" s="255" customFormat="1" ht="17.25" customHeight="1">
      <c r="A33" s="31"/>
      <c r="B33" s="32"/>
      <c r="C33" s="10" t="s">
        <v>87</v>
      </c>
      <c r="D33" s="32" t="s">
        <v>6</v>
      </c>
      <c r="E33" s="14">
        <v>1.98</v>
      </c>
      <c r="F33" s="1">
        <f>E33*F29</f>
        <v>1.98</v>
      </c>
      <c r="G33" s="143"/>
      <c r="H33" s="143">
        <f>G33*F33</f>
        <v>0</v>
      </c>
      <c r="I33" s="195"/>
      <c r="J33" s="199"/>
      <c r="K33" s="195"/>
      <c r="L33" s="195"/>
      <c r="M33" s="143">
        <f t="shared" si="0"/>
        <v>0</v>
      </c>
      <c r="N33" s="106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</row>
    <row r="34" spans="1:13" s="247" customFormat="1" ht="21" customHeight="1">
      <c r="A34" s="92">
        <f>A29+1</f>
        <v>6</v>
      </c>
      <c r="B34" s="765" t="s">
        <v>582</v>
      </c>
      <c r="C34" s="757" t="s">
        <v>229</v>
      </c>
      <c r="D34" s="93" t="s">
        <v>12</v>
      </c>
      <c r="E34" s="70"/>
      <c r="F34" s="204">
        <v>1</v>
      </c>
      <c r="G34" s="143"/>
      <c r="H34" s="195"/>
      <c r="I34" s="143"/>
      <c r="J34" s="195"/>
      <c r="K34" s="143"/>
      <c r="L34" s="143"/>
      <c r="M34" s="143"/>
    </row>
    <row r="35" spans="1:14" s="249" customFormat="1" ht="18" customHeight="1">
      <c r="A35" s="31"/>
      <c r="B35" s="32"/>
      <c r="C35" s="10" t="s">
        <v>84</v>
      </c>
      <c r="D35" s="32" t="s">
        <v>85</v>
      </c>
      <c r="E35" s="14">
        <v>14</v>
      </c>
      <c r="F35" s="1">
        <f>E35*F34</f>
        <v>14</v>
      </c>
      <c r="G35" s="143"/>
      <c r="H35" s="195"/>
      <c r="I35" s="143"/>
      <c r="J35" s="195">
        <f>I35*F35</f>
        <v>0</v>
      </c>
      <c r="K35" s="143"/>
      <c r="L35" s="143"/>
      <c r="M35" s="143">
        <f>H35+J35+L35</f>
        <v>0</v>
      </c>
      <c r="N35" s="114"/>
    </row>
    <row r="36" spans="1:14" s="249" customFormat="1" ht="18" customHeight="1">
      <c r="A36" s="31"/>
      <c r="B36" s="32" t="s">
        <v>46</v>
      </c>
      <c r="C36" s="529" t="s">
        <v>229</v>
      </c>
      <c r="D36" s="6" t="s">
        <v>12</v>
      </c>
      <c r="E36" s="68">
        <v>1</v>
      </c>
      <c r="F36" s="1">
        <f>E36*F34</f>
        <v>1</v>
      </c>
      <c r="G36" s="143"/>
      <c r="H36" s="195">
        <f>F36*G36</f>
        <v>0</v>
      </c>
      <c r="I36" s="143"/>
      <c r="J36" s="195"/>
      <c r="K36" s="143"/>
      <c r="L36" s="143"/>
      <c r="M36" s="143">
        <f>H36+J36+L36</f>
        <v>0</v>
      </c>
      <c r="N36" s="114"/>
    </row>
    <row r="37" spans="1:14" s="249" customFormat="1" ht="18" customHeight="1">
      <c r="A37" s="31"/>
      <c r="B37" s="32"/>
      <c r="C37" s="10" t="s">
        <v>87</v>
      </c>
      <c r="D37" s="32" t="s">
        <v>6</v>
      </c>
      <c r="E37" s="14">
        <v>1.2</v>
      </c>
      <c r="F37" s="1">
        <f>E37*F34</f>
        <v>1.2</v>
      </c>
      <c r="G37" s="143"/>
      <c r="H37" s="195">
        <f>G37*F37</f>
        <v>0</v>
      </c>
      <c r="I37" s="143"/>
      <c r="J37" s="195"/>
      <c r="K37" s="143"/>
      <c r="L37" s="143"/>
      <c r="M37" s="143">
        <f>H37+J37+L37</f>
        <v>0</v>
      </c>
      <c r="N37" s="114"/>
    </row>
    <row r="38" spans="1:16" s="22" customFormat="1" ht="15" customHeight="1" thickBot="1">
      <c r="A38" s="598"/>
      <c r="B38" s="17"/>
      <c r="C38" s="19"/>
      <c r="D38" s="19"/>
      <c r="E38" s="19"/>
      <c r="F38" s="194"/>
      <c r="G38" s="188"/>
      <c r="H38" s="189"/>
      <c r="I38" s="189"/>
      <c r="J38" s="190"/>
      <c r="K38" s="189"/>
      <c r="L38" s="190"/>
      <c r="M38" s="191"/>
      <c r="O38" s="17"/>
      <c r="P38" s="17"/>
    </row>
    <row r="39" spans="1:16" s="118" customFormat="1" ht="18" customHeight="1">
      <c r="A39" s="599"/>
      <c r="B39" s="600"/>
      <c r="C39" s="601" t="s">
        <v>9</v>
      </c>
      <c r="D39" s="601"/>
      <c r="E39" s="601"/>
      <c r="F39" s="602"/>
      <c r="G39" s="601"/>
      <c r="H39" s="603">
        <f>SUM(H10:H38)</f>
        <v>0</v>
      </c>
      <c r="I39" s="603"/>
      <c r="J39" s="603">
        <f>SUM(J10:J38)</f>
        <v>0</v>
      </c>
      <c r="K39" s="603"/>
      <c r="L39" s="603">
        <f>SUM(L10:L38)</f>
        <v>0</v>
      </c>
      <c r="M39" s="603">
        <f>SUM(M10:M38)</f>
        <v>0</v>
      </c>
      <c r="N39" s="604"/>
      <c r="O39" s="605"/>
      <c r="P39" s="606"/>
    </row>
    <row r="40" spans="1:16" s="62" customFormat="1" ht="27.75" customHeight="1">
      <c r="A40" s="97"/>
      <c r="B40" s="65"/>
      <c r="C40" s="16" t="s">
        <v>627</v>
      </c>
      <c r="D40" s="683"/>
      <c r="E40" s="16"/>
      <c r="F40" s="680"/>
      <c r="G40" s="34"/>
      <c r="H40" s="162">
        <f>SUM(H22:H24)+SUM(H27:H27)+H31</f>
        <v>0</v>
      </c>
      <c r="I40" s="63"/>
      <c r="J40" s="162"/>
      <c r="K40" s="63"/>
      <c r="L40" s="162"/>
      <c r="M40" s="162">
        <f>SUM(H40:L40)</f>
        <v>0</v>
      </c>
      <c r="O40" s="15"/>
      <c r="P40" s="15"/>
    </row>
    <row r="41" spans="1:16" s="218" customFormat="1" ht="17.25" customHeight="1">
      <c r="A41" s="689"/>
      <c r="B41" s="690"/>
      <c r="C41" s="78" t="s">
        <v>64</v>
      </c>
      <c r="D41" s="691"/>
      <c r="E41" s="78"/>
      <c r="F41" s="692"/>
      <c r="G41" s="81"/>
      <c r="H41" s="217"/>
      <c r="I41" s="217"/>
      <c r="J41" s="217"/>
      <c r="K41" s="217"/>
      <c r="L41" s="217"/>
      <c r="M41" s="684">
        <f>J39*D41</f>
        <v>0</v>
      </c>
      <c r="O41" s="219"/>
      <c r="P41" s="219"/>
    </row>
    <row r="42" spans="1:16" s="218" customFormat="1" ht="17.25" customHeight="1">
      <c r="A42" s="689"/>
      <c r="B42" s="690"/>
      <c r="C42" s="78" t="s">
        <v>9</v>
      </c>
      <c r="D42" s="78"/>
      <c r="E42" s="78"/>
      <c r="F42" s="81"/>
      <c r="G42" s="81"/>
      <c r="H42" s="217"/>
      <c r="I42" s="217"/>
      <c r="J42" s="217"/>
      <c r="K42" s="217"/>
      <c r="L42" s="217"/>
      <c r="M42" s="693">
        <f>M39+M41</f>
        <v>0</v>
      </c>
      <c r="O42" s="219"/>
      <c r="P42" s="219"/>
    </row>
    <row r="43" spans="1:13" s="218" customFormat="1" ht="30" customHeight="1">
      <c r="A43" s="689"/>
      <c r="B43" s="690"/>
      <c r="C43" s="16" t="s">
        <v>222</v>
      </c>
      <c r="D43" s="691"/>
      <c r="E43" s="78"/>
      <c r="F43" s="692"/>
      <c r="G43" s="81"/>
      <c r="H43" s="217"/>
      <c r="I43" s="217"/>
      <c r="J43" s="217"/>
      <c r="K43" s="217"/>
      <c r="L43" s="217"/>
      <c r="M43" s="693">
        <f>(M42-M40)*D43</f>
        <v>0</v>
      </c>
    </row>
    <row r="44" spans="1:13" s="218" customFormat="1" ht="18" customHeight="1" thickBot="1">
      <c r="A44" s="694"/>
      <c r="B44" s="685"/>
      <c r="C44" s="584" t="s">
        <v>9</v>
      </c>
      <c r="D44" s="522"/>
      <c r="E44" s="522"/>
      <c r="F44" s="521"/>
      <c r="G44" s="521"/>
      <c r="H44" s="531"/>
      <c r="I44" s="531"/>
      <c r="J44" s="531"/>
      <c r="K44" s="531"/>
      <c r="L44" s="531"/>
      <c r="M44" s="524">
        <f>SUM(M42:M43)</f>
        <v>0</v>
      </c>
    </row>
    <row r="45" spans="1:13" s="218" customFormat="1" ht="18" customHeight="1">
      <c r="A45" s="219"/>
      <c r="B45" s="716"/>
      <c r="C45" s="703"/>
      <c r="D45" s="219"/>
      <c r="E45" s="219"/>
      <c r="F45" s="704"/>
      <c r="G45" s="704"/>
      <c r="H45" s="705"/>
      <c r="I45" s="705"/>
      <c r="J45" s="705"/>
      <c r="K45" s="705"/>
      <c r="L45" s="705"/>
      <c r="M45" s="705"/>
    </row>
    <row r="46" spans="1:13" s="114" customFormat="1" ht="18" customHeight="1">
      <c r="A46" s="182"/>
      <c r="B46" s="182"/>
      <c r="C46" s="114" t="s">
        <v>184</v>
      </c>
      <c r="E46" s="305"/>
      <c r="F46" s="305"/>
      <c r="G46" s="787"/>
      <c r="H46" s="787"/>
      <c r="I46" s="787"/>
      <c r="J46" s="305"/>
      <c r="K46" s="305"/>
      <c r="L46" s="305"/>
      <c r="M46" s="496"/>
    </row>
    <row r="47" spans="1:13" s="262" customFormat="1" ht="15.75">
      <c r="A47" s="259"/>
      <c r="B47" s="259"/>
      <c r="C47" s="260"/>
      <c r="D47" s="260"/>
      <c r="E47" s="17"/>
      <c r="F47" s="123"/>
      <c r="G47" s="412"/>
      <c r="H47" s="412"/>
      <c r="I47" s="413"/>
      <c r="J47" s="412"/>
      <c r="K47" s="413"/>
      <c r="L47" s="412"/>
      <c r="M47" s="22"/>
    </row>
    <row r="48" spans="1:13" s="262" customFormat="1" ht="15.75">
      <c r="A48" s="259"/>
      <c r="B48" s="259"/>
      <c r="C48" s="260"/>
      <c r="D48" s="260"/>
      <c r="E48" s="17"/>
      <c r="F48" s="123"/>
      <c r="G48" s="412"/>
      <c r="H48" s="412"/>
      <c r="I48" s="413"/>
      <c r="J48" s="412"/>
      <c r="K48" s="413"/>
      <c r="L48" s="412"/>
      <c r="M48" s="22"/>
    </row>
    <row r="49" spans="1:16" s="611" customFormat="1" ht="15.75">
      <c r="A49" s="607"/>
      <c r="B49" s="608"/>
      <c r="C49" s="609"/>
      <c r="D49" s="609"/>
      <c r="E49" s="412"/>
      <c r="F49" s="123"/>
      <c r="G49" s="412"/>
      <c r="H49" s="412"/>
      <c r="I49" s="413"/>
      <c r="J49" s="412"/>
      <c r="K49" s="413"/>
      <c r="L49" s="412"/>
      <c r="M49" s="22"/>
      <c r="N49" s="610"/>
      <c r="O49" s="610"/>
      <c r="P49" s="610"/>
    </row>
    <row r="50" spans="1:16" s="611" customFormat="1" ht="15.75">
      <c r="A50" s="607"/>
      <c r="B50" s="608"/>
      <c r="C50" s="609"/>
      <c r="D50" s="609"/>
      <c r="E50" s="412"/>
      <c r="F50" s="123"/>
      <c r="G50" s="412"/>
      <c r="H50" s="412"/>
      <c r="I50" s="413"/>
      <c r="J50" s="412"/>
      <c r="K50" s="413"/>
      <c r="L50" s="412"/>
      <c r="M50" s="22"/>
      <c r="N50" s="610"/>
      <c r="O50" s="610"/>
      <c r="P50" s="610"/>
    </row>
    <row r="51" spans="1:16" s="611" customFormat="1" ht="15.75">
      <c r="A51" s="607"/>
      <c r="B51" s="608"/>
      <c r="C51" s="609"/>
      <c r="D51" s="609"/>
      <c r="E51" s="412"/>
      <c r="F51" s="123"/>
      <c r="G51" s="412"/>
      <c r="H51" s="412"/>
      <c r="I51" s="413"/>
      <c r="J51" s="412"/>
      <c r="K51" s="413"/>
      <c r="L51" s="412"/>
      <c r="M51" s="22"/>
      <c r="N51" s="610"/>
      <c r="O51" s="610"/>
      <c r="P51" s="610"/>
    </row>
    <row r="52" spans="1:16" s="611" customFormat="1" ht="15.75">
      <c r="A52" s="607"/>
      <c r="B52" s="608"/>
      <c r="C52" s="609"/>
      <c r="D52" s="609"/>
      <c r="E52" s="412"/>
      <c r="F52" s="123"/>
      <c r="G52" s="412"/>
      <c r="H52" s="412"/>
      <c r="I52" s="413"/>
      <c r="J52" s="412"/>
      <c r="K52" s="413"/>
      <c r="L52" s="412"/>
      <c r="M52" s="22"/>
      <c r="N52" s="610"/>
      <c r="O52" s="610"/>
      <c r="P52" s="610"/>
    </row>
    <row r="53" spans="1:16" s="611" customFormat="1" ht="15.75">
      <c r="A53" s="607"/>
      <c r="B53" s="608"/>
      <c r="C53" s="609"/>
      <c r="D53" s="609"/>
      <c r="E53" s="412"/>
      <c r="F53" s="123"/>
      <c r="G53" s="412"/>
      <c r="H53" s="412"/>
      <c r="I53" s="413"/>
      <c r="J53" s="412"/>
      <c r="K53" s="413"/>
      <c r="L53" s="412"/>
      <c r="M53" s="22"/>
      <c r="N53" s="610"/>
      <c r="O53" s="610"/>
      <c r="P53" s="610"/>
    </row>
    <row r="54" spans="1:16" s="611" customFormat="1" ht="15.75">
      <c r="A54" s="607"/>
      <c r="B54" s="608"/>
      <c r="C54" s="609"/>
      <c r="D54" s="609"/>
      <c r="E54" s="412"/>
      <c r="F54" s="123"/>
      <c r="G54" s="412"/>
      <c r="H54" s="412"/>
      <c r="I54" s="413"/>
      <c r="J54" s="412"/>
      <c r="K54" s="413"/>
      <c r="L54" s="412"/>
      <c r="M54" s="22"/>
      <c r="N54" s="610"/>
      <c r="O54" s="610"/>
      <c r="P54" s="610"/>
    </row>
    <row r="55" spans="1:16" s="611" customFormat="1" ht="15.75">
      <c r="A55" s="607"/>
      <c r="B55" s="608"/>
      <c r="C55" s="609"/>
      <c r="D55" s="609"/>
      <c r="E55" s="412"/>
      <c r="F55" s="123"/>
      <c r="G55" s="412"/>
      <c r="H55" s="412"/>
      <c r="I55" s="413"/>
      <c r="J55" s="412"/>
      <c r="K55" s="413"/>
      <c r="L55" s="412"/>
      <c r="M55" s="22"/>
      <c r="N55" s="610"/>
      <c r="O55" s="610"/>
      <c r="P55" s="610"/>
    </row>
    <row r="56" spans="1:16" s="611" customFormat="1" ht="15.75">
      <c r="A56" s="607"/>
      <c r="B56" s="608"/>
      <c r="C56" s="609"/>
      <c r="D56" s="609"/>
      <c r="E56" s="412"/>
      <c r="F56" s="123"/>
      <c r="G56" s="412"/>
      <c r="H56" s="412"/>
      <c r="I56" s="413"/>
      <c r="J56" s="412"/>
      <c r="K56" s="413"/>
      <c r="L56" s="412"/>
      <c r="M56" s="22"/>
      <c r="N56" s="610"/>
      <c r="O56" s="610"/>
      <c r="P56" s="610"/>
    </row>
    <row r="57" spans="1:16" s="611" customFormat="1" ht="15.75">
      <c r="A57" s="607"/>
      <c r="B57" s="608"/>
      <c r="C57" s="609"/>
      <c r="D57" s="609"/>
      <c r="E57" s="412"/>
      <c r="F57" s="123"/>
      <c r="G57" s="412"/>
      <c r="H57" s="412"/>
      <c r="I57" s="413"/>
      <c r="J57" s="412"/>
      <c r="K57" s="413"/>
      <c r="L57" s="412"/>
      <c r="M57" s="22"/>
      <c r="N57" s="610"/>
      <c r="O57" s="610"/>
      <c r="P57" s="610"/>
    </row>
    <row r="58" spans="1:16" s="611" customFormat="1" ht="15.75">
      <c r="A58" s="607"/>
      <c r="B58" s="608"/>
      <c r="C58" s="609"/>
      <c r="D58" s="609"/>
      <c r="E58" s="412"/>
      <c r="F58" s="123"/>
      <c r="G58" s="412"/>
      <c r="H58" s="412"/>
      <c r="I58" s="413"/>
      <c r="J58" s="412"/>
      <c r="K58" s="413"/>
      <c r="L58" s="412"/>
      <c r="M58" s="22"/>
      <c r="N58" s="610"/>
      <c r="O58" s="610"/>
      <c r="P58" s="610"/>
    </row>
    <row r="59" spans="1:16" s="611" customFormat="1" ht="15.75">
      <c r="A59" s="607"/>
      <c r="B59" s="608"/>
      <c r="C59" s="609"/>
      <c r="D59" s="609"/>
      <c r="E59" s="412"/>
      <c r="F59" s="123"/>
      <c r="G59" s="412"/>
      <c r="H59" s="412"/>
      <c r="I59" s="413"/>
      <c r="J59" s="412"/>
      <c r="K59" s="413"/>
      <c r="L59" s="412"/>
      <c r="M59" s="22"/>
      <c r="N59" s="610"/>
      <c r="O59" s="610"/>
      <c r="P59" s="610"/>
    </row>
    <row r="60" spans="1:16" s="611" customFormat="1" ht="15.75">
      <c r="A60" s="607"/>
      <c r="B60" s="608"/>
      <c r="C60" s="609"/>
      <c r="D60" s="609"/>
      <c r="E60" s="412"/>
      <c r="F60" s="123"/>
      <c r="G60" s="412"/>
      <c r="H60" s="412"/>
      <c r="I60" s="413"/>
      <c r="J60" s="412"/>
      <c r="K60" s="413"/>
      <c r="L60" s="412"/>
      <c r="M60" s="22"/>
      <c r="N60" s="610"/>
      <c r="O60" s="610"/>
      <c r="P60" s="610"/>
    </row>
    <row r="61" spans="1:16" s="611" customFormat="1" ht="15.75">
      <c r="A61" s="607"/>
      <c r="B61" s="608"/>
      <c r="C61" s="609"/>
      <c r="D61" s="609"/>
      <c r="E61" s="412"/>
      <c r="F61" s="123"/>
      <c r="G61" s="412"/>
      <c r="H61" s="412"/>
      <c r="I61" s="413"/>
      <c r="J61" s="412"/>
      <c r="K61" s="413"/>
      <c r="L61" s="412"/>
      <c r="M61" s="22"/>
      <c r="N61" s="610"/>
      <c r="O61" s="610"/>
      <c r="P61" s="610"/>
    </row>
    <row r="62" spans="1:16" s="611" customFormat="1" ht="15.75">
      <c r="A62" s="607"/>
      <c r="B62" s="608"/>
      <c r="C62" s="609"/>
      <c r="D62" s="609"/>
      <c r="E62" s="412"/>
      <c r="F62" s="123"/>
      <c r="G62" s="412"/>
      <c r="H62" s="412"/>
      <c r="I62" s="413"/>
      <c r="J62" s="412"/>
      <c r="K62" s="413"/>
      <c r="L62" s="412"/>
      <c r="M62" s="22"/>
      <c r="N62" s="610"/>
      <c r="O62" s="610"/>
      <c r="P62" s="610"/>
    </row>
    <row r="63" spans="1:16" s="611" customFormat="1" ht="15.75">
      <c r="A63" s="607"/>
      <c r="B63" s="608"/>
      <c r="C63" s="609"/>
      <c r="D63" s="609"/>
      <c r="E63" s="412"/>
      <c r="F63" s="123"/>
      <c r="G63" s="412"/>
      <c r="H63" s="412"/>
      <c r="I63" s="413"/>
      <c r="J63" s="412"/>
      <c r="K63" s="413"/>
      <c r="L63" s="412"/>
      <c r="M63" s="22"/>
      <c r="N63" s="610"/>
      <c r="O63" s="610"/>
      <c r="P63" s="610"/>
    </row>
    <row r="64" spans="1:16" s="611" customFormat="1" ht="15.75">
      <c r="A64" s="607"/>
      <c r="B64" s="608"/>
      <c r="C64" s="609"/>
      <c r="D64" s="609"/>
      <c r="E64" s="412"/>
      <c r="F64" s="123"/>
      <c r="G64" s="412"/>
      <c r="H64" s="412"/>
      <c r="I64" s="413"/>
      <c r="J64" s="412"/>
      <c r="K64" s="413"/>
      <c r="L64" s="412"/>
      <c r="M64" s="22"/>
      <c r="N64" s="610"/>
      <c r="O64" s="610"/>
      <c r="P64" s="610"/>
    </row>
    <row r="65" spans="1:16" s="611" customFormat="1" ht="15.75">
      <c r="A65" s="607"/>
      <c r="B65" s="608"/>
      <c r="C65" s="609"/>
      <c r="D65" s="609"/>
      <c r="E65" s="412"/>
      <c r="F65" s="123"/>
      <c r="G65" s="412"/>
      <c r="H65" s="412"/>
      <c r="I65" s="413"/>
      <c r="J65" s="412"/>
      <c r="K65" s="413"/>
      <c r="L65" s="412"/>
      <c r="M65" s="22"/>
      <c r="N65" s="610"/>
      <c r="O65" s="610"/>
      <c r="P65" s="610"/>
    </row>
    <row r="66" spans="1:16" s="611" customFormat="1" ht="15.75">
      <c r="A66" s="607"/>
      <c r="B66" s="608"/>
      <c r="C66" s="609"/>
      <c r="D66" s="609"/>
      <c r="E66" s="412"/>
      <c r="F66" s="123"/>
      <c r="G66" s="412"/>
      <c r="H66" s="412"/>
      <c r="I66" s="413"/>
      <c r="J66" s="412"/>
      <c r="K66" s="413"/>
      <c r="L66" s="412"/>
      <c r="M66" s="22"/>
      <c r="N66" s="610"/>
      <c r="O66" s="610"/>
      <c r="P66" s="610"/>
    </row>
    <row r="67" spans="1:16" s="611" customFormat="1" ht="15.75">
      <c r="A67" s="607"/>
      <c r="B67" s="608"/>
      <c r="C67" s="609"/>
      <c r="D67" s="609"/>
      <c r="E67" s="412"/>
      <c r="F67" s="123"/>
      <c r="G67" s="412"/>
      <c r="H67" s="412"/>
      <c r="I67" s="413"/>
      <c r="J67" s="412"/>
      <c r="K67" s="413"/>
      <c r="L67" s="412"/>
      <c r="M67" s="22"/>
      <c r="N67" s="610"/>
      <c r="O67" s="610"/>
      <c r="P67" s="610"/>
    </row>
    <row r="68" spans="1:16" s="611" customFormat="1" ht="15.75">
      <c r="A68" s="607"/>
      <c r="B68" s="608"/>
      <c r="C68" s="609"/>
      <c r="D68" s="609"/>
      <c r="E68" s="412"/>
      <c r="F68" s="123"/>
      <c r="G68" s="412"/>
      <c r="H68" s="412"/>
      <c r="I68" s="413"/>
      <c r="J68" s="412"/>
      <c r="K68" s="413"/>
      <c r="L68" s="412"/>
      <c r="M68" s="22"/>
      <c r="N68" s="610"/>
      <c r="O68" s="610"/>
      <c r="P68" s="610"/>
    </row>
    <row r="69" spans="1:16" s="611" customFormat="1" ht="15.75">
      <c r="A69" s="607"/>
      <c r="B69" s="608"/>
      <c r="C69" s="609"/>
      <c r="D69" s="609"/>
      <c r="E69" s="412"/>
      <c r="F69" s="123"/>
      <c r="G69" s="412"/>
      <c r="H69" s="412"/>
      <c r="I69" s="413"/>
      <c r="J69" s="412"/>
      <c r="K69" s="413"/>
      <c r="L69" s="412"/>
      <c r="M69" s="22"/>
      <c r="N69" s="610"/>
      <c r="O69" s="610"/>
      <c r="P69" s="610"/>
    </row>
    <row r="70" spans="1:16" s="611" customFormat="1" ht="15.75">
      <c r="A70" s="607"/>
      <c r="B70" s="608"/>
      <c r="C70" s="609"/>
      <c r="D70" s="609"/>
      <c r="E70" s="412"/>
      <c r="F70" s="123"/>
      <c r="G70" s="412"/>
      <c r="H70" s="412"/>
      <c r="I70" s="413"/>
      <c r="J70" s="412"/>
      <c r="K70" s="413"/>
      <c r="L70" s="412"/>
      <c r="M70" s="22"/>
      <c r="N70" s="610"/>
      <c r="O70" s="610"/>
      <c r="P70" s="610"/>
    </row>
    <row r="71" spans="1:16" s="611" customFormat="1" ht="15.75">
      <c r="A71" s="607"/>
      <c r="B71" s="608"/>
      <c r="C71" s="609"/>
      <c r="D71" s="609"/>
      <c r="E71" s="412"/>
      <c r="F71" s="123"/>
      <c r="G71" s="412"/>
      <c r="H71" s="412"/>
      <c r="I71" s="413"/>
      <c r="J71" s="412"/>
      <c r="K71" s="413"/>
      <c r="L71" s="412"/>
      <c r="M71" s="22"/>
      <c r="N71" s="610"/>
      <c r="O71" s="610"/>
      <c r="P71" s="610"/>
    </row>
    <row r="72" spans="1:16" s="611" customFormat="1" ht="15.75">
      <c r="A72" s="607"/>
      <c r="B72" s="608"/>
      <c r="C72" s="609"/>
      <c r="D72" s="609"/>
      <c r="E72" s="412"/>
      <c r="F72" s="123"/>
      <c r="G72" s="412"/>
      <c r="H72" s="412"/>
      <c r="I72" s="413"/>
      <c r="J72" s="412"/>
      <c r="K72" s="413"/>
      <c r="L72" s="412"/>
      <c r="M72" s="22"/>
      <c r="N72" s="610"/>
      <c r="O72" s="610"/>
      <c r="P72" s="610"/>
    </row>
    <row r="73" spans="1:16" s="611" customFormat="1" ht="15.75">
      <c r="A73" s="607"/>
      <c r="B73" s="608"/>
      <c r="C73" s="609"/>
      <c r="D73" s="609"/>
      <c r="E73" s="412"/>
      <c r="F73" s="123"/>
      <c r="G73" s="412"/>
      <c r="H73" s="412"/>
      <c r="I73" s="413"/>
      <c r="J73" s="412"/>
      <c r="K73" s="413"/>
      <c r="L73" s="412"/>
      <c r="M73" s="22"/>
      <c r="N73" s="610"/>
      <c r="O73" s="610"/>
      <c r="P73" s="610"/>
    </row>
    <row r="74" spans="1:16" s="611" customFormat="1" ht="15.75">
      <c r="A74" s="607"/>
      <c r="B74" s="608"/>
      <c r="C74" s="609"/>
      <c r="D74" s="609"/>
      <c r="E74" s="412"/>
      <c r="F74" s="123"/>
      <c r="G74" s="412"/>
      <c r="H74" s="412"/>
      <c r="I74" s="413"/>
      <c r="J74" s="412"/>
      <c r="K74" s="413"/>
      <c r="L74" s="412"/>
      <c r="M74" s="22"/>
      <c r="N74" s="610"/>
      <c r="O74" s="610"/>
      <c r="P74" s="610"/>
    </row>
    <row r="75" spans="1:16" s="611" customFormat="1" ht="15.75">
      <c r="A75" s="607"/>
      <c r="B75" s="608"/>
      <c r="C75" s="609"/>
      <c r="D75" s="609"/>
      <c r="E75" s="412"/>
      <c r="F75" s="123"/>
      <c r="G75" s="412"/>
      <c r="H75" s="412"/>
      <c r="I75" s="413"/>
      <c r="J75" s="412"/>
      <c r="K75" s="413"/>
      <c r="L75" s="412"/>
      <c r="M75" s="22"/>
      <c r="N75" s="610"/>
      <c r="O75" s="610"/>
      <c r="P75" s="610"/>
    </row>
    <row r="76" spans="1:16" s="611" customFormat="1" ht="15.75">
      <c r="A76" s="607"/>
      <c r="B76" s="608"/>
      <c r="C76" s="609"/>
      <c r="D76" s="609"/>
      <c r="E76" s="412"/>
      <c r="F76" s="123"/>
      <c r="G76" s="412"/>
      <c r="H76" s="412"/>
      <c r="I76" s="413"/>
      <c r="J76" s="412"/>
      <c r="K76" s="413"/>
      <c r="L76" s="412"/>
      <c r="M76" s="22"/>
      <c r="N76" s="610"/>
      <c r="O76" s="610"/>
      <c r="P76" s="610"/>
    </row>
    <row r="77" spans="1:16" s="611" customFormat="1" ht="15.75">
      <c r="A77" s="607"/>
      <c r="B77" s="608"/>
      <c r="C77" s="609"/>
      <c r="D77" s="609"/>
      <c r="E77" s="412"/>
      <c r="F77" s="123"/>
      <c r="G77" s="412"/>
      <c r="H77" s="412"/>
      <c r="I77" s="413"/>
      <c r="J77" s="412"/>
      <c r="K77" s="413"/>
      <c r="L77" s="412"/>
      <c r="M77" s="22"/>
      <c r="N77" s="610"/>
      <c r="O77" s="610"/>
      <c r="P77" s="610"/>
    </row>
    <row r="78" spans="1:16" s="611" customFormat="1" ht="15.75">
      <c r="A78" s="607"/>
      <c r="B78" s="608"/>
      <c r="C78" s="609"/>
      <c r="D78" s="609"/>
      <c r="E78" s="412"/>
      <c r="F78" s="123"/>
      <c r="G78" s="412"/>
      <c r="H78" s="412"/>
      <c r="I78" s="413"/>
      <c r="J78" s="412"/>
      <c r="K78" s="413"/>
      <c r="L78" s="412"/>
      <c r="M78" s="22"/>
      <c r="N78" s="610"/>
      <c r="O78" s="610"/>
      <c r="P78" s="610"/>
    </row>
    <row r="79" spans="1:16" s="611" customFormat="1" ht="15.75">
      <c r="A79" s="607"/>
      <c r="B79" s="608"/>
      <c r="C79" s="609"/>
      <c r="D79" s="609"/>
      <c r="E79" s="412"/>
      <c r="F79" s="123"/>
      <c r="G79" s="412"/>
      <c r="H79" s="412"/>
      <c r="I79" s="413"/>
      <c r="J79" s="412"/>
      <c r="K79" s="413"/>
      <c r="L79" s="412"/>
      <c r="M79" s="22"/>
      <c r="N79" s="610"/>
      <c r="O79" s="610"/>
      <c r="P79" s="610"/>
    </row>
    <row r="80" spans="1:16" s="611" customFormat="1" ht="15.75">
      <c r="A80" s="607"/>
      <c r="B80" s="608"/>
      <c r="C80" s="609"/>
      <c r="D80" s="609"/>
      <c r="E80" s="412"/>
      <c r="F80" s="123"/>
      <c r="G80" s="412"/>
      <c r="H80" s="412"/>
      <c r="I80" s="413"/>
      <c r="J80" s="412"/>
      <c r="K80" s="413"/>
      <c r="L80" s="412"/>
      <c r="M80" s="22"/>
      <c r="N80" s="610"/>
      <c r="O80" s="610"/>
      <c r="P80" s="610"/>
    </row>
    <row r="81" spans="1:16" s="611" customFormat="1" ht="15.75">
      <c r="A81" s="607"/>
      <c r="B81" s="608"/>
      <c r="C81" s="609"/>
      <c r="D81" s="609"/>
      <c r="E81" s="412"/>
      <c r="F81" s="123"/>
      <c r="G81" s="412"/>
      <c r="H81" s="412"/>
      <c r="I81" s="413"/>
      <c r="J81" s="412"/>
      <c r="K81" s="413"/>
      <c r="L81" s="412"/>
      <c r="M81" s="22"/>
      <c r="N81" s="610"/>
      <c r="O81" s="610"/>
      <c r="P81" s="610"/>
    </row>
    <row r="82" spans="1:16" s="611" customFormat="1" ht="15.75">
      <c r="A82" s="607"/>
      <c r="B82" s="608"/>
      <c r="C82" s="609"/>
      <c r="D82" s="609"/>
      <c r="E82" s="412"/>
      <c r="F82" s="123"/>
      <c r="G82" s="412"/>
      <c r="H82" s="412"/>
      <c r="I82" s="413"/>
      <c r="J82" s="412"/>
      <c r="K82" s="413"/>
      <c r="L82" s="412"/>
      <c r="M82" s="22"/>
      <c r="N82" s="610"/>
      <c r="O82" s="610"/>
      <c r="P82" s="610"/>
    </row>
    <row r="83" spans="1:16" s="611" customFormat="1" ht="15.75">
      <c r="A83" s="607"/>
      <c r="B83" s="608"/>
      <c r="C83" s="609"/>
      <c r="D83" s="609"/>
      <c r="E83" s="412"/>
      <c r="F83" s="123"/>
      <c r="G83" s="412"/>
      <c r="H83" s="412"/>
      <c r="I83" s="413"/>
      <c r="J83" s="412"/>
      <c r="K83" s="413"/>
      <c r="L83" s="412"/>
      <c r="M83" s="22"/>
      <c r="N83" s="610"/>
      <c r="O83" s="610"/>
      <c r="P83" s="610"/>
    </row>
    <row r="84" spans="1:16" s="611" customFormat="1" ht="15.75">
      <c r="A84" s="607"/>
      <c r="B84" s="608"/>
      <c r="C84" s="609"/>
      <c r="D84" s="609"/>
      <c r="E84" s="412"/>
      <c r="F84" s="123"/>
      <c r="G84" s="412"/>
      <c r="H84" s="412"/>
      <c r="I84" s="413"/>
      <c r="J84" s="412"/>
      <c r="K84" s="413"/>
      <c r="L84" s="412"/>
      <c r="M84" s="22"/>
      <c r="N84" s="610"/>
      <c r="O84" s="610"/>
      <c r="P84" s="610"/>
    </row>
    <row r="85" spans="1:16" s="611" customFormat="1" ht="15.75">
      <c r="A85" s="607"/>
      <c r="B85" s="608"/>
      <c r="C85" s="609"/>
      <c r="D85" s="609"/>
      <c r="E85" s="412"/>
      <c r="F85" s="123"/>
      <c r="G85" s="412"/>
      <c r="H85" s="412"/>
      <c r="I85" s="413"/>
      <c r="J85" s="412"/>
      <c r="K85" s="413"/>
      <c r="L85" s="412"/>
      <c r="M85" s="22"/>
      <c r="N85" s="610"/>
      <c r="O85" s="610"/>
      <c r="P85" s="610"/>
    </row>
    <row r="86" spans="1:16" s="611" customFormat="1" ht="15.75">
      <c r="A86" s="607"/>
      <c r="B86" s="608"/>
      <c r="C86" s="609"/>
      <c r="D86" s="609"/>
      <c r="E86" s="412"/>
      <c r="F86" s="123"/>
      <c r="G86" s="412"/>
      <c r="H86" s="412"/>
      <c r="I86" s="413"/>
      <c r="J86" s="412"/>
      <c r="K86" s="413"/>
      <c r="L86" s="412"/>
      <c r="M86" s="22"/>
      <c r="N86" s="610"/>
      <c r="O86" s="610"/>
      <c r="P86" s="610"/>
    </row>
    <row r="87" spans="1:16" s="611" customFormat="1" ht="15.75">
      <c r="A87" s="607"/>
      <c r="B87" s="608"/>
      <c r="C87" s="609"/>
      <c r="D87" s="609"/>
      <c r="E87" s="412"/>
      <c r="F87" s="123"/>
      <c r="G87" s="412"/>
      <c r="H87" s="412"/>
      <c r="I87" s="413"/>
      <c r="J87" s="412"/>
      <c r="K87" s="413"/>
      <c r="L87" s="412"/>
      <c r="M87" s="22"/>
      <c r="N87" s="610"/>
      <c r="O87" s="610"/>
      <c r="P87" s="610"/>
    </row>
    <row r="88" spans="1:16" s="611" customFormat="1" ht="15.75">
      <c r="A88" s="607"/>
      <c r="B88" s="608"/>
      <c r="C88" s="609"/>
      <c r="D88" s="609"/>
      <c r="E88" s="412"/>
      <c r="F88" s="123"/>
      <c r="G88" s="412"/>
      <c r="H88" s="412"/>
      <c r="I88" s="413"/>
      <c r="J88" s="412"/>
      <c r="K88" s="413"/>
      <c r="L88" s="412"/>
      <c r="M88" s="22"/>
      <c r="N88" s="610"/>
      <c r="O88" s="610"/>
      <c r="P88" s="610"/>
    </row>
    <row r="89" spans="1:16" s="611" customFormat="1" ht="15.75">
      <c r="A89" s="607"/>
      <c r="B89" s="608"/>
      <c r="C89" s="609"/>
      <c r="D89" s="609"/>
      <c r="E89" s="412"/>
      <c r="F89" s="123"/>
      <c r="G89" s="412"/>
      <c r="H89" s="412"/>
      <c r="I89" s="413"/>
      <c r="J89" s="412"/>
      <c r="K89" s="413"/>
      <c r="L89" s="412"/>
      <c r="M89" s="22"/>
      <c r="N89" s="610"/>
      <c r="O89" s="610"/>
      <c r="P89" s="610"/>
    </row>
    <row r="90" spans="1:16" s="611" customFormat="1" ht="15.75">
      <c r="A90" s="607"/>
      <c r="B90" s="608"/>
      <c r="C90" s="609"/>
      <c r="D90" s="609"/>
      <c r="E90" s="412"/>
      <c r="F90" s="123"/>
      <c r="G90" s="412"/>
      <c r="H90" s="412"/>
      <c r="I90" s="413"/>
      <c r="J90" s="412"/>
      <c r="K90" s="413"/>
      <c r="L90" s="412"/>
      <c r="M90" s="22"/>
      <c r="N90" s="610"/>
      <c r="O90" s="610"/>
      <c r="P90" s="610"/>
    </row>
    <row r="91" spans="1:16" s="611" customFormat="1" ht="15.75">
      <c r="A91" s="607"/>
      <c r="B91" s="608"/>
      <c r="C91" s="609"/>
      <c r="D91" s="609"/>
      <c r="E91" s="412"/>
      <c r="F91" s="123"/>
      <c r="G91" s="412"/>
      <c r="H91" s="412"/>
      <c r="I91" s="413"/>
      <c r="J91" s="412"/>
      <c r="K91" s="413"/>
      <c r="L91" s="412"/>
      <c r="M91" s="22"/>
      <c r="N91" s="610"/>
      <c r="O91" s="610"/>
      <c r="P91" s="610"/>
    </row>
    <row r="92" spans="1:16" s="611" customFormat="1" ht="15.75">
      <c r="A92" s="607"/>
      <c r="B92" s="608"/>
      <c r="C92" s="609"/>
      <c r="D92" s="609"/>
      <c r="E92" s="412"/>
      <c r="F92" s="123"/>
      <c r="G92" s="412"/>
      <c r="H92" s="412"/>
      <c r="I92" s="413"/>
      <c r="J92" s="412"/>
      <c r="K92" s="413"/>
      <c r="L92" s="412"/>
      <c r="M92" s="22"/>
      <c r="N92" s="610"/>
      <c r="O92" s="610"/>
      <c r="P92" s="610"/>
    </row>
    <row r="93" spans="1:16" s="611" customFormat="1" ht="15.75">
      <c r="A93" s="607"/>
      <c r="B93" s="608"/>
      <c r="C93" s="609"/>
      <c r="D93" s="609"/>
      <c r="E93" s="412"/>
      <c r="F93" s="123"/>
      <c r="G93" s="412"/>
      <c r="H93" s="412"/>
      <c r="I93" s="413"/>
      <c r="J93" s="412"/>
      <c r="K93" s="413"/>
      <c r="L93" s="412"/>
      <c r="M93" s="22"/>
      <c r="N93" s="610"/>
      <c r="O93" s="610"/>
      <c r="P93" s="610"/>
    </row>
    <row r="94" spans="1:16" s="611" customFormat="1" ht="15.75">
      <c r="A94" s="607"/>
      <c r="B94" s="608"/>
      <c r="C94" s="609"/>
      <c r="D94" s="609"/>
      <c r="E94" s="412"/>
      <c r="F94" s="123"/>
      <c r="G94" s="412"/>
      <c r="H94" s="412"/>
      <c r="I94" s="413"/>
      <c r="J94" s="412"/>
      <c r="K94" s="413"/>
      <c r="L94" s="412"/>
      <c r="M94" s="22"/>
      <c r="N94" s="610"/>
      <c r="O94" s="610"/>
      <c r="P94" s="610"/>
    </row>
    <row r="95" spans="1:16" s="611" customFormat="1" ht="15.75">
      <c r="A95" s="607"/>
      <c r="B95" s="608"/>
      <c r="C95" s="609"/>
      <c r="D95" s="609"/>
      <c r="E95" s="412"/>
      <c r="F95" s="123"/>
      <c r="G95" s="412"/>
      <c r="H95" s="412"/>
      <c r="I95" s="413"/>
      <c r="J95" s="412"/>
      <c r="K95" s="413"/>
      <c r="L95" s="412"/>
      <c r="M95" s="22"/>
      <c r="N95" s="610"/>
      <c r="O95" s="610"/>
      <c r="P95" s="610"/>
    </row>
    <row r="96" spans="1:16" s="611" customFormat="1" ht="15.75">
      <c r="A96" s="607"/>
      <c r="B96" s="608"/>
      <c r="C96" s="609"/>
      <c r="D96" s="609"/>
      <c r="E96" s="412"/>
      <c r="F96" s="123"/>
      <c r="G96" s="412"/>
      <c r="H96" s="412"/>
      <c r="I96" s="413"/>
      <c r="J96" s="412"/>
      <c r="K96" s="413"/>
      <c r="L96" s="412"/>
      <c r="M96" s="22"/>
      <c r="N96" s="610"/>
      <c r="O96" s="610"/>
      <c r="P96" s="610"/>
    </row>
    <row r="97" spans="1:16" s="611" customFormat="1" ht="15.75">
      <c r="A97" s="607"/>
      <c r="B97" s="608"/>
      <c r="C97" s="609"/>
      <c r="D97" s="609"/>
      <c r="E97" s="412"/>
      <c r="F97" s="123"/>
      <c r="G97" s="412"/>
      <c r="H97" s="412"/>
      <c r="I97" s="413"/>
      <c r="J97" s="412"/>
      <c r="K97" s="413"/>
      <c r="L97" s="412"/>
      <c r="M97" s="22"/>
      <c r="N97" s="610"/>
      <c r="O97" s="610"/>
      <c r="P97" s="610"/>
    </row>
    <row r="98" spans="1:16" s="611" customFormat="1" ht="15.75">
      <c r="A98" s="607"/>
      <c r="B98" s="608"/>
      <c r="C98" s="609"/>
      <c r="D98" s="609"/>
      <c r="E98" s="412"/>
      <c r="F98" s="123"/>
      <c r="G98" s="412"/>
      <c r="H98" s="412"/>
      <c r="I98" s="413"/>
      <c r="J98" s="412"/>
      <c r="K98" s="413"/>
      <c r="L98" s="412"/>
      <c r="M98" s="22"/>
      <c r="N98" s="610"/>
      <c r="O98" s="610"/>
      <c r="P98" s="610"/>
    </row>
    <row r="99" spans="1:16" s="611" customFormat="1" ht="15.75">
      <c r="A99" s="607"/>
      <c r="B99" s="608"/>
      <c r="C99" s="609"/>
      <c r="D99" s="609"/>
      <c r="E99" s="412"/>
      <c r="F99" s="123"/>
      <c r="G99" s="412"/>
      <c r="H99" s="412"/>
      <c r="I99" s="413"/>
      <c r="J99" s="412"/>
      <c r="K99" s="413"/>
      <c r="L99" s="412"/>
      <c r="M99" s="22"/>
      <c r="N99" s="610"/>
      <c r="O99" s="610"/>
      <c r="P99" s="610"/>
    </row>
    <row r="100" spans="1:16" s="611" customFormat="1" ht="15.75">
      <c r="A100" s="607"/>
      <c r="B100" s="608"/>
      <c r="C100" s="609"/>
      <c r="D100" s="609"/>
      <c r="E100" s="412"/>
      <c r="F100" s="123"/>
      <c r="G100" s="412"/>
      <c r="H100" s="412"/>
      <c r="I100" s="413"/>
      <c r="J100" s="412"/>
      <c r="K100" s="413"/>
      <c r="L100" s="412"/>
      <c r="M100" s="22"/>
      <c r="N100" s="610"/>
      <c r="O100" s="610"/>
      <c r="P100" s="610"/>
    </row>
    <row r="101" spans="1:16" s="611" customFormat="1" ht="15.75">
      <c r="A101" s="607"/>
      <c r="B101" s="608"/>
      <c r="C101" s="609"/>
      <c r="D101" s="609"/>
      <c r="E101" s="412"/>
      <c r="F101" s="123"/>
      <c r="G101" s="412"/>
      <c r="H101" s="412"/>
      <c r="I101" s="413"/>
      <c r="J101" s="412"/>
      <c r="K101" s="413"/>
      <c r="L101" s="412"/>
      <c r="M101" s="22"/>
      <c r="N101" s="610"/>
      <c r="O101" s="610"/>
      <c r="P101" s="610"/>
    </row>
    <row r="102" spans="1:16" s="611" customFormat="1" ht="15.75">
      <c r="A102" s="607"/>
      <c r="B102" s="608"/>
      <c r="C102" s="609"/>
      <c r="D102" s="609"/>
      <c r="E102" s="412"/>
      <c r="F102" s="123"/>
      <c r="G102" s="412"/>
      <c r="H102" s="412"/>
      <c r="I102" s="413"/>
      <c r="J102" s="412"/>
      <c r="K102" s="413"/>
      <c r="L102" s="412"/>
      <c r="M102" s="22"/>
      <c r="N102" s="610"/>
      <c r="O102" s="610"/>
      <c r="P102" s="610"/>
    </row>
    <row r="103" spans="1:16" s="611" customFormat="1" ht="15.75">
      <c r="A103" s="607"/>
      <c r="B103" s="608"/>
      <c r="C103" s="609"/>
      <c r="D103" s="609"/>
      <c r="E103" s="412"/>
      <c r="F103" s="123"/>
      <c r="G103" s="412"/>
      <c r="H103" s="412"/>
      <c r="I103" s="413"/>
      <c r="J103" s="412"/>
      <c r="K103" s="413"/>
      <c r="L103" s="412"/>
      <c r="M103" s="22"/>
      <c r="N103" s="610"/>
      <c r="O103" s="610"/>
      <c r="P103" s="610"/>
    </row>
    <row r="104" spans="1:16" s="611" customFormat="1" ht="15.75">
      <c r="A104" s="607"/>
      <c r="B104" s="608"/>
      <c r="C104" s="609"/>
      <c r="D104" s="609"/>
      <c r="E104" s="412"/>
      <c r="F104" s="123"/>
      <c r="G104" s="412"/>
      <c r="H104" s="412"/>
      <c r="I104" s="413"/>
      <c r="J104" s="412"/>
      <c r="K104" s="413"/>
      <c r="L104" s="412"/>
      <c r="M104" s="22"/>
      <c r="N104" s="610"/>
      <c r="O104" s="610"/>
      <c r="P104" s="610"/>
    </row>
    <row r="105" spans="1:16" s="611" customFormat="1" ht="15.75">
      <c r="A105" s="607"/>
      <c r="B105" s="608"/>
      <c r="C105" s="609"/>
      <c r="D105" s="609"/>
      <c r="E105" s="412"/>
      <c r="F105" s="123"/>
      <c r="G105" s="412"/>
      <c r="H105" s="412"/>
      <c r="I105" s="413"/>
      <c r="J105" s="412"/>
      <c r="K105" s="413"/>
      <c r="L105" s="412"/>
      <c r="M105" s="22"/>
      <c r="N105" s="610"/>
      <c r="O105" s="610"/>
      <c r="P105" s="610"/>
    </row>
    <row r="106" spans="1:16" s="611" customFormat="1" ht="15.75">
      <c r="A106" s="607"/>
      <c r="B106" s="608"/>
      <c r="C106" s="609"/>
      <c r="D106" s="609"/>
      <c r="E106" s="412"/>
      <c r="F106" s="123"/>
      <c r="G106" s="412"/>
      <c r="H106" s="412"/>
      <c r="I106" s="413"/>
      <c r="J106" s="412"/>
      <c r="K106" s="413"/>
      <c r="L106" s="412"/>
      <c r="M106" s="22"/>
      <c r="N106" s="610"/>
      <c r="O106" s="610"/>
      <c r="P106" s="610"/>
    </row>
    <row r="107" spans="1:16" s="611" customFormat="1" ht="15.75">
      <c r="A107" s="607"/>
      <c r="B107" s="608"/>
      <c r="C107" s="609"/>
      <c r="D107" s="609"/>
      <c r="E107" s="412"/>
      <c r="F107" s="123"/>
      <c r="G107" s="412"/>
      <c r="H107" s="412"/>
      <c r="I107" s="413"/>
      <c r="J107" s="412"/>
      <c r="K107" s="413"/>
      <c r="L107" s="412"/>
      <c r="M107" s="22"/>
      <c r="N107" s="610"/>
      <c r="O107" s="610"/>
      <c r="P107" s="610"/>
    </row>
    <row r="108" spans="1:16" s="611" customFormat="1" ht="15.75">
      <c r="A108" s="607"/>
      <c r="B108" s="608"/>
      <c r="C108" s="609"/>
      <c r="D108" s="609"/>
      <c r="E108" s="412"/>
      <c r="F108" s="123"/>
      <c r="G108" s="412"/>
      <c r="H108" s="412"/>
      <c r="I108" s="413"/>
      <c r="J108" s="412"/>
      <c r="K108" s="413"/>
      <c r="L108" s="412"/>
      <c r="M108" s="22"/>
      <c r="N108" s="610"/>
      <c r="O108" s="610"/>
      <c r="P108" s="610"/>
    </row>
    <row r="109" spans="1:16" s="611" customFormat="1" ht="15.75">
      <c r="A109" s="607"/>
      <c r="B109" s="608"/>
      <c r="C109" s="609"/>
      <c r="D109" s="609"/>
      <c r="E109" s="412"/>
      <c r="F109" s="123"/>
      <c r="G109" s="412"/>
      <c r="H109" s="412"/>
      <c r="I109" s="413"/>
      <c r="J109" s="412"/>
      <c r="K109" s="413"/>
      <c r="L109" s="412"/>
      <c r="M109" s="22"/>
      <c r="N109" s="610"/>
      <c r="O109" s="610"/>
      <c r="P109" s="610"/>
    </row>
    <row r="110" spans="1:16" s="611" customFormat="1" ht="15.75">
      <c r="A110" s="607"/>
      <c r="B110" s="608"/>
      <c r="C110" s="609"/>
      <c r="D110" s="609"/>
      <c r="E110" s="412"/>
      <c r="F110" s="123"/>
      <c r="G110" s="412"/>
      <c r="H110" s="412"/>
      <c r="I110" s="413"/>
      <c r="J110" s="412"/>
      <c r="K110" s="413"/>
      <c r="L110" s="412"/>
      <c r="M110" s="22"/>
      <c r="N110" s="610"/>
      <c r="O110" s="610"/>
      <c r="P110" s="610"/>
    </row>
    <row r="111" spans="1:16" s="611" customFormat="1" ht="15.75">
      <c r="A111" s="607"/>
      <c r="B111" s="608"/>
      <c r="C111" s="609"/>
      <c r="D111" s="609"/>
      <c r="E111" s="412"/>
      <c r="F111" s="123"/>
      <c r="G111" s="412"/>
      <c r="H111" s="412"/>
      <c r="I111" s="413"/>
      <c r="J111" s="412"/>
      <c r="K111" s="413"/>
      <c r="L111" s="412"/>
      <c r="M111" s="22"/>
      <c r="N111" s="610"/>
      <c r="O111" s="610"/>
      <c r="P111" s="610"/>
    </row>
    <row r="112" spans="1:16" s="611" customFormat="1" ht="15.75">
      <c r="A112" s="607"/>
      <c r="B112" s="608"/>
      <c r="C112" s="609"/>
      <c r="D112" s="609"/>
      <c r="E112" s="412"/>
      <c r="F112" s="123"/>
      <c r="G112" s="412"/>
      <c r="H112" s="412"/>
      <c r="I112" s="413"/>
      <c r="J112" s="412"/>
      <c r="K112" s="413"/>
      <c r="L112" s="412"/>
      <c r="M112" s="22"/>
      <c r="N112" s="610"/>
      <c r="O112" s="610"/>
      <c r="P112" s="610"/>
    </row>
    <row r="113" spans="1:16" s="611" customFormat="1" ht="15.75">
      <c r="A113" s="607"/>
      <c r="B113" s="608"/>
      <c r="C113" s="609"/>
      <c r="D113" s="609"/>
      <c r="E113" s="412"/>
      <c r="F113" s="123"/>
      <c r="G113" s="412"/>
      <c r="H113" s="412"/>
      <c r="I113" s="413"/>
      <c r="J113" s="412"/>
      <c r="K113" s="413"/>
      <c r="L113" s="412"/>
      <c r="M113" s="22"/>
      <c r="N113" s="610"/>
      <c r="O113" s="610"/>
      <c r="P113" s="610"/>
    </row>
    <row r="114" spans="1:16" s="611" customFormat="1" ht="15.75">
      <c r="A114" s="607"/>
      <c r="B114" s="608"/>
      <c r="C114" s="609"/>
      <c r="D114" s="609"/>
      <c r="E114" s="412"/>
      <c r="F114" s="123"/>
      <c r="G114" s="412"/>
      <c r="H114" s="412"/>
      <c r="I114" s="413"/>
      <c r="J114" s="412"/>
      <c r="K114" s="413"/>
      <c r="L114" s="412"/>
      <c r="M114" s="22"/>
      <c r="N114" s="610"/>
      <c r="O114" s="610"/>
      <c r="P114" s="610"/>
    </row>
    <row r="115" spans="1:16" s="611" customFormat="1" ht="15.75">
      <c r="A115" s="607"/>
      <c r="B115" s="608"/>
      <c r="C115" s="609"/>
      <c r="D115" s="609"/>
      <c r="E115" s="412"/>
      <c r="F115" s="123"/>
      <c r="G115" s="412"/>
      <c r="H115" s="412"/>
      <c r="I115" s="413"/>
      <c r="J115" s="412"/>
      <c r="K115" s="413"/>
      <c r="L115" s="412"/>
      <c r="M115" s="22"/>
      <c r="N115" s="610"/>
      <c r="O115" s="610"/>
      <c r="P115" s="610"/>
    </row>
    <row r="116" spans="1:16" s="611" customFormat="1" ht="15.75">
      <c r="A116" s="607"/>
      <c r="B116" s="608"/>
      <c r="C116" s="609"/>
      <c r="D116" s="609"/>
      <c r="E116" s="412"/>
      <c r="F116" s="123"/>
      <c r="G116" s="412"/>
      <c r="H116" s="412"/>
      <c r="I116" s="413"/>
      <c r="J116" s="412"/>
      <c r="K116" s="413"/>
      <c r="L116" s="412"/>
      <c r="M116" s="22"/>
      <c r="N116" s="610"/>
      <c r="O116" s="610"/>
      <c r="P116" s="610"/>
    </row>
    <row r="117" spans="1:16" s="611" customFormat="1" ht="15.75">
      <c r="A117" s="607"/>
      <c r="B117" s="608"/>
      <c r="C117" s="609"/>
      <c r="D117" s="609"/>
      <c r="E117" s="412"/>
      <c r="F117" s="123"/>
      <c r="G117" s="412"/>
      <c r="H117" s="412"/>
      <c r="I117" s="413"/>
      <c r="J117" s="412"/>
      <c r="K117" s="413"/>
      <c r="L117" s="412"/>
      <c r="M117" s="22"/>
      <c r="N117" s="610"/>
      <c r="O117" s="610"/>
      <c r="P117" s="610"/>
    </row>
    <row r="118" spans="1:16" s="611" customFormat="1" ht="15.75">
      <c r="A118" s="607"/>
      <c r="B118" s="608"/>
      <c r="C118" s="609"/>
      <c r="D118" s="609"/>
      <c r="E118" s="412"/>
      <c r="F118" s="123"/>
      <c r="G118" s="412"/>
      <c r="H118" s="412"/>
      <c r="I118" s="413"/>
      <c r="J118" s="412"/>
      <c r="K118" s="413"/>
      <c r="L118" s="412"/>
      <c r="M118" s="22"/>
      <c r="N118" s="610"/>
      <c r="O118" s="610"/>
      <c r="P118" s="610"/>
    </row>
    <row r="119" spans="1:16" s="611" customFormat="1" ht="15.75">
      <c r="A119" s="607"/>
      <c r="B119" s="608"/>
      <c r="C119" s="609"/>
      <c r="D119" s="609"/>
      <c r="E119" s="412"/>
      <c r="F119" s="123"/>
      <c r="G119" s="412"/>
      <c r="H119" s="412"/>
      <c r="I119" s="413"/>
      <c r="J119" s="412"/>
      <c r="K119" s="413"/>
      <c r="L119" s="412"/>
      <c r="M119" s="22"/>
      <c r="N119" s="610"/>
      <c r="O119" s="610"/>
      <c r="P119" s="610"/>
    </row>
    <row r="120" spans="1:16" s="611" customFormat="1" ht="15.75">
      <c r="A120" s="607"/>
      <c r="B120" s="608"/>
      <c r="C120" s="609"/>
      <c r="D120" s="609"/>
      <c r="E120" s="412"/>
      <c r="F120" s="123"/>
      <c r="G120" s="412"/>
      <c r="H120" s="412"/>
      <c r="I120" s="413"/>
      <c r="J120" s="412"/>
      <c r="K120" s="413"/>
      <c r="L120" s="412"/>
      <c r="M120" s="22"/>
      <c r="N120" s="610"/>
      <c r="O120" s="610"/>
      <c r="P120" s="610"/>
    </row>
    <row r="121" spans="1:16" s="611" customFormat="1" ht="15.75">
      <c r="A121" s="607"/>
      <c r="B121" s="608"/>
      <c r="C121" s="609"/>
      <c r="D121" s="609"/>
      <c r="E121" s="412"/>
      <c r="F121" s="123"/>
      <c r="G121" s="412"/>
      <c r="H121" s="412"/>
      <c r="I121" s="413"/>
      <c r="J121" s="412"/>
      <c r="K121" s="413"/>
      <c r="L121" s="412"/>
      <c r="M121" s="22"/>
      <c r="N121" s="610"/>
      <c r="O121" s="610"/>
      <c r="P121" s="610"/>
    </row>
    <row r="122" spans="1:16" s="611" customFormat="1" ht="15.75">
      <c r="A122" s="607"/>
      <c r="B122" s="608"/>
      <c r="C122" s="609"/>
      <c r="D122" s="609"/>
      <c r="E122" s="412"/>
      <c r="F122" s="123"/>
      <c r="G122" s="412"/>
      <c r="H122" s="412"/>
      <c r="I122" s="413"/>
      <c r="J122" s="412"/>
      <c r="K122" s="413"/>
      <c r="L122" s="412"/>
      <c r="M122" s="22"/>
      <c r="N122" s="610"/>
      <c r="O122" s="610"/>
      <c r="P122" s="610"/>
    </row>
    <row r="123" spans="1:16" s="611" customFormat="1" ht="15.75">
      <c r="A123" s="607"/>
      <c r="B123" s="608"/>
      <c r="C123" s="609"/>
      <c r="D123" s="609"/>
      <c r="E123" s="412"/>
      <c r="F123" s="123"/>
      <c r="G123" s="412"/>
      <c r="H123" s="412"/>
      <c r="I123" s="413"/>
      <c r="J123" s="412"/>
      <c r="K123" s="413"/>
      <c r="L123" s="412"/>
      <c r="M123" s="22"/>
      <c r="N123" s="610"/>
      <c r="O123" s="610"/>
      <c r="P123" s="610"/>
    </row>
    <row r="124" spans="1:16" s="611" customFormat="1" ht="15.75">
      <c r="A124" s="607"/>
      <c r="B124" s="608"/>
      <c r="C124" s="609"/>
      <c r="D124" s="609"/>
      <c r="E124" s="412"/>
      <c r="F124" s="123"/>
      <c r="G124" s="412"/>
      <c r="H124" s="412"/>
      <c r="I124" s="413"/>
      <c r="J124" s="412"/>
      <c r="K124" s="413"/>
      <c r="L124" s="412"/>
      <c r="M124" s="22"/>
      <c r="N124" s="610"/>
      <c r="O124" s="610"/>
      <c r="P124" s="610"/>
    </row>
    <row r="125" spans="1:16" s="611" customFormat="1" ht="15.75">
      <c r="A125" s="607"/>
      <c r="B125" s="608"/>
      <c r="C125" s="609"/>
      <c r="D125" s="609"/>
      <c r="E125" s="412"/>
      <c r="F125" s="123"/>
      <c r="G125" s="412"/>
      <c r="H125" s="412"/>
      <c r="I125" s="413"/>
      <c r="J125" s="412"/>
      <c r="K125" s="413"/>
      <c r="L125" s="412"/>
      <c r="M125" s="22"/>
      <c r="N125" s="610"/>
      <c r="O125" s="610"/>
      <c r="P125" s="610"/>
    </row>
    <row r="126" spans="1:16" s="611" customFormat="1" ht="15.75">
      <c r="A126" s="607"/>
      <c r="B126" s="608"/>
      <c r="C126" s="609"/>
      <c r="D126" s="609"/>
      <c r="E126" s="412"/>
      <c r="F126" s="123"/>
      <c r="G126" s="412"/>
      <c r="H126" s="412"/>
      <c r="I126" s="413"/>
      <c r="J126" s="412"/>
      <c r="K126" s="413"/>
      <c r="L126" s="412"/>
      <c r="M126" s="22"/>
      <c r="N126" s="610"/>
      <c r="O126" s="610"/>
      <c r="P126" s="610"/>
    </row>
    <row r="127" spans="1:16" s="611" customFormat="1" ht="15.75">
      <c r="A127" s="607"/>
      <c r="B127" s="608"/>
      <c r="C127" s="609"/>
      <c r="D127" s="609"/>
      <c r="E127" s="412"/>
      <c r="F127" s="123"/>
      <c r="G127" s="412"/>
      <c r="H127" s="412"/>
      <c r="I127" s="413"/>
      <c r="J127" s="412"/>
      <c r="K127" s="413"/>
      <c r="L127" s="412"/>
      <c r="M127" s="22"/>
      <c r="N127" s="610"/>
      <c r="O127" s="610"/>
      <c r="P127" s="610"/>
    </row>
    <row r="128" spans="1:16" s="611" customFormat="1" ht="15.75">
      <c r="A128" s="607"/>
      <c r="B128" s="608"/>
      <c r="C128" s="609"/>
      <c r="D128" s="609"/>
      <c r="E128" s="412"/>
      <c r="F128" s="123"/>
      <c r="G128" s="412"/>
      <c r="H128" s="412"/>
      <c r="I128" s="413"/>
      <c r="J128" s="412"/>
      <c r="K128" s="413"/>
      <c r="L128" s="412"/>
      <c r="M128" s="22"/>
      <c r="N128" s="610"/>
      <c r="O128" s="610"/>
      <c r="P128" s="610"/>
    </row>
    <row r="129" spans="1:16" s="611" customFormat="1" ht="15.75">
      <c r="A129" s="607"/>
      <c r="B129" s="608"/>
      <c r="C129" s="609"/>
      <c r="D129" s="609"/>
      <c r="E129" s="412"/>
      <c r="F129" s="123"/>
      <c r="G129" s="412"/>
      <c r="H129" s="412"/>
      <c r="I129" s="413"/>
      <c r="J129" s="412"/>
      <c r="K129" s="413"/>
      <c r="L129" s="412"/>
      <c r="M129" s="22"/>
      <c r="N129" s="610"/>
      <c r="O129" s="610"/>
      <c r="P129" s="610"/>
    </row>
    <row r="130" spans="1:16" s="611" customFormat="1" ht="15.75">
      <c r="A130" s="607"/>
      <c r="B130" s="608"/>
      <c r="C130" s="609"/>
      <c r="D130" s="609"/>
      <c r="E130" s="412"/>
      <c r="F130" s="123"/>
      <c r="G130" s="412"/>
      <c r="H130" s="412"/>
      <c r="I130" s="413"/>
      <c r="J130" s="412"/>
      <c r="K130" s="413"/>
      <c r="L130" s="412"/>
      <c r="M130" s="22"/>
      <c r="N130" s="610"/>
      <c r="O130" s="610"/>
      <c r="P130" s="610"/>
    </row>
    <row r="131" spans="1:16" s="611" customFormat="1" ht="15.75">
      <c r="A131" s="607"/>
      <c r="B131" s="608"/>
      <c r="C131" s="609"/>
      <c r="D131" s="609"/>
      <c r="E131" s="412"/>
      <c r="F131" s="123"/>
      <c r="G131" s="412"/>
      <c r="H131" s="412"/>
      <c r="I131" s="413"/>
      <c r="J131" s="412"/>
      <c r="K131" s="413"/>
      <c r="L131" s="412"/>
      <c r="M131" s="22"/>
      <c r="N131" s="610"/>
      <c r="O131" s="610"/>
      <c r="P131" s="610"/>
    </row>
    <row r="132" spans="1:16" s="611" customFormat="1" ht="15.75">
      <c r="A132" s="607"/>
      <c r="B132" s="608"/>
      <c r="C132" s="609"/>
      <c r="D132" s="609"/>
      <c r="E132" s="412"/>
      <c r="F132" s="123"/>
      <c r="G132" s="412"/>
      <c r="H132" s="412"/>
      <c r="I132" s="413"/>
      <c r="J132" s="412"/>
      <c r="K132" s="413"/>
      <c r="L132" s="412"/>
      <c r="M132" s="22"/>
      <c r="N132" s="610"/>
      <c r="O132" s="610"/>
      <c r="P132" s="610"/>
    </row>
    <row r="133" spans="1:16" s="611" customFormat="1" ht="15.75">
      <c r="A133" s="607"/>
      <c r="B133" s="608"/>
      <c r="C133" s="609"/>
      <c r="D133" s="609"/>
      <c r="E133" s="412"/>
      <c r="F133" s="123"/>
      <c r="G133" s="412"/>
      <c r="H133" s="412"/>
      <c r="I133" s="413"/>
      <c r="J133" s="412"/>
      <c r="K133" s="413"/>
      <c r="L133" s="412"/>
      <c r="M133" s="22"/>
      <c r="N133" s="610"/>
      <c r="O133" s="610"/>
      <c r="P133" s="610"/>
    </row>
    <row r="134" spans="1:16" s="611" customFormat="1" ht="15.75">
      <c r="A134" s="607"/>
      <c r="B134" s="608"/>
      <c r="C134" s="609"/>
      <c r="D134" s="609"/>
      <c r="E134" s="412"/>
      <c r="F134" s="123"/>
      <c r="G134" s="412"/>
      <c r="H134" s="412"/>
      <c r="I134" s="413"/>
      <c r="J134" s="412"/>
      <c r="K134" s="413"/>
      <c r="L134" s="412"/>
      <c r="M134" s="22"/>
      <c r="N134" s="610"/>
      <c r="O134" s="610"/>
      <c r="P134" s="610"/>
    </row>
    <row r="135" spans="1:16" s="611" customFormat="1" ht="15.75">
      <c r="A135" s="607"/>
      <c r="B135" s="608"/>
      <c r="C135" s="609"/>
      <c r="D135" s="609"/>
      <c r="E135" s="412"/>
      <c r="F135" s="123"/>
      <c r="G135" s="412"/>
      <c r="H135" s="412"/>
      <c r="I135" s="413"/>
      <c r="J135" s="412"/>
      <c r="K135" s="413"/>
      <c r="L135" s="412"/>
      <c r="M135" s="22"/>
      <c r="N135" s="610"/>
      <c r="O135" s="610"/>
      <c r="P135" s="610"/>
    </row>
    <row r="136" spans="1:16" s="611" customFormat="1" ht="15.75">
      <c r="A136" s="607"/>
      <c r="B136" s="608"/>
      <c r="C136" s="609"/>
      <c r="D136" s="609"/>
      <c r="E136" s="412"/>
      <c r="F136" s="123"/>
      <c r="G136" s="412"/>
      <c r="H136" s="412"/>
      <c r="I136" s="413"/>
      <c r="J136" s="412"/>
      <c r="K136" s="413"/>
      <c r="L136" s="412"/>
      <c r="M136" s="22"/>
      <c r="N136" s="610"/>
      <c r="O136" s="610"/>
      <c r="P136" s="610"/>
    </row>
    <row r="137" spans="1:16" s="611" customFormat="1" ht="15.75">
      <c r="A137" s="607"/>
      <c r="B137" s="608"/>
      <c r="C137" s="609"/>
      <c r="D137" s="609"/>
      <c r="E137" s="412"/>
      <c r="F137" s="123"/>
      <c r="G137" s="412"/>
      <c r="H137" s="412"/>
      <c r="I137" s="413"/>
      <c r="J137" s="412"/>
      <c r="K137" s="413"/>
      <c r="L137" s="412"/>
      <c r="M137" s="22"/>
      <c r="N137" s="610"/>
      <c r="O137" s="610"/>
      <c r="P137" s="610"/>
    </row>
    <row r="138" spans="1:16" s="611" customFormat="1" ht="15.75">
      <c r="A138" s="607"/>
      <c r="B138" s="608"/>
      <c r="C138" s="609"/>
      <c r="D138" s="609"/>
      <c r="E138" s="412"/>
      <c r="F138" s="123"/>
      <c r="G138" s="412"/>
      <c r="H138" s="412"/>
      <c r="I138" s="413"/>
      <c r="J138" s="412"/>
      <c r="K138" s="413"/>
      <c r="L138" s="412"/>
      <c r="M138" s="22"/>
      <c r="N138" s="610"/>
      <c r="O138" s="610"/>
      <c r="P138" s="610"/>
    </row>
    <row r="139" spans="1:16" s="611" customFormat="1" ht="15.75">
      <c r="A139" s="607"/>
      <c r="B139" s="608"/>
      <c r="C139" s="609"/>
      <c r="D139" s="609"/>
      <c r="E139" s="412"/>
      <c r="F139" s="123"/>
      <c r="G139" s="412"/>
      <c r="H139" s="412"/>
      <c r="I139" s="413"/>
      <c r="J139" s="412"/>
      <c r="K139" s="413"/>
      <c r="L139" s="412"/>
      <c r="M139" s="22"/>
      <c r="N139" s="610"/>
      <c r="O139" s="610"/>
      <c r="P139" s="610"/>
    </row>
    <row r="140" spans="1:16" s="611" customFormat="1" ht="15.75">
      <c r="A140" s="766"/>
      <c r="C140" s="610"/>
      <c r="D140" s="610"/>
      <c r="E140" s="180"/>
      <c r="F140" s="113"/>
      <c r="G140" s="180"/>
      <c r="H140" s="180"/>
      <c r="I140" s="192"/>
      <c r="J140" s="180"/>
      <c r="K140" s="192"/>
      <c r="L140" s="180"/>
      <c r="M140" s="22"/>
      <c r="N140" s="610"/>
      <c r="O140" s="610"/>
      <c r="P140" s="610"/>
    </row>
    <row r="141" spans="1:16" s="611" customFormat="1" ht="15.75">
      <c r="A141" s="766"/>
      <c r="C141" s="610"/>
      <c r="D141" s="610"/>
      <c r="E141" s="180"/>
      <c r="F141" s="113"/>
      <c r="G141" s="180"/>
      <c r="H141" s="180"/>
      <c r="I141" s="192"/>
      <c r="J141" s="180"/>
      <c r="K141" s="192"/>
      <c r="L141" s="180"/>
      <c r="M141" s="22"/>
      <c r="N141" s="610"/>
      <c r="O141" s="610"/>
      <c r="P141" s="610"/>
    </row>
    <row r="142" spans="1:16" s="611" customFormat="1" ht="15.75">
      <c r="A142" s="766"/>
      <c r="C142" s="610"/>
      <c r="D142" s="610"/>
      <c r="E142" s="180"/>
      <c r="F142" s="113"/>
      <c r="G142" s="180"/>
      <c r="H142" s="180"/>
      <c r="I142" s="192"/>
      <c r="J142" s="180"/>
      <c r="K142" s="192"/>
      <c r="L142" s="180"/>
      <c r="M142" s="22"/>
      <c r="N142" s="610"/>
      <c r="O142" s="610"/>
      <c r="P142" s="610"/>
    </row>
    <row r="143" spans="1:16" s="611" customFormat="1" ht="15.75">
      <c r="A143" s="766"/>
      <c r="C143" s="610"/>
      <c r="D143" s="610"/>
      <c r="E143" s="180"/>
      <c r="F143" s="113"/>
      <c r="G143" s="180"/>
      <c r="H143" s="180"/>
      <c r="I143" s="192"/>
      <c r="J143" s="180"/>
      <c r="K143" s="192"/>
      <c r="L143" s="180"/>
      <c r="M143" s="22"/>
      <c r="N143" s="610"/>
      <c r="O143" s="610"/>
      <c r="P143" s="610"/>
    </row>
    <row r="187" spans="1:4" ht="15.75">
      <c r="A187" s="767"/>
      <c r="B187" s="22"/>
      <c r="C187" s="180"/>
      <c r="D187" s="180"/>
    </row>
    <row r="188" spans="1:4" ht="15.75">
      <c r="A188" s="767"/>
      <c r="B188" s="22"/>
      <c r="C188" s="180"/>
      <c r="D188" s="180"/>
    </row>
    <row r="189" spans="1:4" ht="15.75">
      <c r="A189" s="767"/>
      <c r="B189" s="22"/>
      <c r="C189" s="180"/>
      <c r="D189" s="180"/>
    </row>
    <row r="190" spans="1:4" ht="15.75">
      <c r="A190" s="767"/>
      <c r="B190" s="22"/>
      <c r="C190" s="180"/>
      <c r="D190" s="180"/>
    </row>
    <row r="191" spans="1:4" ht="15.75">
      <c r="A191" s="767"/>
      <c r="B191" s="22"/>
      <c r="C191" s="180"/>
      <c r="D191" s="180"/>
    </row>
    <row r="192" spans="1:4" ht="15.75">
      <c r="A192" s="767"/>
      <c r="B192" s="22"/>
      <c r="C192" s="180"/>
      <c r="D192" s="180"/>
    </row>
    <row r="193" spans="1:4" ht="15.75">
      <c r="A193" s="767"/>
      <c r="B193" s="22"/>
      <c r="C193" s="180"/>
      <c r="D193" s="180"/>
    </row>
    <row r="194" spans="1:4" ht="15.75">
      <c r="A194" s="767"/>
      <c r="B194" s="22"/>
      <c r="C194" s="180"/>
      <c r="D194" s="180"/>
    </row>
    <row r="195" spans="1:4" ht="15.75">
      <c r="A195" s="767"/>
      <c r="B195" s="22"/>
      <c r="C195" s="180"/>
      <c r="D195" s="180"/>
    </row>
    <row r="196" spans="1:4" ht="15.75">
      <c r="A196" s="767"/>
      <c r="B196" s="22"/>
      <c r="C196" s="180"/>
      <c r="D196" s="180"/>
    </row>
    <row r="197" spans="1:4" ht="15.75">
      <c r="A197" s="767"/>
      <c r="B197" s="22"/>
      <c r="C197" s="180"/>
      <c r="D197" s="180"/>
    </row>
    <row r="198" spans="1:4" ht="15.75">
      <c r="A198" s="767"/>
      <c r="B198" s="22"/>
      <c r="C198" s="180"/>
      <c r="D198" s="180"/>
    </row>
    <row r="199" spans="1:4" ht="15.75">
      <c r="A199" s="767"/>
      <c r="B199" s="22"/>
      <c r="C199" s="180"/>
      <c r="D199" s="180"/>
    </row>
    <row r="200" spans="1:4" ht="15.75">
      <c r="A200" s="767"/>
      <c r="B200" s="22"/>
      <c r="C200" s="180"/>
      <c r="D200" s="180"/>
    </row>
    <row r="201" spans="1:4" ht="15.75">
      <c r="A201" s="767"/>
      <c r="B201" s="22"/>
      <c r="C201" s="180"/>
      <c r="D201" s="180"/>
    </row>
    <row r="202" spans="1:4" ht="15.75">
      <c r="A202" s="767"/>
      <c r="B202" s="22"/>
      <c r="C202" s="180"/>
      <c r="D202" s="180"/>
    </row>
    <row r="203" spans="1:4" ht="15.75">
      <c r="A203" s="767"/>
      <c r="B203" s="22"/>
      <c r="C203" s="180"/>
      <c r="D203" s="180"/>
    </row>
    <row r="204" spans="1:4" ht="15.75">
      <c r="A204" s="767"/>
      <c r="B204" s="22"/>
      <c r="C204" s="180"/>
      <c r="D204" s="180"/>
    </row>
    <row r="205" spans="1:4" ht="15.75">
      <c r="A205" s="767"/>
      <c r="B205" s="22"/>
      <c r="C205" s="180"/>
      <c r="D205" s="180"/>
    </row>
    <row r="206" spans="1:4" ht="15.75">
      <c r="A206" s="767"/>
      <c r="B206" s="22"/>
      <c r="C206" s="180"/>
      <c r="D206" s="180"/>
    </row>
    <row r="207" spans="1:4" ht="15.75">
      <c r="A207" s="767"/>
      <c r="B207" s="22"/>
      <c r="C207" s="180"/>
      <c r="D207" s="180"/>
    </row>
    <row r="208" spans="1:4" ht="15.75">
      <c r="A208" s="767"/>
      <c r="B208" s="22"/>
      <c r="C208" s="180"/>
      <c r="D208" s="180"/>
    </row>
    <row r="209" spans="1:4" ht="15.75">
      <c r="A209" s="767"/>
      <c r="B209" s="22"/>
      <c r="C209" s="180"/>
      <c r="D209" s="180"/>
    </row>
    <row r="210" spans="1:4" ht="15.75">
      <c r="A210" s="767"/>
      <c r="B210" s="22"/>
      <c r="C210" s="180"/>
      <c r="D210" s="180"/>
    </row>
    <row r="211" spans="1:4" ht="15.75">
      <c r="A211" s="767"/>
      <c r="B211" s="22"/>
      <c r="C211" s="180"/>
      <c r="D211" s="180"/>
    </row>
    <row r="212" spans="1:4" ht="15.75">
      <c r="A212" s="767"/>
      <c r="B212" s="22"/>
      <c r="C212" s="180"/>
      <c r="D212" s="180"/>
    </row>
    <row r="213" spans="1:4" ht="15.75">
      <c r="A213" s="767"/>
      <c r="B213" s="22"/>
      <c r="C213" s="180"/>
      <c r="D213" s="180"/>
    </row>
    <row r="214" spans="1:4" ht="15.75">
      <c r="A214" s="767"/>
      <c r="B214" s="22"/>
      <c r="C214" s="180"/>
      <c r="D214" s="180"/>
    </row>
    <row r="215" spans="1:4" ht="15.75">
      <c r="A215" s="767"/>
      <c r="B215" s="22"/>
      <c r="C215" s="180"/>
      <c r="D215" s="180"/>
    </row>
    <row r="216" spans="1:4" ht="15.75">
      <c r="A216" s="767"/>
      <c r="B216" s="22"/>
      <c r="C216" s="180"/>
      <c r="D216" s="180"/>
    </row>
    <row r="217" spans="1:4" ht="15.75">
      <c r="A217" s="767"/>
      <c r="B217" s="22"/>
      <c r="C217" s="180"/>
      <c r="D217" s="180"/>
    </row>
    <row r="218" spans="1:4" ht="15.75">
      <c r="A218" s="767"/>
      <c r="B218" s="22"/>
      <c r="C218" s="180"/>
      <c r="D218" s="180"/>
    </row>
    <row r="219" spans="1:4" ht="15.75">
      <c r="A219" s="767"/>
      <c r="B219" s="22"/>
      <c r="C219" s="180"/>
      <c r="D219" s="180"/>
    </row>
    <row r="220" spans="1:4" ht="15.75">
      <c r="A220" s="767"/>
      <c r="B220" s="22"/>
      <c r="C220" s="180"/>
      <c r="D220" s="180"/>
    </row>
    <row r="221" spans="1:4" ht="15.75">
      <c r="A221" s="767"/>
      <c r="B221" s="22"/>
      <c r="C221" s="180"/>
      <c r="D221" s="180"/>
    </row>
    <row r="222" spans="1:4" ht="15.75">
      <c r="A222" s="767"/>
      <c r="B222" s="22"/>
      <c r="C222" s="180"/>
      <c r="D222" s="180"/>
    </row>
    <row r="223" spans="1:4" ht="15.75">
      <c r="A223" s="767"/>
      <c r="B223" s="22"/>
      <c r="C223" s="180"/>
      <c r="D223" s="180"/>
    </row>
    <row r="224" spans="1:4" ht="15.75">
      <c r="A224" s="767"/>
      <c r="B224" s="22"/>
      <c r="C224" s="180"/>
      <c r="D224" s="180"/>
    </row>
    <row r="225" spans="1:4" ht="15.75">
      <c r="A225" s="767"/>
      <c r="B225" s="22"/>
      <c r="C225" s="180"/>
      <c r="D225" s="180"/>
    </row>
    <row r="226" spans="1:4" ht="15.75">
      <c r="A226" s="767"/>
      <c r="B226" s="22"/>
      <c r="C226" s="180"/>
      <c r="D226" s="180"/>
    </row>
    <row r="227" spans="1:4" ht="15.75">
      <c r="A227" s="767"/>
      <c r="B227" s="22"/>
      <c r="C227" s="180"/>
      <c r="D227" s="180"/>
    </row>
    <row r="228" spans="1:4" ht="15.75">
      <c r="A228" s="767"/>
      <c r="B228" s="22"/>
      <c r="C228" s="180"/>
      <c r="D228" s="180"/>
    </row>
    <row r="229" spans="1:4" ht="15.75">
      <c r="A229" s="767"/>
      <c r="B229" s="22"/>
      <c r="C229" s="180"/>
      <c r="D229" s="180"/>
    </row>
    <row r="230" spans="1:4" ht="15.75">
      <c r="A230" s="767"/>
      <c r="B230" s="22"/>
      <c r="C230" s="180"/>
      <c r="D230" s="180"/>
    </row>
    <row r="231" spans="1:4" ht="15.75">
      <c r="A231" s="767"/>
      <c r="B231" s="22"/>
      <c r="C231" s="180"/>
      <c r="D231" s="180"/>
    </row>
    <row r="232" spans="1:4" ht="15.75">
      <c r="A232" s="767"/>
      <c r="B232" s="22"/>
      <c r="C232" s="180"/>
      <c r="D232" s="180"/>
    </row>
    <row r="233" spans="1:4" ht="15.75">
      <c r="A233" s="767"/>
      <c r="B233" s="22"/>
      <c r="C233" s="180"/>
      <c r="D233" s="180"/>
    </row>
    <row r="234" spans="1:4" ht="15.75">
      <c r="A234" s="767"/>
      <c r="B234" s="22"/>
      <c r="C234" s="180"/>
      <c r="D234" s="180"/>
    </row>
    <row r="235" spans="1:4" ht="15.75">
      <c r="A235" s="767"/>
      <c r="B235" s="22"/>
      <c r="C235" s="180"/>
      <c r="D235" s="180"/>
    </row>
    <row r="236" spans="1:4" ht="15.75">
      <c r="A236" s="767"/>
      <c r="B236" s="22"/>
      <c r="C236" s="180"/>
      <c r="D236" s="180"/>
    </row>
    <row r="237" spans="1:4" ht="15.75">
      <c r="A237" s="767"/>
      <c r="B237" s="22"/>
      <c r="C237" s="180"/>
      <c r="D237" s="180"/>
    </row>
    <row r="238" spans="1:4" ht="15.75">
      <c r="A238" s="767"/>
      <c r="B238" s="22"/>
      <c r="C238" s="180"/>
      <c r="D238" s="180"/>
    </row>
    <row r="239" spans="1:4" ht="15.75">
      <c r="A239" s="767"/>
      <c r="B239" s="22"/>
      <c r="C239" s="180"/>
      <c r="D239" s="180"/>
    </row>
    <row r="240" spans="1:4" ht="15.75">
      <c r="A240" s="767"/>
      <c r="B240" s="22"/>
      <c r="C240" s="180"/>
      <c r="D240" s="180"/>
    </row>
    <row r="241" spans="1:4" ht="15.75">
      <c r="A241" s="767"/>
      <c r="B241" s="22"/>
      <c r="C241" s="180"/>
      <c r="D241" s="180"/>
    </row>
    <row r="242" spans="1:4" ht="15.75">
      <c r="A242" s="767"/>
      <c r="B242" s="22"/>
      <c r="C242" s="180"/>
      <c r="D242" s="180"/>
    </row>
    <row r="243" spans="1:4" ht="15.75">
      <c r="A243" s="767"/>
      <c r="B243" s="22"/>
      <c r="C243" s="180"/>
      <c r="D243" s="180"/>
    </row>
    <row r="244" spans="1:4" ht="15.75">
      <c r="A244" s="767"/>
      <c r="B244" s="22"/>
      <c r="C244" s="180"/>
      <c r="D244" s="180"/>
    </row>
    <row r="245" spans="1:4" ht="15.75">
      <c r="A245" s="767"/>
      <c r="B245" s="22"/>
      <c r="C245" s="180"/>
      <c r="D245" s="180"/>
    </row>
    <row r="246" spans="1:4" ht="15.75">
      <c r="A246" s="767"/>
      <c r="B246" s="22"/>
      <c r="C246" s="180"/>
      <c r="D246" s="180"/>
    </row>
    <row r="247" spans="1:4" ht="15.75">
      <c r="A247" s="767"/>
      <c r="B247" s="22"/>
      <c r="C247" s="180"/>
      <c r="D247" s="180"/>
    </row>
    <row r="248" spans="1:4" ht="15.75">
      <c r="A248" s="767"/>
      <c r="B248" s="22"/>
      <c r="C248" s="180"/>
      <c r="D248" s="180"/>
    </row>
    <row r="249" spans="1:4" ht="15.75">
      <c r="A249" s="767"/>
      <c r="B249" s="22"/>
      <c r="C249" s="180"/>
      <c r="D249" s="180"/>
    </row>
    <row r="250" spans="1:4" ht="15.75">
      <c r="A250" s="767"/>
      <c r="B250" s="22"/>
      <c r="C250" s="180"/>
      <c r="D250" s="180"/>
    </row>
    <row r="251" spans="1:4" ht="15.75">
      <c r="A251" s="767"/>
      <c r="B251" s="22"/>
      <c r="C251" s="180"/>
      <c r="D251" s="180"/>
    </row>
    <row r="252" spans="1:4" ht="15.75">
      <c r="A252" s="767"/>
      <c r="B252" s="22"/>
      <c r="C252" s="180"/>
      <c r="D252" s="180"/>
    </row>
    <row r="253" spans="1:4" ht="15.75">
      <c r="A253" s="767"/>
      <c r="B253" s="22"/>
      <c r="C253" s="180"/>
      <c r="D253" s="180"/>
    </row>
    <row r="254" spans="1:4" ht="15.75">
      <c r="A254" s="767"/>
      <c r="B254" s="22"/>
      <c r="C254" s="180"/>
      <c r="D254" s="180"/>
    </row>
    <row r="255" spans="1:4" ht="15.75">
      <c r="A255" s="767"/>
      <c r="B255" s="22"/>
      <c r="C255" s="180"/>
      <c r="D255" s="180"/>
    </row>
    <row r="256" spans="1:4" ht="15.75">
      <c r="A256" s="767"/>
      <c r="B256" s="22"/>
      <c r="C256" s="180"/>
      <c r="D256" s="180"/>
    </row>
    <row r="257" spans="1:4" ht="15.75">
      <c r="A257" s="767"/>
      <c r="B257" s="22"/>
      <c r="C257" s="180"/>
      <c r="D257" s="180"/>
    </row>
    <row r="258" spans="1:4" ht="15.75">
      <c r="A258" s="767"/>
      <c r="B258" s="22"/>
      <c r="C258" s="180"/>
      <c r="D258" s="180"/>
    </row>
    <row r="259" spans="1:4" ht="15.75">
      <c r="A259" s="767"/>
      <c r="B259" s="22"/>
      <c r="C259" s="180"/>
      <c r="D259" s="180"/>
    </row>
    <row r="260" spans="1:4" ht="15.75">
      <c r="A260" s="767"/>
      <c r="B260" s="22"/>
      <c r="C260" s="180"/>
      <c r="D260" s="180"/>
    </row>
    <row r="261" spans="1:4" ht="15.75">
      <c r="A261" s="767"/>
      <c r="B261" s="22"/>
      <c r="C261" s="180"/>
      <c r="D261" s="180"/>
    </row>
    <row r="262" spans="1:4" ht="15.75">
      <c r="A262" s="767"/>
      <c r="B262" s="22"/>
      <c r="C262" s="180"/>
      <c r="D262" s="180"/>
    </row>
    <row r="263" spans="1:4" ht="15.75">
      <c r="A263" s="767"/>
      <c r="B263" s="22"/>
      <c r="C263" s="180"/>
      <c r="D263" s="180"/>
    </row>
    <row r="264" spans="1:4" ht="15.75">
      <c r="A264" s="767"/>
      <c r="B264" s="22"/>
      <c r="C264" s="180"/>
      <c r="D264" s="180"/>
    </row>
    <row r="265" spans="1:4" ht="15.75">
      <c r="A265" s="767"/>
      <c r="B265" s="22"/>
      <c r="C265" s="180"/>
      <c r="D265" s="180"/>
    </row>
    <row r="266" spans="1:4" ht="15.75">
      <c r="A266" s="767"/>
      <c r="B266" s="22"/>
      <c r="C266" s="180"/>
      <c r="D266" s="180"/>
    </row>
    <row r="267" spans="1:4" ht="15.75">
      <c r="A267" s="767"/>
      <c r="B267" s="22"/>
      <c r="C267" s="180"/>
      <c r="D267" s="180"/>
    </row>
    <row r="268" spans="1:4" ht="15.75">
      <c r="A268" s="767"/>
      <c r="B268" s="22"/>
      <c r="C268" s="180"/>
      <c r="D268" s="180"/>
    </row>
    <row r="269" spans="1:4" ht="15.75">
      <c r="A269" s="767"/>
      <c r="B269" s="22"/>
      <c r="C269" s="180"/>
      <c r="D269" s="180"/>
    </row>
    <row r="270" spans="1:4" ht="15.75">
      <c r="A270" s="767"/>
      <c r="B270" s="22"/>
      <c r="C270" s="180"/>
      <c r="D270" s="180"/>
    </row>
    <row r="271" spans="1:4" ht="15.75">
      <c r="A271" s="767"/>
      <c r="B271" s="22"/>
      <c r="C271" s="180"/>
      <c r="D271" s="180"/>
    </row>
    <row r="272" spans="1:4" ht="15.75">
      <c r="A272" s="767"/>
      <c r="B272" s="22"/>
      <c r="C272" s="180"/>
      <c r="D272" s="180"/>
    </row>
    <row r="273" spans="1:4" ht="15.75">
      <c r="A273" s="767"/>
      <c r="B273" s="22"/>
      <c r="C273" s="180"/>
      <c r="D273" s="180"/>
    </row>
    <row r="274" spans="1:4" ht="15.75">
      <c r="A274" s="767"/>
      <c r="B274" s="22"/>
      <c r="C274" s="180"/>
      <c r="D274" s="180"/>
    </row>
    <row r="275" spans="1:4" ht="15.75">
      <c r="A275" s="767"/>
      <c r="B275" s="22"/>
      <c r="C275" s="180"/>
      <c r="D275" s="180"/>
    </row>
    <row r="276" spans="1:4" ht="15.75">
      <c r="A276" s="767"/>
      <c r="B276" s="22"/>
      <c r="C276" s="180"/>
      <c r="D276" s="180"/>
    </row>
    <row r="277" spans="1:4" ht="15.75">
      <c r="A277" s="767"/>
      <c r="B277" s="22"/>
      <c r="C277" s="180"/>
      <c r="D277" s="180"/>
    </row>
    <row r="278" spans="1:4" ht="15.75">
      <c r="A278" s="767"/>
      <c r="B278" s="22"/>
      <c r="C278" s="180"/>
      <c r="D278" s="180"/>
    </row>
    <row r="279" spans="1:4" ht="15.75">
      <c r="A279" s="767"/>
      <c r="B279" s="22"/>
      <c r="C279" s="180"/>
      <c r="D279" s="180"/>
    </row>
    <row r="280" spans="1:4" ht="15.75">
      <c r="A280" s="767"/>
      <c r="B280" s="22"/>
      <c r="C280" s="180"/>
      <c r="D280" s="180"/>
    </row>
    <row r="281" spans="1:4" ht="15.75">
      <c r="A281" s="767"/>
      <c r="B281" s="22"/>
      <c r="C281" s="180"/>
      <c r="D281" s="180"/>
    </row>
    <row r="282" spans="1:4" ht="15.75">
      <c r="A282" s="767"/>
      <c r="B282" s="22"/>
      <c r="C282" s="180"/>
      <c r="D282" s="180"/>
    </row>
    <row r="283" spans="1:4" ht="15.75">
      <c r="A283" s="767"/>
      <c r="B283" s="22"/>
      <c r="C283" s="180"/>
      <c r="D283" s="180"/>
    </row>
    <row r="284" spans="1:4" ht="15.75">
      <c r="A284" s="767"/>
      <c r="B284" s="22"/>
      <c r="C284" s="180"/>
      <c r="D284" s="180"/>
    </row>
    <row r="285" spans="1:4" ht="15.75">
      <c r="A285" s="767"/>
      <c r="B285" s="22"/>
      <c r="C285" s="180"/>
      <c r="D285" s="180"/>
    </row>
    <row r="286" spans="1:4" ht="15.75">
      <c r="A286" s="767"/>
      <c r="B286" s="22"/>
      <c r="C286" s="180"/>
      <c r="D286" s="180"/>
    </row>
    <row r="287" spans="1:4" ht="15.75">
      <c r="A287" s="767"/>
      <c r="B287" s="22"/>
      <c r="C287" s="180"/>
      <c r="D287" s="180"/>
    </row>
    <row r="288" spans="1:4" ht="15.75">
      <c r="A288" s="767"/>
      <c r="B288" s="22"/>
      <c r="C288" s="180"/>
      <c r="D288" s="180"/>
    </row>
    <row r="289" spans="1:4" ht="15.75">
      <c r="A289" s="767"/>
      <c r="B289" s="22"/>
      <c r="C289" s="180"/>
      <c r="D289" s="180"/>
    </row>
    <row r="290" spans="1:4" ht="15.75">
      <c r="A290" s="767"/>
      <c r="B290" s="22"/>
      <c r="C290" s="180"/>
      <c r="D290" s="180"/>
    </row>
    <row r="291" spans="1:4" ht="15.75">
      <c r="A291" s="767"/>
      <c r="B291" s="22"/>
      <c r="C291" s="180"/>
      <c r="D291" s="180"/>
    </row>
    <row r="292" spans="1:4" ht="15.75">
      <c r="A292" s="767"/>
      <c r="B292" s="22"/>
      <c r="C292" s="180"/>
      <c r="D292" s="180"/>
    </row>
    <row r="293" spans="1:4" ht="15.75">
      <c r="A293" s="767"/>
      <c r="B293" s="22"/>
      <c r="C293" s="180"/>
      <c r="D293" s="180"/>
    </row>
    <row r="294" spans="1:4" ht="15.75">
      <c r="A294" s="767"/>
      <c r="B294" s="22"/>
      <c r="C294" s="180"/>
      <c r="D294" s="180"/>
    </row>
    <row r="295" spans="1:4" ht="15.75">
      <c r="A295" s="767"/>
      <c r="B295" s="22"/>
      <c r="C295" s="180"/>
      <c r="D295" s="180"/>
    </row>
    <row r="296" spans="1:4" ht="15.75">
      <c r="A296" s="767"/>
      <c r="B296" s="22"/>
      <c r="C296" s="180"/>
      <c r="D296" s="180"/>
    </row>
    <row r="297" spans="1:4" ht="15.75">
      <c r="A297" s="767"/>
      <c r="B297" s="22"/>
      <c r="C297" s="180"/>
      <c r="D297" s="180"/>
    </row>
    <row r="298" spans="1:4" ht="15.75">
      <c r="A298" s="767"/>
      <c r="B298" s="22"/>
      <c r="C298" s="180"/>
      <c r="D298" s="180"/>
    </row>
    <row r="299" spans="1:4" ht="15.75">
      <c r="A299" s="767"/>
      <c r="B299" s="22"/>
      <c r="C299" s="180"/>
      <c r="D299" s="180"/>
    </row>
    <row r="300" spans="1:4" ht="15.75">
      <c r="A300" s="767"/>
      <c r="B300" s="22"/>
      <c r="C300" s="180"/>
      <c r="D300" s="180"/>
    </row>
    <row r="301" spans="1:4" ht="15.75">
      <c r="A301" s="767"/>
      <c r="B301" s="22"/>
      <c r="C301" s="180"/>
      <c r="D301" s="180"/>
    </row>
    <row r="302" spans="1:4" ht="15.75">
      <c r="A302" s="767"/>
      <c r="B302" s="22"/>
      <c r="C302" s="180"/>
      <c r="D302" s="180"/>
    </row>
    <row r="303" spans="1:4" ht="15.75">
      <c r="A303" s="767"/>
      <c r="B303" s="22"/>
      <c r="C303" s="180"/>
      <c r="D303" s="180"/>
    </row>
    <row r="304" spans="1:4" ht="15.75">
      <c r="A304" s="767"/>
      <c r="B304" s="22"/>
      <c r="C304" s="180"/>
      <c r="D304" s="180"/>
    </row>
    <row r="305" spans="1:4" ht="15.75">
      <c r="A305" s="767"/>
      <c r="B305" s="22"/>
      <c r="C305" s="180"/>
      <c r="D305" s="180"/>
    </row>
    <row r="306" spans="1:4" ht="15.75">
      <c r="A306" s="767"/>
      <c r="B306" s="22"/>
      <c r="C306" s="180"/>
      <c r="D306" s="180"/>
    </row>
    <row r="307" spans="1:4" ht="15.75">
      <c r="A307" s="767"/>
      <c r="B307" s="22"/>
      <c r="C307" s="180"/>
      <c r="D307" s="180"/>
    </row>
    <row r="308" spans="1:4" ht="15.75">
      <c r="A308" s="767"/>
      <c r="B308" s="22"/>
      <c r="C308" s="180"/>
      <c r="D308" s="180"/>
    </row>
    <row r="309" spans="1:4" ht="15.75">
      <c r="A309" s="767"/>
      <c r="B309" s="22"/>
      <c r="C309" s="180"/>
      <c r="D309" s="180"/>
    </row>
    <row r="310" spans="1:4" ht="15.75">
      <c r="A310" s="767"/>
      <c r="B310" s="22"/>
      <c r="C310" s="180"/>
      <c r="D310" s="180"/>
    </row>
    <row r="311" spans="1:4" ht="15.75">
      <c r="A311" s="767"/>
      <c r="B311" s="22"/>
      <c r="C311" s="180"/>
      <c r="D311" s="180"/>
    </row>
    <row r="312" spans="1:4" ht="15.75">
      <c r="A312" s="767"/>
      <c r="B312" s="22"/>
      <c r="C312" s="180"/>
      <c r="D312" s="180"/>
    </row>
    <row r="313" spans="1:4" ht="15.75">
      <c r="A313" s="767"/>
      <c r="B313" s="22"/>
      <c r="C313" s="180"/>
      <c r="D313" s="180"/>
    </row>
    <row r="314" spans="1:4" ht="15.75">
      <c r="A314" s="767"/>
      <c r="B314" s="22"/>
      <c r="C314" s="180"/>
      <c r="D314" s="180"/>
    </row>
    <row r="315" spans="1:4" ht="15.75">
      <c r="A315" s="767"/>
      <c r="B315" s="22"/>
      <c r="C315" s="180"/>
      <c r="D315" s="180"/>
    </row>
    <row r="316" spans="1:4" ht="15.75">
      <c r="A316" s="767"/>
      <c r="B316" s="22"/>
      <c r="C316" s="180"/>
      <c r="D316" s="180"/>
    </row>
    <row r="317" spans="1:4" ht="15.75">
      <c r="A317" s="767"/>
      <c r="B317" s="22"/>
      <c r="C317" s="180"/>
      <c r="D317" s="180"/>
    </row>
    <row r="318" spans="1:4" ht="15.75">
      <c r="A318" s="767"/>
      <c r="B318" s="22"/>
      <c r="C318" s="180"/>
      <c r="D318" s="180"/>
    </row>
    <row r="319" spans="1:4" ht="15.75">
      <c r="A319" s="767"/>
      <c r="B319" s="22"/>
      <c r="C319" s="180"/>
      <c r="D319" s="180"/>
    </row>
    <row r="320" spans="1:4" ht="15.75">
      <c r="A320" s="767"/>
      <c r="B320" s="22"/>
      <c r="C320" s="180"/>
      <c r="D320" s="180"/>
    </row>
    <row r="321" spans="1:4" ht="15.75">
      <c r="A321" s="767"/>
      <c r="B321" s="22"/>
      <c r="C321" s="180"/>
      <c r="D321" s="180"/>
    </row>
    <row r="322" spans="1:4" ht="15.75">
      <c r="A322" s="767"/>
      <c r="B322" s="22"/>
      <c r="C322" s="180"/>
      <c r="D322" s="180"/>
    </row>
    <row r="323" spans="1:4" ht="15.75">
      <c r="A323" s="767"/>
      <c r="B323" s="22"/>
      <c r="C323" s="180"/>
      <c r="D323" s="180"/>
    </row>
    <row r="324" spans="1:4" ht="15.75">
      <c r="A324" s="767"/>
      <c r="B324" s="22"/>
      <c r="C324" s="180"/>
      <c r="D324" s="180"/>
    </row>
    <row r="325" spans="1:4" ht="15.75">
      <c r="A325" s="767"/>
      <c r="B325" s="22"/>
      <c r="C325" s="180"/>
      <c r="D325" s="180"/>
    </row>
    <row r="326" spans="1:4" ht="15.75">
      <c r="A326" s="767"/>
      <c r="B326" s="22"/>
      <c r="C326" s="180"/>
      <c r="D326" s="180"/>
    </row>
    <row r="327" spans="1:4" ht="15.75">
      <c r="A327" s="767"/>
      <c r="B327" s="22"/>
      <c r="C327" s="180"/>
      <c r="D327" s="180"/>
    </row>
    <row r="328" spans="1:4" ht="15.75">
      <c r="A328" s="767"/>
      <c r="B328" s="22"/>
      <c r="C328" s="180"/>
      <c r="D328" s="180"/>
    </row>
    <row r="329" spans="1:4" ht="15.75">
      <c r="A329" s="767"/>
      <c r="B329" s="22"/>
      <c r="C329" s="180"/>
      <c r="D329" s="180"/>
    </row>
    <row r="330" spans="1:4" ht="15.75">
      <c r="A330" s="767"/>
      <c r="B330" s="22"/>
      <c r="C330" s="180"/>
      <c r="D330" s="180"/>
    </row>
    <row r="331" spans="1:4" ht="15.75">
      <c r="A331" s="767"/>
      <c r="B331" s="22"/>
      <c r="C331" s="180"/>
      <c r="D331" s="180"/>
    </row>
    <row r="332" spans="1:4" ht="15.75">
      <c r="A332" s="767"/>
      <c r="B332" s="22"/>
      <c r="C332" s="180"/>
      <c r="D332" s="180"/>
    </row>
    <row r="333" spans="1:4" ht="15.75">
      <c r="A333" s="767"/>
      <c r="B333" s="22"/>
      <c r="C333" s="180"/>
      <c r="D333" s="180"/>
    </row>
    <row r="334" spans="1:4" ht="15.75">
      <c r="A334" s="767"/>
      <c r="B334" s="22"/>
      <c r="C334" s="180"/>
      <c r="D334" s="180"/>
    </row>
    <row r="335" spans="1:4" ht="15.75">
      <c r="A335" s="767"/>
      <c r="B335" s="22"/>
      <c r="C335" s="180"/>
      <c r="D335" s="180"/>
    </row>
    <row r="336" spans="1:4" ht="15.75">
      <c r="A336" s="767"/>
      <c r="B336" s="22"/>
      <c r="C336" s="180"/>
      <c r="D336" s="180"/>
    </row>
    <row r="337" spans="1:4" ht="15.75">
      <c r="A337" s="767"/>
      <c r="B337" s="22"/>
      <c r="C337" s="180"/>
      <c r="D337" s="180"/>
    </row>
    <row r="338" spans="1:4" ht="15.75">
      <c r="A338" s="767"/>
      <c r="B338" s="22"/>
      <c r="C338" s="180"/>
      <c r="D338" s="180"/>
    </row>
    <row r="339" spans="1:4" ht="15.75">
      <c r="A339" s="767"/>
      <c r="B339" s="22"/>
      <c r="C339" s="180"/>
      <c r="D339" s="180"/>
    </row>
    <row r="340" spans="1:4" ht="15.75">
      <c r="A340" s="767"/>
      <c r="B340" s="22"/>
      <c r="C340" s="180"/>
      <c r="D340" s="180"/>
    </row>
    <row r="341" spans="1:4" ht="15.75">
      <c r="A341" s="767"/>
      <c r="B341" s="22"/>
      <c r="C341" s="180"/>
      <c r="D341" s="180"/>
    </row>
    <row r="342" spans="1:4" ht="15.75">
      <c r="A342" s="767"/>
      <c r="B342" s="22"/>
      <c r="C342" s="180"/>
      <c r="D342" s="180"/>
    </row>
    <row r="343" spans="1:4" ht="15.75">
      <c r="A343" s="767"/>
      <c r="B343" s="22"/>
      <c r="C343" s="180"/>
      <c r="D343" s="180"/>
    </row>
    <row r="344" spans="1:4" ht="15.75">
      <c r="A344" s="767"/>
      <c r="B344" s="22"/>
      <c r="C344" s="180"/>
      <c r="D344" s="180"/>
    </row>
    <row r="345" spans="1:4" ht="15.75">
      <c r="A345" s="767"/>
      <c r="B345" s="22"/>
      <c r="C345" s="180"/>
      <c r="D345" s="180"/>
    </row>
    <row r="346" spans="1:4" ht="15.75">
      <c r="A346" s="767"/>
      <c r="B346" s="22"/>
      <c r="C346" s="180"/>
      <c r="D346" s="180"/>
    </row>
    <row r="347" spans="1:4" ht="15.75">
      <c r="A347" s="767"/>
      <c r="B347" s="22"/>
      <c r="C347" s="180"/>
      <c r="D347" s="180"/>
    </row>
    <row r="348" spans="1:4" ht="15.75">
      <c r="A348" s="767"/>
      <c r="B348" s="22"/>
      <c r="C348" s="180"/>
      <c r="D348" s="180"/>
    </row>
    <row r="349" spans="1:4" ht="15.75">
      <c r="A349" s="767"/>
      <c r="B349" s="22"/>
      <c r="C349" s="180"/>
      <c r="D349" s="180"/>
    </row>
    <row r="350" spans="1:4" ht="15.75">
      <c r="A350" s="767"/>
      <c r="B350" s="22"/>
      <c r="C350" s="180"/>
      <c r="D350" s="180"/>
    </row>
    <row r="351" spans="1:4" ht="15.75">
      <c r="A351" s="767"/>
      <c r="B351" s="22"/>
      <c r="C351" s="180"/>
      <c r="D351" s="180"/>
    </row>
    <row r="352" spans="1:4" ht="15.75">
      <c r="A352" s="767"/>
      <c r="B352" s="22"/>
      <c r="C352" s="180"/>
      <c r="D352" s="180"/>
    </row>
    <row r="353" spans="1:4" ht="15.75">
      <c r="A353" s="767"/>
      <c r="B353" s="22"/>
      <c r="C353" s="180"/>
      <c r="D353" s="180"/>
    </row>
    <row r="354" spans="1:4" ht="15.75">
      <c r="A354" s="767"/>
      <c r="B354" s="22"/>
      <c r="C354" s="180"/>
      <c r="D354" s="180"/>
    </row>
    <row r="355" spans="1:4" ht="15.75">
      <c r="A355" s="767"/>
      <c r="B355" s="22"/>
      <c r="C355" s="180"/>
      <c r="D355" s="180"/>
    </row>
    <row r="356" spans="1:4" ht="15.75">
      <c r="A356" s="767"/>
      <c r="B356" s="22"/>
      <c r="C356" s="180"/>
      <c r="D356" s="180"/>
    </row>
    <row r="357" spans="1:4" ht="15.75">
      <c r="A357" s="767"/>
      <c r="B357" s="22"/>
      <c r="C357" s="180"/>
      <c r="D357" s="180"/>
    </row>
    <row r="358" spans="1:4" ht="15.75">
      <c r="A358" s="767"/>
      <c r="B358" s="22"/>
      <c r="C358" s="180"/>
      <c r="D358" s="180"/>
    </row>
    <row r="359" spans="1:4" ht="15.75">
      <c r="A359" s="767"/>
      <c r="B359" s="22"/>
      <c r="C359" s="180"/>
      <c r="D359" s="180"/>
    </row>
    <row r="360" spans="1:4" ht="15.75">
      <c r="A360" s="767"/>
      <c r="B360" s="22"/>
      <c r="C360" s="180"/>
      <c r="D360" s="180"/>
    </row>
    <row r="361" spans="1:4" ht="15.75">
      <c r="A361" s="767"/>
      <c r="B361" s="22"/>
      <c r="C361" s="180"/>
      <c r="D361" s="180"/>
    </row>
    <row r="362" spans="1:4" ht="15.75">
      <c r="A362" s="767"/>
      <c r="B362" s="22"/>
      <c r="C362" s="180"/>
      <c r="D362" s="180"/>
    </row>
    <row r="363" spans="1:4" ht="15.75">
      <c r="A363" s="767"/>
      <c r="B363" s="22"/>
      <c r="C363" s="180"/>
      <c r="D363" s="180"/>
    </row>
    <row r="364" spans="1:4" ht="15.75">
      <c r="A364" s="767"/>
      <c r="B364" s="22"/>
      <c r="C364" s="180"/>
      <c r="D364" s="180"/>
    </row>
    <row r="365" spans="1:4" ht="15.75">
      <c r="A365" s="767"/>
      <c r="B365" s="22"/>
      <c r="C365" s="180"/>
      <c r="D365" s="180"/>
    </row>
    <row r="366" spans="1:4" ht="15.75">
      <c r="A366" s="767"/>
      <c r="B366" s="22"/>
      <c r="C366" s="180"/>
      <c r="D366" s="180"/>
    </row>
    <row r="367" spans="1:4" ht="15.75">
      <c r="A367" s="767"/>
      <c r="B367" s="22"/>
      <c r="C367" s="180"/>
      <c r="D367" s="180"/>
    </row>
    <row r="368" spans="1:4" ht="15.75">
      <c r="A368" s="767"/>
      <c r="B368" s="22"/>
      <c r="C368" s="180"/>
      <c r="D368" s="180"/>
    </row>
    <row r="369" spans="1:4" ht="15.75">
      <c r="A369" s="767"/>
      <c r="B369" s="22"/>
      <c r="C369" s="180"/>
      <c r="D369" s="180"/>
    </row>
    <row r="370" spans="1:4" ht="15.75">
      <c r="A370" s="767"/>
      <c r="B370" s="22"/>
      <c r="C370" s="180"/>
      <c r="D370" s="180"/>
    </row>
    <row r="371" spans="1:4" ht="15.75">
      <c r="A371" s="767"/>
      <c r="B371" s="22"/>
      <c r="C371" s="180"/>
      <c r="D371" s="180"/>
    </row>
    <row r="372" spans="1:4" ht="15.75">
      <c r="A372" s="767"/>
      <c r="B372" s="22"/>
      <c r="C372" s="180"/>
      <c r="D372" s="180"/>
    </row>
    <row r="373" spans="1:4" ht="15.75">
      <c r="A373" s="767"/>
      <c r="B373" s="22"/>
      <c r="C373" s="180"/>
      <c r="D373" s="180"/>
    </row>
    <row r="374" spans="1:4" ht="15.75">
      <c r="A374" s="767"/>
      <c r="B374" s="22"/>
      <c r="C374" s="180"/>
      <c r="D374" s="180"/>
    </row>
    <row r="375" spans="1:4" ht="15.75">
      <c r="A375" s="767"/>
      <c r="B375" s="22"/>
      <c r="C375" s="180"/>
      <c r="D375" s="180"/>
    </row>
    <row r="376" spans="1:4" ht="15.75">
      <c r="A376" s="767"/>
      <c r="B376" s="22"/>
      <c r="C376" s="180"/>
      <c r="D376" s="180"/>
    </row>
    <row r="377" spans="1:4" ht="15.75">
      <c r="A377" s="767"/>
      <c r="B377" s="22"/>
      <c r="C377" s="180"/>
      <c r="D377" s="180"/>
    </row>
    <row r="378" spans="1:4" ht="15.75">
      <c r="A378" s="767"/>
      <c r="B378" s="22"/>
      <c r="C378" s="180"/>
      <c r="D378" s="180"/>
    </row>
    <row r="379" spans="1:4" ht="15.75">
      <c r="A379" s="767"/>
      <c r="B379" s="22"/>
      <c r="C379" s="180"/>
      <c r="D379" s="180"/>
    </row>
    <row r="380" spans="1:4" ht="15.75">
      <c r="A380" s="767"/>
      <c r="B380" s="22"/>
      <c r="C380" s="180"/>
      <c r="D380" s="180"/>
    </row>
    <row r="381" spans="1:4" ht="15.75">
      <c r="A381" s="767"/>
      <c r="B381" s="22"/>
      <c r="C381" s="180"/>
      <c r="D381" s="180"/>
    </row>
    <row r="382" spans="1:4" ht="15.75">
      <c r="A382" s="767"/>
      <c r="B382" s="22"/>
      <c r="C382" s="180"/>
      <c r="D382" s="180"/>
    </row>
    <row r="383" spans="1:4" ht="15.75">
      <c r="A383" s="767"/>
      <c r="B383" s="22"/>
      <c r="C383" s="180"/>
      <c r="D383" s="180"/>
    </row>
    <row r="384" spans="1:4" ht="15.75">
      <c r="A384" s="767"/>
      <c r="B384" s="22"/>
      <c r="C384" s="180"/>
      <c r="D384" s="180"/>
    </row>
    <row r="385" spans="1:4" ht="15.75">
      <c r="A385" s="767"/>
      <c r="B385" s="22"/>
      <c r="C385" s="180"/>
      <c r="D385" s="180"/>
    </row>
    <row r="386" spans="1:4" ht="15.75">
      <c r="A386" s="767"/>
      <c r="B386" s="22"/>
      <c r="C386" s="180"/>
      <c r="D386" s="180"/>
    </row>
    <row r="387" spans="1:4" ht="15.75">
      <c r="A387" s="767"/>
      <c r="B387" s="22"/>
      <c r="C387" s="180"/>
      <c r="D387" s="180"/>
    </row>
    <row r="388" spans="1:4" ht="15.75">
      <c r="A388" s="767"/>
      <c r="B388" s="22"/>
      <c r="C388" s="180"/>
      <c r="D388" s="180"/>
    </row>
    <row r="389" spans="1:4" ht="15.75">
      <c r="A389" s="767"/>
      <c r="B389" s="22"/>
      <c r="C389" s="180"/>
      <c r="D389" s="180"/>
    </row>
    <row r="390" spans="1:4" ht="15.75">
      <c r="A390" s="767"/>
      <c r="B390" s="22"/>
      <c r="C390" s="180"/>
      <c r="D390" s="180"/>
    </row>
    <row r="391" spans="1:4" ht="15.75">
      <c r="A391" s="767"/>
      <c r="B391" s="22"/>
      <c r="C391" s="180"/>
      <c r="D391" s="180"/>
    </row>
    <row r="392" spans="1:4" ht="15.75">
      <c r="A392" s="767"/>
      <c r="B392" s="22"/>
      <c r="C392" s="180"/>
      <c r="D392" s="180"/>
    </row>
    <row r="393" spans="1:4" ht="15.75">
      <c r="A393" s="767"/>
      <c r="B393" s="22"/>
      <c r="C393" s="180"/>
      <c r="D393" s="180"/>
    </row>
    <row r="394" spans="1:4" ht="15.75">
      <c r="A394" s="767"/>
      <c r="B394" s="22"/>
      <c r="C394" s="180"/>
      <c r="D394" s="180"/>
    </row>
    <row r="395" spans="1:4" ht="15.75">
      <c r="A395" s="767"/>
      <c r="B395" s="22"/>
      <c r="C395" s="180"/>
      <c r="D395" s="180"/>
    </row>
    <row r="396" spans="1:4" ht="15.75">
      <c r="A396" s="767"/>
      <c r="B396" s="22"/>
      <c r="C396" s="180"/>
      <c r="D396" s="180"/>
    </row>
    <row r="397" spans="1:4" ht="15.75">
      <c r="A397" s="767"/>
      <c r="B397" s="22"/>
      <c r="C397" s="180"/>
      <c r="D397" s="180"/>
    </row>
    <row r="398" spans="1:4" ht="15.75">
      <c r="A398" s="767"/>
      <c r="B398" s="22"/>
      <c r="C398" s="180"/>
      <c r="D398" s="180"/>
    </row>
    <row r="399" spans="1:4" ht="15.75">
      <c r="A399" s="767"/>
      <c r="B399" s="22"/>
      <c r="C399" s="180"/>
      <c r="D399" s="180"/>
    </row>
    <row r="400" spans="1:4" ht="15.75">
      <c r="A400" s="767"/>
      <c r="B400" s="22"/>
      <c r="C400" s="180"/>
      <c r="D400" s="180"/>
    </row>
    <row r="401" spans="1:4" ht="15.75">
      <c r="A401" s="767"/>
      <c r="B401" s="22"/>
      <c r="C401" s="180"/>
      <c r="D401" s="180"/>
    </row>
    <row r="402" spans="1:4" ht="15.75">
      <c r="A402" s="767"/>
      <c r="B402" s="22"/>
      <c r="C402" s="180"/>
      <c r="D402" s="180"/>
    </row>
    <row r="403" spans="1:4" ht="15.75">
      <c r="A403" s="767"/>
      <c r="B403" s="22"/>
      <c r="C403" s="180"/>
      <c r="D403" s="180"/>
    </row>
    <row r="404" spans="1:4" ht="15.75">
      <c r="A404" s="767"/>
      <c r="B404" s="22"/>
      <c r="C404" s="180"/>
      <c r="D404" s="180"/>
    </row>
    <row r="405" spans="1:4" ht="15.75">
      <c r="A405" s="767"/>
      <c r="B405" s="22"/>
      <c r="C405" s="180"/>
      <c r="D405" s="180"/>
    </row>
    <row r="406" spans="1:4" ht="15.75">
      <c r="A406" s="767"/>
      <c r="B406" s="22"/>
      <c r="C406" s="180"/>
      <c r="D406" s="180"/>
    </row>
    <row r="407" spans="1:4" ht="15.75">
      <c r="A407" s="767"/>
      <c r="B407" s="22"/>
      <c r="C407" s="180"/>
      <c r="D407" s="180"/>
    </row>
    <row r="408" spans="1:4" ht="15.75">
      <c r="A408" s="767"/>
      <c r="B408" s="22"/>
      <c r="C408" s="180"/>
      <c r="D408" s="180"/>
    </row>
    <row r="409" spans="1:4" ht="15.75">
      <c r="A409" s="767"/>
      <c r="B409" s="22"/>
      <c r="C409" s="180"/>
      <c r="D409" s="180"/>
    </row>
    <row r="410" spans="1:4" ht="15.75">
      <c r="A410" s="767"/>
      <c r="B410" s="22"/>
      <c r="C410" s="180"/>
      <c r="D410" s="180"/>
    </row>
    <row r="411" spans="1:4" ht="15.75">
      <c r="A411" s="767"/>
      <c r="B411" s="22"/>
      <c r="C411" s="180"/>
      <c r="D411" s="180"/>
    </row>
    <row r="412" spans="1:4" ht="15.75">
      <c r="A412" s="767"/>
      <c r="B412" s="22"/>
      <c r="C412" s="180"/>
      <c r="D412" s="180"/>
    </row>
    <row r="413" spans="1:4" ht="15.75">
      <c r="A413" s="767"/>
      <c r="B413" s="22"/>
      <c r="C413" s="180"/>
      <c r="D413" s="180"/>
    </row>
    <row r="414" spans="1:4" ht="15.75">
      <c r="A414" s="767"/>
      <c r="B414" s="22"/>
      <c r="C414" s="180"/>
      <c r="D414" s="180"/>
    </row>
    <row r="415" spans="1:4" ht="15.75">
      <c r="A415" s="767"/>
      <c r="B415" s="22"/>
      <c r="C415" s="180"/>
      <c r="D415" s="180"/>
    </row>
    <row r="416" spans="1:4" ht="15.75">
      <c r="A416" s="767"/>
      <c r="B416" s="22"/>
      <c r="C416" s="180"/>
      <c r="D416" s="180"/>
    </row>
    <row r="417" spans="1:4" ht="15.75">
      <c r="A417" s="767"/>
      <c r="B417" s="22"/>
      <c r="C417" s="180"/>
      <c r="D417" s="180"/>
    </row>
    <row r="418" spans="1:4" ht="15.75">
      <c r="A418" s="767"/>
      <c r="B418" s="22"/>
      <c r="C418" s="180"/>
      <c r="D418" s="180"/>
    </row>
    <row r="419" spans="1:4" ht="15.75">
      <c r="A419" s="767"/>
      <c r="B419" s="22"/>
      <c r="C419" s="180"/>
      <c r="D419" s="180"/>
    </row>
    <row r="420" spans="1:4" ht="15.75">
      <c r="A420" s="767"/>
      <c r="B420" s="22"/>
      <c r="C420" s="180"/>
      <c r="D420" s="180"/>
    </row>
    <row r="421" spans="1:4" ht="15.75">
      <c r="A421" s="767"/>
      <c r="B421" s="22"/>
      <c r="C421" s="180"/>
      <c r="D421" s="180"/>
    </row>
    <row r="422" spans="1:4" ht="15.75">
      <c r="A422" s="767"/>
      <c r="B422" s="22"/>
      <c r="C422" s="180"/>
      <c r="D422" s="180"/>
    </row>
    <row r="423" spans="1:4" ht="15.75">
      <c r="A423" s="767"/>
      <c r="B423" s="22"/>
      <c r="C423" s="180"/>
      <c r="D423" s="180"/>
    </row>
    <row r="424" spans="1:4" ht="15.75">
      <c r="A424" s="767"/>
      <c r="B424" s="22"/>
      <c r="C424" s="180"/>
      <c r="D424" s="180"/>
    </row>
    <row r="425" spans="1:4" ht="15.75">
      <c r="A425" s="767"/>
      <c r="B425" s="22"/>
      <c r="C425" s="180"/>
      <c r="D425" s="180"/>
    </row>
    <row r="426" spans="1:4" ht="15.75">
      <c r="A426" s="767"/>
      <c r="B426" s="22"/>
      <c r="C426" s="180"/>
      <c r="D426" s="180"/>
    </row>
    <row r="427" spans="1:4" ht="15.75">
      <c r="A427" s="767"/>
      <c r="B427" s="22"/>
      <c r="C427" s="180"/>
      <c r="D427" s="180"/>
    </row>
    <row r="428" spans="1:4" ht="15.75">
      <c r="A428" s="767"/>
      <c r="B428" s="22"/>
      <c r="C428" s="180"/>
      <c r="D428" s="180"/>
    </row>
    <row r="429" spans="1:4" ht="15.75">
      <c r="A429" s="767"/>
      <c r="B429" s="22"/>
      <c r="C429" s="180"/>
      <c r="D429" s="180"/>
    </row>
    <row r="430" spans="1:4" ht="15.75">
      <c r="A430" s="767"/>
      <c r="B430" s="22"/>
      <c r="C430" s="180"/>
      <c r="D430" s="180"/>
    </row>
    <row r="431" spans="1:4" ht="15.75">
      <c r="A431" s="767"/>
      <c r="B431" s="22"/>
      <c r="C431" s="180"/>
      <c r="D431" s="180"/>
    </row>
    <row r="432" spans="1:4" ht="15.75">
      <c r="A432" s="767"/>
      <c r="B432" s="22"/>
      <c r="C432" s="180"/>
      <c r="D432" s="180"/>
    </row>
    <row r="433" spans="1:4" ht="15.75">
      <c r="A433" s="767"/>
      <c r="B433" s="22"/>
      <c r="C433" s="180"/>
      <c r="D433" s="180"/>
    </row>
    <row r="434" spans="1:4" ht="15.75">
      <c r="A434" s="767"/>
      <c r="B434" s="22"/>
      <c r="C434" s="180"/>
      <c r="D434" s="180"/>
    </row>
    <row r="435" spans="1:4" ht="15.75">
      <c r="A435" s="767"/>
      <c r="B435" s="22"/>
      <c r="C435" s="180"/>
      <c r="D435" s="180"/>
    </row>
    <row r="436" spans="1:4" ht="15.75">
      <c r="A436" s="767"/>
      <c r="B436" s="22"/>
      <c r="C436" s="180"/>
      <c r="D436" s="180"/>
    </row>
    <row r="437" spans="1:4" ht="15.75">
      <c r="A437" s="767"/>
      <c r="B437" s="22"/>
      <c r="C437" s="180"/>
      <c r="D437" s="180"/>
    </row>
    <row r="438" spans="1:4" ht="15.75">
      <c r="A438" s="767"/>
      <c r="B438" s="22"/>
      <c r="C438" s="180"/>
      <c r="D438" s="180"/>
    </row>
    <row r="439" spans="1:4" ht="15.75">
      <c r="A439" s="767"/>
      <c r="B439" s="22"/>
      <c r="C439" s="180"/>
      <c r="D439" s="180"/>
    </row>
    <row r="440" spans="1:4" ht="15.75">
      <c r="A440" s="767"/>
      <c r="B440" s="22"/>
      <c r="C440" s="180"/>
      <c r="D440" s="180"/>
    </row>
    <row r="441" spans="1:4" ht="15.75">
      <c r="A441" s="767"/>
      <c r="B441" s="22"/>
      <c r="C441" s="180"/>
      <c r="D441" s="180"/>
    </row>
    <row r="442" spans="1:4" ht="15.75">
      <c r="A442" s="767"/>
      <c r="B442" s="22"/>
      <c r="C442" s="180"/>
      <c r="D442" s="180"/>
    </row>
    <row r="443" spans="1:4" ht="15.75">
      <c r="A443" s="767"/>
      <c r="B443" s="22"/>
      <c r="C443" s="180"/>
      <c r="D443" s="180"/>
    </row>
    <row r="444" spans="1:4" ht="15.75">
      <c r="A444" s="767"/>
      <c r="B444" s="22"/>
      <c r="C444" s="180"/>
      <c r="D444" s="180"/>
    </row>
    <row r="445" spans="1:4" ht="15.75">
      <c r="A445" s="767"/>
      <c r="B445" s="22"/>
      <c r="C445" s="180"/>
      <c r="D445" s="180"/>
    </row>
    <row r="446" spans="1:4" ht="15.75">
      <c r="A446" s="767"/>
      <c r="B446" s="22"/>
      <c r="C446" s="180"/>
      <c r="D446" s="180"/>
    </row>
    <row r="447" spans="1:4" ht="15.75">
      <c r="A447" s="767"/>
      <c r="B447" s="22"/>
      <c r="C447" s="180"/>
      <c r="D447" s="180"/>
    </row>
    <row r="448" spans="1:4" ht="15.75">
      <c r="A448" s="767"/>
      <c r="B448" s="22"/>
      <c r="C448" s="180"/>
      <c r="D448" s="180"/>
    </row>
    <row r="449" spans="1:4" ht="15.75">
      <c r="A449" s="767"/>
      <c r="B449" s="22"/>
      <c r="C449" s="180"/>
      <c r="D449" s="180"/>
    </row>
    <row r="450" spans="1:4" ht="15.75">
      <c r="A450" s="767"/>
      <c r="B450" s="22"/>
      <c r="C450" s="180"/>
      <c r="D450" s="180"/>
    </row>
    <row r="451" spans="1:4" ht="15.75">
      <c r="A451" s="767"/>
      <c r="B451" s="22"/>
      <c r="C451" s="180"/>
      <c r="D451" s="180"/>
    </row>
    <row r="452" spans="1:4" ht="15.75">
      <c r="A452" s="767"/>
      <c r="B452" s="22"/>
      <c r="C452" s="180"/>
      <c r="D452" s="180"/>
    </row>
    <row r="453" spans="1:4" ht="15.75">
      <c r="A453" s="767"/>
      <c r="B453" s="22"/>
      <c r="C453" s="180"/>
      <c r="D453" s="180"/>
    </row>
    <row r="454" spans="1:4" ht="15.75">
      <c r="A454" s="767"/>
      <c r="B454" s="22"/>
      <c r="C454" s="180"/>
      <c r="D454" s="180"/>
    </row>
    <row r="455" spans="1:4" ht="15.75">
      <c r="A455" s="767"/>
      <c r="B455" s="22"/>
      <c r="C455" s="180"/>
      <c r="D455" s="180"/>
    </row>
    <row r="456" spans="1:4" ht="15.75">
      <c r="A456" s="767"/>
      <c r="B456" s="22"/>
      <c r="C456" s="180"/>
      <c r="D456" s="180"/>
    </row>
    <row r="457" spans="1:4" ht="15.75">
      <c r="A457" s="767"/>
      <c r="B457" s="22"/>
      <c r="C457" s="180"/>
      <c r="D457" s="180"/>
    </row>
    <row r="458" spans="1:4" ht="15.75">
      <c r="A458" s="767"/>
      <c r="B458" s="22"/>
      <c r="C458" s="180"/>
      <c r="D458" s="180"/>
    </row>
    <row r="459" spans="1:4" ht="15.75">
      <c r="A459" s="767"/>
      <c r="B459" s="22"/>
      <c r="C459" s="180"/>
      <c r="D459" s="180"/>
    </row>
    <row r="460" spans="1:4" ht="15.75">
      <c r="A460" s="767"/>
      <c r="B460" s="22"/>
      <c r="C460" s="180"/>
      <c r="D460" s="180"/>
    </row>
    <row r="461" spans="1:4" ht="15.75">
      <c r="A461" s="767"/>
      <c r="B461" s="22"/>
      <c r="C461" s="180"/>
      <c r="D461" s="180"/>
    </row>
    <row r="462" spans="1:4" ht="15.75">
      <c r="A462" s="767"/>
      <c r="B462" s="22"/>
      <c r="C462" s="180"/>
      <c r="D462" s="180"/>
    </row>
    <row r="463" spans="1:4" ht="15.75">
      <c r="A463" s="767"/>
      <c r="B463" s="22"/>
      <c r="C463" s="180"/>
      <c r="D463" s="180"/>
    </row>
    <row r="464" spans="1:4" ht="15.75">
      <c r="A464" s="767"/>
      <c r="B464" s="22"/>
      <c r="C464" s="180"/>
      <c r="D464" s="180"/>
    </row>
    <row r="465" spans="1:4" ht="15.75">
      <c r="A465" s="767"/>
      <c r="B465" s="22"/>
      <c r="C465" s="180"/>
      <c r="D465" s="180"/>
    </row>
    <row r="466" spans="1:4" ht="15.75">
      <c r="A466" s="767"/>
      <c r="B466" s="22"/>
      <c r="C466" s="180"/>
      <c r="D466" s="180"/>
    </row>
    <row r="467" spans="1:4" ht="15.75">
      <c r="A467" s="767"/>
      <c r="B467" s="22"/>
      <c r="C467" s="180"/>
      <c r="D467" s="180"/>
    </row>
    <row r="468" spans="1:4" ht="15.75">
      <c r="A468" s="767"/>
      <c r="B468" s="22"/>
      <c r="C468" s="180"/>
      <c r="D468" s="180"/>
    </row>
    <row r="469" spans="1:4" ht="15.75">
      <c r="A469" s="767"/>
      <c r="B469" s="22"/>
      <c r="C469" s="180"/>
      <c r="D469" s="180"/>
    </row>
    <row r="470" spans="1:4" ht="15.75">
      <c r="A470" s="767"/>
      <c r="B470" s="22"/>
      <c r="C470" s="180"/>
      <c r="D470" s="180"/>
    </row>
    <row r="471" spans="1:4" ht="15.75">
      <c r="A471" s="767"/>
      <c r="B471" s="22"/>
      <c r="C471" s="180"/>
      <c r="D471" s="180"/>
    </row>
    <row r="472" spans="1:4" ht="15.75">
      <c r="A472" s="767"/>
      <c r="B472" s="22"/>
      <c r="C472" s="180"/>
      <c r="D472" s="180"/>
    </row>
    <row r="473" spans="1:4" ht="15.75">
      <c r="A473" s="767"/>
      <c r="B473" s="22"/>
      <c r="C473" s="180"/>
      <c r="D473" s="180"/>
    </row>
    <row r="474" spans="1:4" ht="15.75">
      <c r="A474" s="767"/>
      <c r="B474" s="22"/>
      <c r="C474" s="180"/>
      <c r="D474" s="180"/>
    </row>
    <row r="475" spans="1:4" ht="15.75">
      <c r="A475" s="767"/>
      <c r="B475" s="22"/>
      <c r="C475" s="180"/>
      <c r="D475" s="180"/>
    </row>
    <row r="476" spans="1:4" ht="15.75">
      <c r="A476" s="767"/>
      <c r="B476" s="22"/>
      <c r="C476" s="180"/>
      <c r="D476" s="180"/>
    </row>
    <row r="477" spans="1:4" ht="15.75">
      <c r="A477" s="767"/>
      <c r="B477" s="22"/>
      <c r="C477" s="180"/>
      <c r="D477" s="180"/>
    </row>
    <row r="478" spans="1:4" ht="15.75">
      <c r="A478" s="767"/>
      <c r="B478" s="22"/>
      <c r="C478" s="180"/>
      <c r="D478" s="180"/>
    </row>
    <row r="479" spans="1:4" ht="15.75">
      <c r="A479" s="767"/>
      <c r="B479" s="22"/>
      <c r="C479" s="180"/>
      <c r="D479" s="180"/>
    </row>
    <row r="480" spans="1:4" ht="15.75">
      <c r="A480" s="767"/>
      <c r="B480" s="22"/>
      <c r="C480" s="180"/>
      <c r="D480" s="180"/>
    </row>
    <row r="481" spans="1:4" ht="15.75">
      <c r="A481" s="767"/>
      <c r="B481" s="22"/>
      <c r="C481" s="180"/>
      <c r="D481" s="180"/>
    </row>
    <row r="482" spans="1:4" ht="15.75">
      <c r="A482" s="767"/>
      <c r="B482" s="22"/>
      <c r="C482" s="180"/>
      <c r="D482" s="180"/>
    </row>
    <row r="483" spans="1:4" ht="15.75">
      <c r="A483" s="767"/>
      <c r="B483" s="22"/>
      <c r="C483" s="180"/>
      <c r="D483" s="180"/>
    </row>
    <row r="484" spans="1:4" ht="15.75">
      <c r="A484" s="767"/>
      <c r="B484" s="22"/>
      <c r="C484" s="180"/>
      <c r="D484" s="180"/>
    </row>
    <row r="485" spans="1:4" ht="15.75">
      <c r="A485" s="767"/>
      <c r="B485" s="22"/>
      <c r="C485" s="180"/>
      <c r="D485" s="180"/>
    </row>
    <row r="486" spans="1:4" ht="15.75">
      <c r="A486" s="767"/>
      <c r="B486" s="22"/>
      <c r="C486" s="180"/>
      <c r="D486" s="180"/>
    </row>
    <row r="487" spans="1:4" ht="15.75">
      <c r="A487" s="767"/>
      <c r="B487" s="22"/>
      <c r="C487" s="180"/>
      <c r="D487" s="180"/>
    </row>
    <row r="488" spans="1:4" ht="15.75">
      <c r="A488" s="767"/>
      <c r="B488" s="22"/>
      <c r="C488" s="180"/>
      <c r="D488" s="180"/>
    </row>
    <row r="489" spans="1:4" ht="15.75">
      <c r="A489" s="767"/>
      <c r="B489" s="22"/>
      <c r="C489" s="180"/>
      <c r="D489" s="180"/>
    </row>
    <row r="490" spans="1:4" ht="15.75">
      <c r="A490" s="767"/>
      <c r="B490" s="22"/>
      <c r="C490" s="180"/>
      <c r="D490" s="180"/>
    </row>
    <row r="491" spans="1:4" ht="15.75">
      <c r="A491" s="767"/>
      <c r="B491" s="22"/>
      <c r="C491" s="180"/>
      <c r="D491" s="180"/>
    </row>
    <row r="492" spans="1:4" ht="15.75">
      <c r="A492" s="767"/>
      <c r="B492" s="22"/>
      <c r="C492" s="180"/>
      <c r="D492" s="180"/>
    </row>
    <row r="493" spans="1:4" ht="15.75">
      <c r="A493" s="767"/>
      <c r="B493" s="22"/>
      <c r="C493" s="180"/>
      <c r="D493" s="180"/>
    </row>
    <row r="494" spans="1:4" ht="15.75">
      <c r="A494" s="767"/>
      <c r="B494" s="22"/>
      <c r="C494" s="180"/>
      <c r="D494" s="180"/>
    </row>
    <row r="495" spans="1:4" ht="15.75">
      <c r="A495" s="767"/>
      <c r="B495" s="22"/>
      <c r="C495" s="180"/>
      <c r="D495" s="180"/>
    </row>
    <row r="496" spans="1:4" ht="15.75">
      <c r="A496" s="767"/>
      <c r="B496" s="22"/>
      <c r="C496" s="180"/>
      <c r="D496" s="180"/>
    </row>
    <row r="497" spans="1:4" ht="15.75">
      <c r="A497" s="767"/>
      <c r="B497" s="22"/>
      <c r="C497" s="180"/>
      <c r="D497" s="180"/>
    </row>
    <row r="498" spans="1:4" ht="15.75">
      <c r="A498" s="767"/>
      <c r="B498" s="22"/>
      <c r="C498" s="180"/>
      <c r="D498" s="180"/>
    </row>
    <row r="499" spans="1:4" ht="15.75">
      <c r="A499" s="767"/>
      <c r="B499" s="22"/>
      <c r="C499" s="180"/>
      <c r="D499" s="180"/>
    </row>
    <row r="500" spans="1:4" ht="15.75">
      <c r="A500" s="767"/>
      <c r="B500" s="22"/>
      <c r="C500" s="180"/>
      <c r="D500" s="180"/>
    </row>
    <row r="501" spans="1:4" ht="15.75">
      <c r="A501" s="767"/>
      <c r="B501" s="22"/>
      <c r="C501" s="180"/>
      <c r="D501" s="180"/>
    </row>
    <row r="502" spans="1:4" ht="15.75">
      <c r="A502" s="767"/>
      <c r="B502" s="22"/>
      <c r="C502" s="180"/>
      <c r="D502" s="180"/>
    </row>
    <row r="503" spans="1:4" ht="15.75">
      <c r="A503" s="767"/>
      <c r="B503" s="22"/>
      <c r="C503" s="180"/>
      <c r="D503" s="180"/>
    </row>
    <row r="504" spans="1:4" ht="15.75">
      <c r="A504" s="767"/>
      <c r="B504" s="22"/>
      <c r="C504" s="180"/>
      <c r="D504" s="180"/>
    </row>
    <row r="505" spans="1:4" ht="15.75">
      <c r="A505" s="767"/>
      <c r="B505" s="22"/>
      <c r="C505" s="180"/>
      <c r="D505" s="180"/>
    </row>
    <row r="506" spans="1:4" ht="15.75">
      <c r="A506" s="767"/>
      <c r="B506" s="22"/>
      <c r="C506" s="180"/>
      <c r="D506" s="180"/>
    </row>
    <row r="507" spans="1:4" ht="15.75">
      <c r="A507" s="767"/>
      <c r="B507" s="22"/>
      <c r="C507" s="180"/>
      <c r="D507" s="180"/>
    </row>
    <row r="508" spans="1:4" ht="15.75">
      <c r="A508" s="767"/>
      <c r="B508" s="22"/>
      <c r="C508" s="180"/>
      <c r="D508" s="180"/>
    </row>
    <row r="509" spans="1:4" ht="15.75">
      <c r="A509" s="767"/>
      <c r="B509" s="22"/>
      <c r="C509" s="180"/>
      <c r="D509" s="180"/>
    </row>
    <row r="510" spans="1:4" ht="15.75">
      <c r="A510" s="767"/>
      <c r="B510" s="22"/>
      <c r="C510" s="180"/>
      <c r="D510" s="180"/>
    </row>
    <row r="511" spans="1:4" ht="15.75">
      <c r="A511" s="767"/>
      <c r="B511" s="22"/>
      <c r="C511" s="180"/>
      <c r="D511" s="180"/>
    </row>
    <row r="512" spans="1:4" ht="15.75">
      <c r="A512" s="767"/>
      <c r="B512" s="22"/>
      <c r="C512" s="180"/>
      <c r="D512" s="180"/>
    </row>
    <row r="513" spans="1:4" ht="15.75">
      <c r="A513" s="767"/>
      <c r="B513" s="22"/>
      <c r="C513" s="180"/>
      <c r="D513" s="180"/>
    </row>
    <row r="514" spans="1:4" ht="15.75">
      <c r="A514" s="767"/>
      <c r="B514" s="22"/>
      <c r="C514" s="180"/>
      <c r="D514" s="180"/>
    </row>
    <row r="515" spans="1:4" ht="15.75">
      <c r="A515" s="767"/>
      <c r="B515" s="22"/>
      <c r="C515" s="180"/>
      <c r="D515" s="180"/>
    </row>
    <row r="516" spans="1:4" ht="15.75">
      <c r="A516" s="767"/>
      <c r="B516" s="22"/>
      <c r="C516" s="180"/>
      <c r="D516" s="180"/>
    </row>
    <row r="517" spans="1:4" ht="15.75">
      <c r="A517" s="767"/>
      <c r="B517" s="22"/>
      <c r="C517" s="180"/>
      <c r="D517" s="180"/>
    </row>
    <row r="518" spans="1:4" ht="15.75">
      <c r="A518" s="767"/>
      <c r="B518" s="22"/>
      <c r="C518" s="180"/>
      <c r="D518" s="180"/>
    </row>
    <row r="519" spans="1:4" ht="15.75">
      <c r="A519" s="767"/>
      <c r="B519" s="22"/>
      <c r="C519" s="180"/>
      <c r="D519" s="180"/>
    </row>
    <row r="520" spans="1:4" ht="15.75">
      <c r="A520" s="767"/>
      <c r="B520" s="22"/>
      <c r="C520" s="180"/>
      <c r="D520" s="180"/>
    </row>
    <row r="521" spans="1:4" ht="15.75">
      <c r="A521" s="767"/>
      <c r="B521" s="22"/>
      <c r="C521" s="180"/>
      <c r="D521" s="180"/>
    </row>
    <row r="522" spans="1:4" ht="15.75">
      <c r="A522" s="767"/>
      <c r="B522" s="22"/>
      <c r="C522" s="180"/>
      <c r="D522" s="180"/>
    </row>
    <row r="523" spans="1:4" ht="15.75">
      <c r="A523" s="767"/>
      <c r="B523" s="22"/>
      <c r="C523" s="180"/>
      <c r="D523" s="180"/>
    </row>
    <row r="524" spans="1:4" ht="15.75">
      <c r="A524" s="767"/>
      <c r="B524" s="22"/>
      <c r="C524" s="180"/>
      <c r="D524" s="180"/>
    </row>
    <row r="525" spans="1:4" ht="15.75">
      <c r="A525" s="767"/>
      <c r="B525" s="22"/>
      <c r="C525" s="180"/>
      <c r="D525" s="180"/>
    </row>
    <row r="526" spans="1:4" ht="15.75">
      <c r="A526" s="767"/>
      <c r="B526" s="22"/>
      <c r="C526" s="180"/>
      <c r="D526" s="180"/>
    </row>
    <row r="527" spans="1:4" ht="15.75">
      <c r="A527" s="767"/>
      <c r="B527" s="22"/>
      <c r="C527" s="180"/>
      <c r="D527" s="180"/>
    </row>
    <row r="528" spans="1:4" ht="15.75">
      <c r="A528" s="767"/>
      <c r="B528" s="22"/>
      <c r="C528" s="180"/>
      <c r="D528" s="180"/>
    </row>
    <row r="529" spans="1:4" ht="15.75">
      <c r="A529" s="767"/>
      <c r="B529" s="22"/>
      <c r="C529" s="180"/>
      <c r="D529" s="180"/>
    </row>
    <row r="530" spans="1:4" ht="15.75">
      <c r="A530" s="767"/>
      <c r="B530" s="22"/>
      <c r="C530" s="180"/>
      <c r="D530" s="180"/>
    </row>
    <row r="531" spans="1:4" ht="15.75">
      <c r="A531" s="767"/>
      <c r="B531" s="22"/>
      <c r="C531" s="180"/>
      <c r="D531" s="180"/>
    </row>
    <row r="532" spans="1:4" ht="15.75">
      <c r="A532" s="767"/>
      <c r="B532" s="22"/>
      <c r="C532" s="180"/>
      <c r="D532" s="180"/>
    </row>
    <row r="533" spans="1:4" ht="15.75">
      <c r="A533" s="767"/>
      <c r="B533" s="22"/>
      <c r="C533" s="180"/>
      <c r="D533" s="180"/>
    </row>
    <row r="534" spans="1:4" ht="15.75">
      <c r="A534" s="767"/>
      <c r="B534" s="22"/>
      <c r="C534" s="180"/>
      <c r="D534" s="180"/>
    </row>
    <row r="535" spans="1:4" ht="15.75">
      <c r="A535" s="767"/>
      <c r="B535" s="22"/>
      <c r="C535" s="180"/>
      <c r="D535" s="180"/>
    </row>
    <row r="536" spans="1:4" ht="15.75">
      <c r="A536" s="767"/>
      <c r="B536" s="22"/>
      <c r="C536" s="180"/>
      <c r="D536" s="180"/>
    </row>
    <row r="537" spans="1:4" ht="15.75">
      <c r="A537" s="767"/>
      <c r="B537" s="22"/>
      <c r="C537" s="180"/>
      <c r="D537" s="180"/>
    </row>
    <row r="538" spans="1:4" ht="15.75">
      <c r="A538" s="767"/>
      <c r="B538" s="22"/>
      <c r="C538" s="180"/>
      <c r="D538" s="180"/>
    </row>
    <row r="539" spans="1:4" ht="15.75">
      <c r="A539" s="767"/>
      <c r="B539" s="22"/>
      <c r="C539" s="180"/>
      <c r="D539" s="180"/>
    </row>
    <row r="540" spans="1:4" ht="15.75">
      <c r="A540" s="767"/>
      <c r="B540" s="22"/>
      <c r="C540" s="180"/>
      <c r="D540" s="180"/>
    </row>
    <row r="541" spans="1:4" ht="15.75">
      <c r="A541" s="767"/>
      <c r="B541" s="22"/>
      <c r="C541" s="180"/>
      <c r="D541" s="180"/>
    </row>
    <row r="542" spans="1:4" ht="15.75">
      <c r="A542" s="767"/>
      <c r="B542" s="22"/>
      <c r="C542" s="180"/>
      <c r="D542" s="180"/>
    </row>
    <row r="543" spans="1:4" ht="15.75">
      <c r="A543" s="767"/>
      <c r="B543" s="22"/>
      <c r="C543" s="180"/>
      <c r="D543" s="180"/>
    </row>
    <row r="544" spans="1:4" ht="15.75">
      <c r="A544" s="767"/>
      <c r="B544" s="22"/>
      <c r="C544" s="180"/>
      <c r="D544" s="180"/>
    </row>
    <row r="545" spans="1:4" ht="15.75">
      <c r="A545" s="767"/>
      <c r="B545" s="22"/>
      <c r="C545" s="180"/>
      <c r="D545" s="180"/>
    </row>
    <row r="546" spans="1:4" ht="15.75">
      <c r="A546" s="767"/>
      <c r="B546" s="22"/>
      <c r="C546" s="180"/>
      <c r="D546" s="180"/>
    </row>
    <row r="547" spans="1:4" ht="15.75">
      <c r="A547" s="767"/>
      <c r="B547" s="22"/>
      <c r="C547" s="180"/>
      <c r="D547" s="180"/>
    </row>
    <row r="548" spans="1:4" ht="15.75">
      <c r="A548" s="767"/>
      <c r="B548" s="22"/>
      <c r="C548" s="180"/>
      <c r="D548" s="180"/>
    </row>
    <row r="549" spans="1:4" ht="15.75">
      <c r="A549" s="767"/>
      <c r="B549" s="22"/>
      <c r="C549" s="180"/>
      <c r="D549" s="180"/>
    </row>
    <row r="550" spans="1:4" ht="15.75">
      <c r="A550" s="767"/>
      <c r="B550" s="22"/>
      <c r="C550" s="180"/>
      <c r="D550" s="180"/>
    </row>
    <row r="551" spans="1:4" ht="15.75">
      <c r="A551" s="767"/>
      <c r="B551" s="22"/>
      <c r="C551" s="180"/>
      <c r="D551" s="180"/>
    </row>
    <row r="552" spans="1:4" ht="15.75">
      <c r="A552" s="767"/>
      <c r="B552" s="22"/>
      <c r="C552" s="180"/>
      <c r="D552" s="180"/>
    </row>
    <row r="553" spans="1:4" ht="15.75">
      <c r="A553" s="767"/>
      <c r="B553" s="22"/>
      <c r="C553" s="180"/>
      <c r="D553" s="180"/>
    </row>
    <row r="554" spans="1:4" ht="15.75">
      <c r="A554" s="767"/>
      <c r="B554" s="22"/>
      <c r="C554" s="180"/>
      <c r="D554" s="180"/>
    </row>
    <row r="555" spans="1:4" ht="15.75">
      <c r="A555" s="767"/>
      <c r="B555" s="22"/>
      <c r="C555" s="180"/>
      <c r="D555" s="180"/>
    </row>
    <row r="556" spans="1:4" ht="15.75">
      <c r="A556" s="767"/>
      <c r="B556" s="22"/>
      <c r="C556" s="180"/>
      <c r="D556" s="180"/>
    </row>
    <row r="557" spans="1:4" ht="15.75">
      <c r="A557" s="767"/>
      <c r="B557" s="22"/>
      <c r="C557" s="180"/>
      <c r="D557" s="180"/>
    </row>
    <row r="558" spans="1:4" ht="15.75">
      <c r="A558" s="767"/>
      <c r="B558" s="22"/>
      <c r="C558" s="180"/>
      <c r="D558" s="180"/>
    </row>
    <row r="559" spans="1:4" ht="15.75">
      <c r="A559" s="767"/>
      <c r="B559" s="22"/>
      <c r="C559" s="180"/>
      <c r="D559" s="180"/>
    </row>
    <row r="560" spans="1:4" ht="15.75">
      <c r="A560" s="767"/>
      <c r="B560" s="22"/>
      <c r="C560" s="180"/>
      <c r="D560" s="180"/>
    </row>
    <row r="561" spans="1:4" ht="15.75">
      <c r="A561" s="767"/>
      <c r="B561" s="22"/>
      <c r="C561" s="180"/>
      <c r="D561" s="180"/>
    </row>
    <row r="562" spans="1:4" ht="15.75">
      <c r="A562" s="767"/>
      <c r="B562" s="22"/>
      <c r="C562" s="180"/>
      <c r="D562" s="180"/>
    </row>
    <row r="563" spans="1:4" ht="15.75">
      <c r="A563" s="767"/>
      <c r="B563" s="22"/>
      <c r="C563" s="180"/>
      <c r="D563" s="180"/>
    </row>
    <row r="564" spans="1:4" ht="15.75">
      <c r="A564" s="767"/>
      <c r="B564" s="22"/>
      <c r="C564" s="180"/>
      <c r="D564" s="180"/>
    </row>
    <row r="565" spans="1:4" ht="15.75">
      <c r="A565" s="767"/>
      <c r="B565" s="22"/>
      <c r="C565" s="180"/>
      <c r="D565" s="180"/>
    </row>
    <row r="566" spans="1:4" ht="15.75">
      <c r="A566" s="767"/>
      <c r="B566" s="22"/>
      <c r="C566" s="180"/>
      <c r="D566" s="180"/>
    </row>
    <row r="567" spans="1:4" ht="15.75">
      <c r="A567" s="767"/>
      <c r="B567" s="22"/>
      <c r="C567" s="180"/>
      <c r="D567" s="180"/>
    </row>
    <row r="568" spans="1:4" ht="15.75">
      <c r="A568" s="767"/>
      <c r="B568" s="22"/>
      <c r="C568" s="180"/>
      <c r="D568" s="180"/>
    </row>
    <row r="569" spans="1:4" ht="15.75">
      <c r="A569" s="767"/>
      <c r="B569" s="22"/>
      <c r="C569" s="180"/>
      <c r="D569" s="180"/>
    </row>
    <row r="570" spans="1:4" ht="15.75">
      <c r="A570" s="767"/>
      <c r="B570" s="22"/>
      <c r="C570" s="180"/>
      <c r="D570" s="180"/>
    </row>
    <row r="571" spans="1:4" ht="15.75">
      <c r="A571" s="767"/>
      <c r="B571" s="22"/>
      <c r="C571" s="180"/>
      <c r="D571" s="180"/>
    </row>
    <row r="572" spans="1:4" ht="15.75">
      <c r="A572" s="767"/>
      <c r="B572" s="22"/>
      <c r="C572" s="180"/>
      <c r="D572" s="180"/>
    </row>
    <row r="573" spans="1:4" ht="15.75">
      <c r="A573" s="767"/>
      <c r="B573" s="22"/>
      <c r="C573" s="180"/>
      <c r="D573" s="180"/>
    </row>
    <row r="574" spans="1:4" ht="15.75">
      <c r="A574" s="767"/>
      <c r="B574" s="22"/>
      <c r="C574" s="180"/>
      <c r="D574" s="180"/>
    </row>
    <row r="575" spans="1:4" ht="15.75">
      <c r="A575" s="767"/>
      <c r="B575" s="22"/>
      <c r="C575" s="180"/>
      <c r="D575" s="180"/>
    </row>
    <row r="576" spans="1:4" ht="15.75">
      <c r="A576" s="767"/>
      <c r="B576" s="22"/>
      <c r="C576" s="180"/>
      <c r="D576" s="180"/>
    </row>
    <row r="577" spans="1:4" ht="15.75">
      <c r="A577" s="767"/>
      <c r="B577" s="22"/>
      <c r="C577" s="180"/>
      <c r="D577" s="180"/>
    </row>
    <row r="578" spans="1:4" ht="15.75">
      <c r="A578" s="767"/>
      <c r="B578" s="22"/>
      <c r="C578" s="180"/>
      <c r="D578" s="180"/>
    </row>
    <row r="579" spans="1:4" ht="15.75">
      <c r="A579" s="767"/>
      <c r="B579" s="22"/>
      <c r="C579" s="180"/>
      <c r="D579" s="180"/>
    </row>
    <row r="580" spans="1:4" ht="15.75">
      <c r="A580" s="767"/>
      <c r="B580" s="22"/>
      <c r="C580" s="180"/>
      <c r="D580" s="180"/>
    </row>
    <row r="581" spans="1:4" ht="15.75">
      <c r="A581" s="767"/>
      <c r="B581" s="22"/>
      <c r="C581" s="180"/>
      <c r="D581" s="180"/>
    </row>
    <row r="582" spans="1:4" ht="15.75">
      <c r="A582" s="767"/>
      <c r="B582" s="22"/>
      <c r="C582" s="180"/>
      <c r="D582" s="180"/>
    </row>
    <row r="583" spans="1:4" ht="15.75">
      <c r="A583" s="767"/>
      <c r="B583" s="22"/>
      <c r="C583" s="180"/>
      <c r="D583" s="180"/>
    </row>
    <row r="584" spans="1:4" ht="15.75">
      <c r="A584" s="767"/>
      <c r="B584" s="22"/>
      <c r="C584" s="180"/>
      <c r="D584" s="180"/>
    </row>
    <row r="585" spans="1:4" ht="15.75">
      <c r="A585" s="767"/>
      <c r="B585" s="22"/>
      <c r="C585" s="180"/>
      <c r="D585" s="180"/>
    </row>
    <row r="586" spans="1:4" ht="15.75">
      <c r="A586" s="767"/>
      <c r="B586" s="22"/>
      <c r="C586" s="180"/>
      <c r="D586" s="180"/>
    </row>
    <row r="587" spans="1:4" ht="15.75">
      <c r="A587" s="767"/>
      <c r="B587" s="22"/>
      <c r="C587" s="180"/>
      <c r="D587" s="180"/>
    </row>
    <row r="588" spans="1:4" ht="15.75">
      <c r="A588" s="767"/>
      <c r="B588" s="22"/>
      <c r="C588" s="180"/>
      <c r="D588" s="180"/>
    </row>
    <row r="589" spans="1:4" ht="15.75">
      <c r="A589" s="767"/>
      <c r="B589" s="22"/>
      <c r="C589" s="180"/>
      <c r="D589" s="180"/>
    </row>
    <row r="590" spans="1:4" ht="15.75">
      <c r="A590" s="767"/>
      <c r="B590" s="22"/>
      <c r="C590" s="180"/>
      <c r="D590" s="180"/>
    </row>
    <row r="591" spans="1:4" ht="15.75">
      <c r="A591" s="767"/>
      <c r="B591" s="22"/>
      <c r="C591" s="180"/>
      <c r="D591" s="180"/>
    </row>
    <row r="592" spans="1:4" ht="15.75">
      <c r="A592" s="767"/>
      <c r="B592" s="22"/>
      <c r="C592" s="180"/>
      <c r="D592" s="180"/>
    </row>
    <row r="593" spans="1:4" ht="15.75">
      <c r="A593" s="767"/>
      <c r="B593" s="22"/>
      <c r="C593" s="180"/>
      <c r="D593" s="180"/>
    </row>
    <row r="594" spans="1:4" ht="15.75">
      <c r="A594" s="767"/>
      <c r="B594" s="22"/>
      <c r="C594" s="180"/>
      <c r="D594" s="180"/>
    </row>
    <row r="595" spans="1:4" ht="15.75">
      <c r="A595" s="767"/>
      <c r="B595" s="22"/>
      <c r="C595" s="180"/>
      <c r="D595" s="180"/>
    </row>
    <row r="596" spans="1:4" ht="15.75">
      <c r="A596" s="767"/>
      <c r="B596" s="22"/>
      <c r="C596" s="180"/>
      <c r="D596" s="180"/>
    </row>
    <row r="597" spans="1:4" ht="15.75">
      <c r="A597" s="767"/>
      <c r="B597" s="22"/>
      <c r="C597" s="180"/>
      <c r="D597" s="180"/>
    </row>
    <row r="598" spans="1:4" ht="15.75">
      <c r="A598" s="767"/>
      <c r="B598" s="22"/>
      <c r="C598" s="180"/>
      <c r="D598" s="180"/>
    </row>
    <row r="599" spans="1:4" ht="15.75">
      <c r="A599" s="767"/>
      <c r="B599" s="22"/>
      <c r="C599" s="180"/>
      <c r="D599" s="180"/>
    </row>
    <row r="600" spans="1:4" ht="15.75">
      <c r="A600" s="767"/>
      <c r="B600" s="22"/>
      <c r="C600" s="180"/>
      <c r="D600" s="180"/>
    </row>
    <row r="601" spans="1:4" ht="15.75">
      <c r="A601" s="767"/>
      <c r="B601" s="22"/>
      <c r="C601" s="180"/>
      <c r="D601" s="180"/>
    </row>
    <row r="602" spans="1:4" ht="15.75">
      <c r="A602" s="767"/>
      <c r="B602" s="22"/>
      <c r="C602" s="180"/>
      <c r="D602" s="180"/>
    </row>
    <row r="603" spans="1:4" ht="15.75">
      <c r="A603" s="767"/>
      <c r="B603" s="22"/>
      <c r="C603" s="180"/>
      <c r="D603" s="180"/>
    </row>
    <row r="604" spans="1:4" ht="15.75">
      <c r="A604" s="767"/>
      <c r="B604" s="22"/>
      <c r="C604" s="180"/>
      <c r="D604" s="180"/>
    </row>
    <row r="605" spans="1:4" ht="15.75">
      <c r="A605" s="767"/>
      <c r="B605" s="22"/>
      <c r="C605" s="180"/>
      <c r="D605" s="180"/>
    </row>
    <row r="606" spans="1:4" ht="15.75">
      <c r="A606" s="767"/>
      <c r="B606" s="22"/>
      <c r="C606" s="180"/>
      <c r="D606" s="180"/>
    </row>
    <row r="607" spans="1:4" ht="15.75">
      <c r="A607" s="767"/>
      <c r="B607" s="22"/>
      <c r="C607" s="180"/>
      <c r="D607" s="180"/>
    </row>
    <row r="608" spans="1:4" ht="15.75">
      <c r="A608" s="767"/>
      <c r="B608" s="22"/>
      <c r="C608" s="180"/>
      <c r="D608" s="180"/>
    </row>
    <row r="609" spans="1:4" ht="15.75">
      <c r="A609" s="767"/>
      <c r="B609" s="22"/>
      <c r="C609" s="180"/>
      <c r="D609" s="180"/>
    </row>
    <row r="610" spans="1:4" ht="15.75">
      <c r="A610" s="767"/>
      <c r="B610" s="22"/>
      <c r="C610" s="180"/>
      <c r="D610" s="180"/>
    </row>
    <row r="611" spans="1:4" ht="15.75">
      <c r="A611" s="767"/>
      <c r="B611" s="22"/>
      <c r="C611" s="180"/>
      <c r="D611" s="180"/>
    </row>
    <row r="612" spans="1:4" ht="15.75">
      <c r="A612" s="767"/>
      <c r="B612" s="22"/>
      <c r="C612" s="180"/>
      <c r="D612" s="180"/>
    </row>
    <row r="613" spans="1:4" ht="15.75">
      <c r="A613" s="767"/>
      <c r="B613" s="22"/>
      <c r="C613" s="180"/>
      <c r="D613" s="180"/>
    </row>
    <row r="614" spans="1:4" ht="15.75">
      <c r="A614" s="767"/>
      <c r="B614" s="22"/>
      <c r="C614" s="180"/>
      <c r="D614" s="180"/>
    </row>
    <row r="615" spans="1:4" ht="15.75">
      <c r="A615" s="767"/>
      <c r="B615" s="22"/>
      <c r="C615" s="180"/>
      <c r="D615" s="180"/>
    </row>
  </sheetData>
  <sheetProtection/>
  <autoFilter ref="A9:O37"/>
  <mergeCells count="14">
    <mergeCell ref="A1:M1"/>
    <mergeCell ref="A3:M3"/>
    <mergeCell ref="A5:M5"/>
    <mergeCell ref="A7:A8"/>
    <mergeCell ref="B7:B8"/>
    <mergeCell ref="C7:C8"/>
    <mergeCell ref="D7:D8"/>
    <mergeCell ref="E7:E8"/>
    <mergeCell ref="F7:F8"/>
    <mergeCell ref="G7:H7"/>
    <mergeCell ref="G46:I46"/>
    <mergeCell ref="I7:J7"/>
    <mergeCell ref="K7:L7"/>
    <mergeCell ref="M7:M8"/>
  </mergeCells>
  <printOptions horizontalCentered="1"/>
  <pageMargins left="0.2" right="0.2" top="0.5" bottom="0.5" header="0.196850393700787" footer="0.15748031496063"/>
  <pageSetup horizontalDpi="600" verticalDpi="600" orientation="landscape" paperSize="9" scale="89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V756"/>
  <sheetViews>
    <sheetView view="pageBreakPreview" zoomScaleSheetLayoutView="100" zoomScalePageLayoutView="0" workbookViewId="0" topLeftCell="A1">
      <selection activeCell="B150" sqref="B150"/>
    </sheetView>
  </sheetViews>
  <sheetFormatPr defaultColWidth="9.140625" defaultRowHeight="12.75"/>
  <cols>
    <col min="1" max="1" width="3.8515625" style="293" customWidth="1"/>
    <col min="2" max="2" width="10.00390625" style="294" customWidth="1"/>
    <col min="3" max="3" width="54.28125" style="292" customWidth="1"/>
    <col min="4" max="4" width="7.140625" style="295" customWidth="1"/>
    <col min="5" max="5" width="7.00390625" style="229" customWidth="1"/>
    <col min="6" max="6" width="8.7109375" style="213" customWidth="1"/>
    <col min="7" max="7" width="8.7109375" style="286" customWidth="1"/>
    <col min="8" max="8" width="10.8515625" style="286" customWidth="1"/>
    <col min="9" max="9" width="8.140625" style="296" customWidth="1"/>
    <col min="10" max="10" width="10.8515625" style="286" customWidth="1"/>
    <col min="11" max="11" width="8.7109375" style="296" customWidth="1"/>
    <col min="12" max="12" width="10.7109375" style="286" customWidth="1"/>
    <col min="13" max="13" width="13.140625" style="285" customWidth="1"/>
    <col min="14" max="14" width="19.8515625" style="292" customWidth="1"/>
    <col min="15" max="15" width="12.8515625" style="292" customWidth="1"/>
    <col min="16" max="16" width="31.421875" style="292" customWidth="1"/>
    <col min="17" max="16384" width="9.140625" style="292" customWidth="1"/>
  </cols>
  <sheetData>
    <row r="1" spans="1:13" s="587" customFormat="1" ht="54" customHeight="1">
      <c r="A1" s="812" t="str">
        <f>კრებსიტი!A1</f>
        <v>სსიპ წიაღის ეროვნული სააგენტოსთვის დავით აღმაშენებლის გამზირზე #150 მდებარე შენობის მე-8 სართულის (საერთო ფართი 889.32 კვ.მ.) სარემონტო-სამონტაჟო სამუშაოებისთვის საჭირო საპროექტო-სახარჯთაღრიცხვო დოკუმენტაციის შედგენა. 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</row>
    <row r="2" spans="2:5" s="111" customFormat="1" ht="9" customHeight="1">
      <c r="B2" s="228"/>
      <c r="D2" s="228"/>
      <c r="E2" s="228"/>
    </row>
    <row r="3" spans="1:13" s="345" customFormat="1" ht="19.5" customHeight="1">
      <c r="A3" s="813" t="s">
        <v>116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</row>
    <row r="4" spans="1:13" s="345" customFormat="1" ht="9" customHeight="1">
      <c r="A4" s="201"/>
      <c r="B4" s="616"/>
      <c r="C4" s="617"/>
      <c r="D4" s="201"/>
      <c r="E4" s="201"/>
      <c r="F4" s="449"/>
      <c r="G4" s="449"/>
      <c r="H4" s="449"/>
      <c r="I4" s="618"/>
      <c r="J4" s="449"/>
      <c r="K4" s="618"/>
      <c r="L4" s="449"/>
      <c r="M4" s="449"/>
    </row>
    <row r="5" spans="1:13" s="619" customFormat="1" ht="18.75" customHeight="1">
      <c r="A5" s="827" t="s">
        <v>171</v>
      </c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</row>
    <row r="6" spans="1:13" s="345" customFormat="1" ht="14.25" customHeight="1" thickBot="1">
      <c r="A6" s="202"/>
      <c r="B6" s="620"/>
      <c r="C6" s="621"/>
      <c r="D6" s="202"/>
      <c r="E6" s="202"/>
      <c r="F6" s="364"/>
      <c r="G6" s="364"/>
      <c r="H6" s="364"/>
      <c r="I6" s="622"/>
      <c r="J6" s="364"/>
      <c r="K6" s="622"/>
      <c r="L6" s="364"/>
      <c r="M6" s="364"/>
    </row>
    <row r="7" spans="1:13" s="345" customFormat="1" ht="33" customHeight="1" thickBot="1" thickTop="1">
      <c r="A7" s="815" t="s">
        <v>4</v>
      </c>
      <c r="B7" s="828" t="s">
        <v>5</v>
      </c>
      <c r="C7" s="823" t="s">
        <v>2</v>
      </c>
      <c r="D7" s="815" t="s">
        <v>0</v>
      </c>
      <c r="E7" s="817" t="s">
        <v>35</v>
      </c>
      <c r="F7" s="819" t="s">
        <v>1</v>
      </c>
      <c r="G7" s="821" t="s">
        <v>34</v>
      </c>
      <c r="H7" s="822"/>
      <c r="I7" s="823" t="s">
        <v>31</v>
      </c>
      <c r="J7" s="823"/>
      <c r="K7" s="823" t="s">
        <v>36</v>
      </c>
      <c r="L7" s="823"/>
      <c r="M7" s="824" t="s">
        <v>32</v>
      </c>
    </row>
    <row r="8" spans="1:14" s="345" customFormat="1" ht="33" customHeight="1" thickBot="1" thickTop="1">
      <c r="A8" s="815"/>
      <c r="B8" s="828"/>
      <c r="C8" s="823"/>
      <c r="D8" s="815"/>
      <c r="E8" s="818"/>
      <c r="F8" s="820"/>
      <c r="G8" s="623" t="s">
        <v>33</v>
      </c>
      <c r="H8" s="740" t="s">
        <v>26</v>
      </c>
      <c r="I8" s="623" t="s">
        <v>33</v>
      </c>
      <c r="J8" s="740" t="s">
        <v>26</v>
      </c>
      <c r="K8" s="623" t="s">
        <v>33</v>
      </c>
      <c r="L8" s="740" t="s">
        <v>26</v>
      </c>
      <c r="M8" s="825"/>
      <c r="N8" s="624"/>
    </row>
    <row r="9" spans="1:13" s="426" customFormat="1" ht="14.25" customHeight="1" thickBot="1" thickTop="1">
      <c r="A9" s="424">
        <v>1</v>
      </c>
      <c r="B9" s="424">
        <v>2</v>
      </c>
      <c r="C9" s="208">
        <v>3</v>
      </c>
      <c r="D9" s="208">
        <v>4</v>
      </c>
      <c r="E9" s="208">
        <v>5</v>
      </c>
      <c r="F9" s="208">
        <v>6</v>
      </c>
      <c r="G9" s="425">
        <v>7</v>
      </c>
      <c r="H9" s="425">
        <v>8</v>
      </c>
      <c r="I9" s="425">
        <v>9</v>
      </c>
      <c r="J9" s="425">
        <v>10</v>
      </c>
      <c r="K9" s="425">
        <v>11</v>
      </c>
      <c r="L9" s="425">
        <v>12</v>
      </c>
      <c r="M9" s="425">
        <v>13</v>
      </c>
    </row>
    <row r="10" spans="1:15" s="510" customFormat="1" ht="18" customHeight="1" thickTop="1">
      <c r="A10" s="497" t="s">
        <v>71</v>
      </c>
      <c r="B10" s="498"/>
      <c r="C10" s="509" t="s">
        <v>172</v>
      </c>
      <c r="D10" s="499"/>
      <c r="E10" s="138"/>
      <c r="F10" s="227"/>
      <c r="G10" s="143"/>
      <c r="H10" s="143"/>
      <c r="I10" s="195"/>
      <c r="J10" s="199"/>
      <c r="K10" s="195"/>
      <c r="L10" s="195"/>
      <c r="M10" s="143"/>
      <c r="O10" s="511"/>
    </row>
    <row r="11" spans="1:13" s="27" customFormat="1" ht="18" customHeight="1">
      <c r="A11" s="3"/>
      <c r="B11" s="32"/>
      <c r="C11" s="34" t="s">
        <v>173</v>
      </c>
      <c r="D11" s="32"/>
      <c r="E11" s="11"/>
      <c r="F11" s="2"/>
      <c r="G11" s="143"/>
      <c r="H11" s="143"/>
      <c r="I11" s="195"/>
      <c r="J11" s="199"/>
      <c r="K11" s="195"/>
      <c r="L11" s="195"/>
      <c r="M11" s="143"/>
    </row>
    <row r="12" spans="1:13" s="193" customFormat="1" ht="21" customHeight="1">
      <c r="A12" s="136">
        <v>1</v>
      </c>
      <c r="B12" s="140" t="s">
        <v>142</v>
      </c>
      <c r="C12" s="335" t="s">
        <v>174</v>
      </c>
      <c r="D12" s="203" t="s">
        <v>7</v>
      </c>
      <c r="E12" s="203"/>
      <c r="F12" s="204">
        <v>36</v>
      </c>
      <c r="G12" s="143"/>
      <c r="H12" s="143"/>
      <c r="I12" s="195"/>
      <c r="J12" s="199"/>
      <c r="K12" s="195"/>
      <c r="L12" s="195"/>
      <c r="M12" s="143"/>
    </row>
    <row r="13" spans="1:13" s="144" customFormat="1" ht="18" customHeight="1">
      <c r="A13" s="136"/>
      <c r="B13" s="140"/>
      <c r="C13" s="198" t="s">
        <v>13</v>
      </c>
      <c r="D13" s="39" t="s">
        <v>139</v>
      </c>
      <c r="E13" s="302">
        <v>1.43</v>
      </c>
      <c r="F13" s="283">
        <f>F12*E13</f>
        <v>51.48</v>
      </c>
      <c r="G13" s="143"/>
      <c r="H13" s="143"/>
      <c r="I13" s="195"/>
      <c r="J13" s="195">
        <f>I13*F13</f>
        <v>0</v>
      </c>
      <c r="K13" s="195"/>
      <c r="L13" s="195"/>
      <c r="M13" s="143">
        <f>L13+J13+H13</f>
        <v>0</v>
      </c>
    </row>
    <row r="14" spans="1:13" s="144" customFormat="1" ht="18" customHeight="1">
      <c r="A14" s="136"/>
      <c r="B14" s="140"/>
      <c r="C14" s="198" t="s">
        <v>70</v>
      </c>
      <c r="D14" s="139" t="s">
        <v>6</v>
      </c>
      <c r="E14" s="209">
        <v>0.0257</v>
      </c>
      <c r="F14" s="143">
        <f>E14*F12</f>
        <v>0.9252</v>
      </c>
      <c r="G14" s="143"/>
      <c r="H14" s="143"/>
      <c r="I14" s="195"/>
      <c r="J14" s="195"/>
      <c r="K14" s="195"/>
      <c r="L14" s="195">
        <f>K14*F14</f>
        <v>0</v>
      </c>
      <c r="M14" s="143">
        <f>L14+J14+H14</f>
        <v>0</v>
      </c>
    </row>
    <row r="15" spans="1:14" s="627" customFormat="1" ht="18" customHeight="1">
      <c r="A15" s="625"/>
      <c r="B15" s="140"/>
      <c r="C15" s="318" t="s">
        <v>258</v>
      </c>
      <c r="D15" s="139" t="s">
        <v>7</v>
      </c>
      <c r="E15" s="210">
        <v>0.929</v>
      </c>
      <c r="F15" s="143">
        <f>E15*F12</f>
        <v>33.444</v>
      </c>
      <c r="G15" s="143"/>
      <c r="H15" s="143">
        <f>G15*F15</f>
        <v>0</v>
      </c>
      <c r="I15" s="195"/>
      <c r="J15" s="195"/>
      <c r="K15" s="195"/>
      <c r="L15" s="195"/>
      <c r="M15" s="143">
        <f>L15+J15+H15</f>
        <v>0</v>
      </c>
      <c r="N15" s="626"/>
    </row>
    <row r="16" spans="1:13" s="144" customFormat="1" ht="18" customHeight="1">
      <c r="A16" s="136"/>
      <c r="B16" s="140"/>
      <c r="C16" s="198" t="s">
        <v>69</v>
      </c>
      <c r="D16" s="139" t="s">
        <v>6</v>
      </c>
      <c r="E16" s="209">
        <v>0.0457</v>
      </c>
      <c r="F16" s="143">
        <f>E16*F12</f>
        <v>1.6452</v>
      </c>
      <c r="G16" s="143"/>
      <c r="H16" s="143">
        <f>G16*F16</f>
        <v>0</v>
      </c>
      <c r="I16" s="195"/>
      <c r="J16" s="195"/>
      <c r="K16" s="195"/>
      <c r="L16" s="195"/>
      <c r="M16" s="143">
        <f>L16+J16+H16</f>
        <v>0</v>
      </c>
    </row>
    <row r="17" spans="1:13" s="193" customFormat="1" ht="21" customHeight="1">
      <c r="A17" s="136">
        <f>A12+1</f>
        <v>2</v>
      </c>
      <c r="B17" s="140" t="s">
        <v>143</v>
      </c>
      <c r="C17" s="335" t="s">
        <v>174</v>
      </c>
      <c r="D17" s="203" t="s">
        <v>7</v>
      </c>
      <c r="E17" s="203"/>
      <c r="F17" s="204">
        <v>12</v>
      </c>
      <c r="G17" s="143"/>
      <c r="H17" s="143"/>
      <c r="I17" s="195"/>
      <c r="J17" s="195"/>
      <c r="K17" s="195"/>
      <c r="L17" s="195"/>
      <c r="M17" s="143"/>
    </row>
    <row r="18" spans="1:13" s="144" customFormat="1" ht="18" customHeight="1">
      <c r="A18" s="136"/>
      <c r="B18" s="140"/>
      <c r="C18" s="198" t="s">
        <v>13</v>
      </c>
      <c r="D18" s="39" t="s">
        <v>139</v>
      </c>
      <c r="E18" s="302">
        <v>1.17</v>
      </c>
      <c r="F18" s="283">
        <f>F17*E18</f>
        <v>14.04</v>
      </c>
      <c r="G18" s="143"/>
      <c r="H18" s="143"/>
      <c r="I18" s="195"/>
      <c r="J18" s="195">
        <f>I18*F18</f>
        <v>0</v>
      </c>
      <c r="K18" s="195"/>
      <c r="L18" s="195"/>
      <c r="M18" s="143">
        <f>L18+J18+H18</f>
        <v>0</v>
      </c>
    </row>
    <row r="19" spans="1:13" s="144" customFormat="1" ht="18" customHeight="1">
      <c r="A19" s="136"/>
      <c r="B19" s="140"/>
      <c r="C19" s="198" t="s">
        <v>70</v>
      </c>
      <c r="D19" s="139" t="s">
        <v>6</v>
      </c>
      <c r="E19" s="209">
        <v>0.0172</v>
      </c>
      <c r="F19" s="143">
        <f>E19*F17</f>
        <v>0.2064</v>
      </c>
      <c r="G19" s="143"/>
      <c r="H19" s="143"/>
      <c r="I19" s="195"/>
      <c r="J19" s="195"/>
      <c r="K19" s="195"/>
      <c r="L19" s="195">
        <f>K19*F19</f>
        <v>0</v>
      </c>
      <c r="M19" s="143">
        <f>L19+J19+H19</f>
        <v>0</v>
      </c>
    </row>
    <row r="20" spans="1:14" s="627" customFormat="1" ht="18" customHeight="1">
      <c r="A20" s="625"/>
      <c r="B20" s="140"/>
      <c r="C20" s="318" t="s">
        <v>259</v>
      </c>
      <c r="D20" s="139" t="s">
        <v>7</v>
      </c>
      <c r="E20" s="210">
        <v>0.938</v>
      </c>
      <c r="F20" s="143">
        <f>E20*F17</f>
        <v>11.256</v>
      </c>
      <c r="G20" s="143"/>
      <c r="H20" s="143">
        <f>G20*F20</f>
        <v>0</v>
      </c>
      <c r="I20" s="195"/>
      <c r="J20" s="195"/>
      <c r="K20" s="195"/>
      <c r="L20" s="195"/>
      <c r="M20" s="143">
        <f>L20+J20+H20</f>
        <v>0</v>
      </c>
      <c r="N20" s="626"/>
    </row>
    <row r="21" spans="1:13" s="144" customFormat="1" ht="18" customHeight="1">
      <c r="A21" s="136"/>
      <c r="B21" s="140"/>
      <c r="C21" s="198" t="s">
        <v>69</v>
      </c>
      <c r="D21" s="139" t="s">
        <v>6</v>
      </c>
      <c r="E21" s="209">
        <v>0.0393</v>
      </c>
      <c r="F21" s="143">
        <f>E21*F17</f>
        <v>0.4716</v>
      </c>
      <c r="G21" s="143"/>
      <c r="H21" s="143">
        <f>G21*F21</f>
        <v>0</v>
      </c>
      <c r="I21" s="195"/>
      <c r="J21" s="195"/>
      <c r="K21" s="195"/>
      <c r="L21" s="195"/>
      <c r="M21" s="143">
        <f>L21+J21+H21</f>
        <v>0</v>
      </c>
    </row>
    <row r="22" spans="1:13" s="27" customFormat="1" ht="18" customHeight="1">
      <c r="A22" s="3"/>
      <c r="B22" s="32"/>
      <c r="C22" s="34" t="s">
        <v>175</v>
      </c>
      <c r="D22" s="32"/>
      <c r="E22" s="11"/>
      <c r="F22" s="2"/>
      <c r="G22" s="143"/>
      <c r="H22" s="143"/>
      <c r="I22" s="195"/>
      <c r="J22" s="195"/>
      <c r="K22" s="195"/>
      <c r="L22" s="195"/>
      <c r="M22" s="143"/>
    </row>
    <row r="23" spans="1:13" s="98" customFormat="1" ht="33" customHeight="1">
      <c r="A23" s="90">
        <f>A17+1</f>
        <v>3</v>
      </c>
      <c r="B23" s="33" t="s">
        <v>142</v>
      </c>
      <c r="C23" s="96" t="s">
        <v>206</v>
      </c>
      <c r="D23" s="41" t="s">
        <v>94</v>
      </c>
      <c r="E23" s="41"/>
      <c r="F23" s="374">
        <v>50</v>
      </c>
      <c r="G23" s="143"/>
      <c r="H23" s="143"/>
      <c r="I23" s="195"/>
      <c r="J23" s="195"/>
      <c r="K23" s="195"/>
      <c r="L23" s="195"/>
      <c r="M23" s="143"/>
    </row>
    <row r="24" spans="1:256" s="102" customFormat="1" ht="18" customHeight="1">
      <c r="A24" s="90"/>
      <c r="B24" s="33"/>
      <c r="C24" s="79" t="s">
        <v>84</v>
      </c>
      <c r="D24" s="32" t="s">
        <v>139</v>
      </c>
      <c r="E24" s="32">
        <v>1.43</v>
      </c>
      <c r="F24" s="143">
        <f>F23*E24</f>
        <v>71.5</v>
      </c>
      <c r="G24" s="143"/>
      <c r="H24" s="143"/>
      <c r="I24" s="195"/>
      <c r="J24" s="195">
        <f>I24*F24</f>
        <v>0</v>
      </c>
      <c r="K24" s="195"/>
      <c r="L24" s="195"/>
      <c r="M24" s="143">
        <f>L24+J24+H24</f>
        <v>0</v>
      </c>
      <c r="N24" s="124"/>
      <c r="O24" s="125"/>
      <c r="P24" s="126"/>
      <c r="Q24" s="12"/>
      <c r="R24" s="12"/>
      <c r="S24" s="48"/>
      <c r="T24" s="127"/>
      <c r="U24" s="127"/>
      <c r="V24" s="128"/>
      <c r="W24" s="127"/>
      <c r="X24" s="127"/>
      <c r="Y24" s="127"/>
      <c r="Z24" s="278"/>
      <c r="AA24" s="124"/>
      <c r="AB24" s="125"/>
      <c r="AC24" s="126"/>
      <c r="AD24" s="12"/>
      <c r="AE24" s="12"/>
      <c r="AF24" s="48"/>
      <c r="AG24" s="127"/>
      <c r="AH24" s="127"/>
      <c r="AI24" s="128"/>
      <c r="AJ24" s="127"/>
      <c r="AK24" s="127"/>
      <c r="AL24" s="127"/>
      <c r="AM24" s="278"/>
      <c r="AN24" s="124"/>
      <c r="AO24" s="125"/>
      <c r="AP24" s="126"/>
      <c r="AQ24" s="12"/>
      <c r="AR24" s="12"/>
      <c r="AS24" s="48"/>
      <c r="AT24" s="127"/>
      <c r="AU24" s="127"/>
      <c r="AV24" s="128"/>
      <c r="AW24" s="127"/>
      <c r="AX24" s="127"/>
      <c r="AY24" s="127"/>
      <c r="AZ24" s="278"/>
      <c r="BA24" s="124"/>
      <c r="BB24" s="125"/>
      <c r="BC24" s="126"/>
      <c r="BD24" s="12"/>
      <c r="BE24" s="12"/>
      <c r="BF24" s="48"/>
      <c r="BG24" s="127"/>
      <c r="BH24" s="127"/>
      <c r="BI24" s="128"/>
      <c r="BJ24" s="127"/>
      <c r="BK24" s="127"/>
      <c r="BL24" s="127"/>
      <c r="BM24" s="278"/>
      <c r="BN24" s="124"/>
      <c r="BO24" s="125"/>
      <c r="BP24" s="126"/>
      <c r="BQ24" s="12"/>
      <c r="BR24" s="12"/>
      <c r="BS24" s="48"/>
      <c r="BT24" s="127"/>
      <c r="BU24" s="127"/>
      <c r="BV24" s="128"/>
      <c r="BW24" s="127"/>
      <c r="BX24" s="127"/>
      <c r="BY24" s="127"/>
      <c r="BZ24" s="278"/>
      <c r="CA24" s="124"/>
      <c r="CB24" s="125"/>
      <c r="CC24" s="126"/>
      <c r="CD24" s="12"/>
      <c r="CE24" s="12"/>
      <c r="CF24" s="48"/>
      <c r="CG24" s="127"/>
      <c r="CH24" s="127"/>
      <c r="CI24" s="128"/>
      <c r="CJ24" s="127"/>
      <c r="CK24" s="127"/>
      <c r="CL24" s="127"/>
      <c r="CM24" s="278"/>
      <c r="CN24" s="124"/>
      <c r="CO24" s="125"/>
      <c r="CP24" s="126"/>
      <c r="CQ24" s="12"/>
      <c r="CR24" s="12"/>
      <c r="CS24" s="48"/>
      <c r="CT24" s="127"/>
      <c r="CU24" s="127"/>
      <c r="CV24" s="128"/>
      <c r="CW24" s="127"/>
      <c r="CX24" s="127"/>
      <c r="CY24" s="127"/>
      <c r="CZ24" s="278"/>
      <c r="DA24" s="124"/>
      <c r="DB24" s="125"/>
      <c r="DC24" s="126"/>
      <c r="DD24" s="12"/>
      <c r="DE24" s="12"/>
      <c r="DF24" s="48"/>
      <c r="DG24" s="127"/>
      <c r="DH24" s="127"/>
      <c r="DI24" s="128"/>
      <c r="DJ24" s="127"/>
      <c r="DK24" s="127"/>
      <c r="DL24" s="127"/>
      <c r="DM24" s="278"/>
      <c r="DN24" s="124"/>
      <c r="DO24" s="125"/>
      <c r="DP24" s="126"/>
      <c r="DQ24" s="12"/>
      <c r="DR24" s="12"/>
      <c r="DS24" s="48"/>
      <c r="DT24" s="127"/>
      <c r="DU24" s="127"/>
      <c r="DV24" s="128"/>
      <c r="DW24" s="127"/>
      <c r="DX24" s="127"/>
      <c r="DY24" s="127"/>
      <c r="DZ24" s="278"/>
      <c r="EA24" s="124"/>
      <c r="EB24" s="125"/>
      <c r="EC24" s="126"/>
      <c r="ED24" s="12"/>
      <c r="EE24" s="12"/>
      <c r="EF24" s="48"/>
      <c r="EG24" s="127"/>
      <c r="EH24" s="127"/>
      <c r="EI24" s="128"/>
      <c r="EJ24" s="127"/>
      <c r="EK24" s="127"/>
      <c r="EL24" s="127"/>
      <c r="EM24" s="278"/>
      <c r="EN24" s="124"/>
      <c r="EO24" s="125"/>
      <c r="EP24" s="126"/>
      <c r="EQ24" s="12"/>
      <c r="ER24" s="12"/>
      <c r="ES24" s="48"/>
      <c r="ET24" s="127"/>
      <c r="EU24" s="127"/>
      <c r="EV24" s="128"/>
      <c r="EW24" s="127"/>
      <c r="EX24" s="127"/>
      <c r="EY24" s="127"/>
      <c r="EZ24" s="278"/>
      <c r="FA24" s="124"/>
      <c r="FB24" s="125"/>
      <c r="FC24" s="126"/>
      <c r="FD24" s="12"/>
      <c r="FE24" s="12"/>
      <c r="FF24" s="48"/>
      <c r="FG24" s="127"/>
      <c r="FH24" s="127"/>
      <c r="FI24" s="128"/>
      <c r="FJ24" s="127"/>
      <c r="FK24" s="127"/>
      <c r="FL24" s="127"/>
      <c r="FM24" s="278"/>
      <c r="FN24" s="124"/>
      <c r="FO24" s="125"/>
      <c r="FP24" s="126"/>
      <c r="FQ24" s="12"/>
      <c r="FR24" s="12"/>
      <c r="FS24" s="48"/>
      <c r="FT24" s="127"/>
      <c r="FU24" s="127"/>
      <c r="FV24" s="128"/>
      <c r="FW24" s="127"/>
      <c r="FX24" s="127"/>
      <c r="FY24" s="127"/>
      <c r="FZ24" s="278"/>
      <c r="GA24" s="124"/>
      <c r="GB24" s="125"/>
      <c r="GC24" s="126"/>
      <c r="GD24" s="12"/>
      <c r="GE24" s="12"/>
      <c r="GF24" s="48"/>
      <c r="GG24" s="127"/>
      <c r="GH24" s="127"/>
      <c r="GI24" s="128"/>
      <c r="GJ24" s="127"/>
      <c r="GK24" s="127"/>
      <c r="GL24" s="127"/>
      <c r="GM24" s="278"/>
      <c r="GN24" s="124"/>
      <c r="GO24" s="125"/>
      <c r="GP24" s="126"/>
      <c r="GQ24" s="12"/>
      <c r="GR24" s="12"/>
      <c r="GS24" s="48"/>
      <c r="GT24" s="127"/>
      <c r="GU24" s="127"/>
      <c r="GV24" s="128"/>
      <c r="GW24" s="127"/>
      <c r="GX24" s="127"/>
      <c r="GY24" s="127"/>
      <c r="GZ24" s="278"/>
      <c r="HA24" s="124"/>
      <c r="HB24" s="125"/>
      <c r="HC24" s="126"/>
      <c r="HD24" s="12"/>
      <c r="HE24" s="12"/>
      <c r="HF24" s="48"/>
      <c r="HG24" s="127"/>
      <c r="HH24" s="127"/>
      <c r="HI24" s="128"/>
      <c r="HJ24" s="127"/>
      <c r="HK24" s="127"/>
      <c r="HL24" s="127"/>
      <c r="HM24" s="278"/>
      <c r="HN24" s="124"/>
      <c r="HO24" s="125"/>
      <c r="HP24" s="126"/>
      <c r="HQ24" s="12"/>
      <c r="HR24" s="12"/>
      <c r="HS24" s="48"/>
      <c r="HT24" s="127"/>
      <c r="HU24" s="127"/>
      <c r="HV24" s="128"/>
      <c r="HW24" s="127"/>
      <c r="HX24" s="127"/>
      <c r="HY24" s="127"/>
      <c r="HZ24" s="278"/>
      <c r="IA24" s="124"/>
      <c r="IB24" s="125"/>
      <c r="IC24" s="126"/>
      <c r="ID24" s="12"/>
      <c r="IE24" s="12"/>
      <c r="IF24" s="48"/>
      <c r="IG24" s="127"/>
      <c r="IH24" s="127"/>
      <c r="II24" s="128"/>
      <c r="IJ24" s="127"/>
      <c r="IK24" s="127"/>
      <c r="IL24" s="127"/>
      <c r="IM24" s="278"/>
      <c r="IN24" s="124"/>
      <c r="IO24" s="125"/>
      <c r="IP24" s="126"/>
      <c r="IQ24" s="12"/>
      <c r="IR24" s="12"/>
      <c r="IS24" s="48"/>
      <c r="IT24" s="127"/>
      <c r="IU24" s="127"/>
      <c r="IV24" s="128"/>
    </row>
    <row r="25" spans="1:13" s="102" customFormat="1" ht="18" customHeight="1">
      <c r="A25" s="90"/>
      <c r="B25" s="9"/>
      <c r="C25" s="79" t="s">
        <v>70</v>
      </c>
      <c r="D25" s="32" t="s">
        <v>6</v>
      </c>
      <c r="E25" s="6">
        <v>0.0257</v>
      </c>
      <c r="F25" s="143">
        <f>F23*E25</f>
        <v>1.2850000000000001</v>
      </c>
      <c r="G25" s="143"/>
      <c r="H25" s="143"/>
      <c r="I25" s="195"/>
      <c r="J25" s="195"/>
      <c r="K25" s="195"/>
      <c r="L25" s="195">
        <f>F25*K25</f>
        <v>0</v>
      </c>
      <c r="M25" s="143">
        <f>L25+J25+H25</f>
        <v>0</v>
      </c>
    </row>
    <row r="26" spans="1:13" s="102" customFormat="1" ht="30">
      <c r="A26" s="90"/>
      <c r="B26" s="730"/>
      <c r="C26" s="315" t="s">
        <v>201</v>
      </c>
      <c r="D26" s="32" t="str">
        <f>D23</f>
        <v>grZ.m</v>
      </c>
      <c r="E26" s="32">
        <v>0.929</v>
      </c>
      <c r="F26" s="143">
        <f>E26*F23</f>
        <v>46.45</v>
      </c>
      <c r="G26" s="143"/>
      <c r="H26" s="143">
        <f>F26*G26</f>
        <v>0</v>
      </c>
      <c r="I26" s="195"/>
      <c r="J26" s="195"/>
      <c r="K26" s="195"/>
      <c r="L26" s="195"/>
      <c r="M26" s="143">
        <f>L26+J26+H26</f>
        <v>0</v>
      </c>
    </row>
    <row r="27" spans="1:13" s="102" customFormat="1" ht="18" customHeight="1">
      <c r="A27" s="90"/>
      <c r="B27" s="9"/>
      <c r="C27" s="79" t="s">
        <v>69</v>
      </c>
      <c r="D27" s="32" t="s">
        <v>6</v>
      </c>
      <c r="E27" s="6">
        <v>0.0457</v>
      </c>
      <c r="F27" s="143">
        <f>E27*F23</f>
        <v>2.2849999999999997</v>
      </c>
      <c r="G27" s="143"/>
      <c r="H27" s="143">
        <f>G27*F27</f>
        <v>0</v>
      </c>
      <c r="I27" s="195"/>
      <c r="J27" s="195"/>
      <c r="K27" s="195"/>
      <c r="L27" s="195"/>
      <c r="M27" s="143">
        <f>L27+J27+H27</f>
        <v>0</v>
      </c>
    </row>
    <row r="28" spans="1:14" s="193" customFormat="1" ht="24" customHeight="1">
      <c r="A28" s="136">
        <f>A23+1</f>
        <v>4</v>
      </c>
      <c r="B28" s="140" t="s">
        <v>146</v>
      </c>
      <c r="C28" s="628" t="s">
        <v>176</v>
      </c>
      <c r="D28" s="312" t="s">
        <v>12</v>
      </c>
      <c r="E28" s="203"/>
      <c r="F28" s="204">
        <f>SUM(F31:F33)</f>
        <v>23</v>
      </c>
      <c r="G28" s="143"/>
      <c r="H28" s="143"/>
      <c r="I28" s="195"/>
      <c r="J28" s="195"/>
      <c r="K28" s="195"/>
      <c r="L28" s="195"/>
      <c r="M28" s="143"/>
      <c r="N28" s="537"/>
    </row>
    <row r="29" spans="1:14" s="144" customFormat="1" ht="17.25" customHeight="1">
      <c r="A29" s="136"/>
      <c r="B29" s="140"/>
      <c r="C29" s="198" t="s">
        <v>13</v>
      </c>
      <c r="D29" s="38" t="s">
        <v>139</v>
      </c>
      <c r="E29" s="302">
        <v>1.51</v>
      </c>
      <c r="F29" s="283">
        <f>F28*E29</f>
        <v>34.73</v>
      </c>
      <c r="G29" s="143"/>
      <c r="H29" s="143"/>
      <c r="I29" s="195"/>
      <c r="J29" s="195">
        <f>I29*F29</f>
        <v>0</v>
      </c>
      <c r="K29" s="195"/>
      <c r="L29" s="195"/>
      <c r="M29" s="143">
        <f aca="true" t="shared" si="0" ref="M29:M35">L29+J29+H29</f>
        <v>0</v>
      </c>
      <c r="N29" s="539"/>
    </row>
    <row r="30" spans="1:14" s="144" customFormat="1" ht="17.25" customHeight="1">
      <c r="A30" s="136"/>
      <c r="B30" s="140"/>
      <c r="C30" s="198" t="s">
        <v>70</v>
      </c>
      <c r="D30" s="139" t="s">
        <v>6</v>
      </c>
      <c r="E30" s="196">
        <v>0.13</v>
      </c>
      <c r="F30" s="143">
        <f>E30*F28</f>
        <v>2.99</v>
      </c>
      <c r="G30" s="143"/>
      <c r="H30" s="143"/>
      <c r="I30" s="195"/>
      <c r="J30" s="195"/>
      <c r="K30" s="195"/>
      <c r="L30" s="195">
        <f>K30*F30</f>
        <v>0</v>
      </c>
      <c r="M30" s="143">
        <f t="shared" si="0"/>
        <v>0</v>
      </c>
      <c r="N30" s="539"/>
    </row>
    <row r="31" spans="1:13" s="629" customFormat="1" ht="17.25" customHeight="1">
      <c r="A31" s="625"/>
      <c r="B31" s="768"/>
      <c r="C31" s="211" t="s">
        <v>177</v>
      </c>
      <c r="D31" s="214" t="s">
        <v>12</v>
      </c>
      <c r="E31" s="215">
        <v>1</v>
      </c>
      <c r="F31" s="488">
        <f>F102+F122</f>
        <v>11</v>
      </c>
      <c r="G31" s="143"/>
      <c r="H31" s="143">
        <f>F31*G31</f>
        <v>0</v>
      </c>
      <c r="I31" s="195"/>
      <c r="J31" s="195"/>
      <c r="K31" s="195"/>
      <c r="L31" s="195"/>
      <c r="M31" s="143">
        <f>L31+J31+H31</f>
        <v>0</v>
      </c>
    </row>
    <row r="32" spans="1:13" s="629" customFormat="1" ht="17.25" customHeight="1">
      <c r="A32" s="625"/>
      <c r="B32" s="768"/>
      <c r="C32" s="211" t="s">
        <v>178</v>
      </c>
      <c r="D32" s="214" t="s">
        <v>12</v>
      </c>
      <c r="E32" s="215">
        <v>1</v>
      </c>
      <c r="F32" s="488">
        <v>10</v>
      </c>
      <c r="G32" s="143"/>
      <c r="H32" s="143">
        <f>F32*G32</f>
        <v>0</v>
      </c>
      <c r="I32" s="195"/>
      <c r="J32" s="195"/>
      <c r="K32" s="195"/>
      <c r="L32" s="195"/>
      <c r="M32" s="143">
        <f>L32+J32+H32</f>
        <v>0</v>
      </c>
    </row>
    <row r="33" spans="1:13" s="629" customFormat="1" ht="17.25" customHeight="1">
      <c r="A33" s="625"/>
      <c r="B33" s="768"/>
      <c r="C33" s="211" t="s">
        <v>362</v>
      </c>
      <c r="D33" s="214" t="s">
        <v>12</v>
      </c>
      <c r="E33" s="215">
        <v>1</v>
      </c>
      <c r="F33" s="488">
        <v>2</v>
      </c>
      <c r="G33" s="143"/>
      <c r="H33" s="143">
        <f>F33*G33</f>
        <v>0</v>
      </c>
      <c r="I33" s="195"/>
      <c r="J33" s="195"/>
      <c r="K33" s="195"/>
      <c r="L33" s="195"/>
      <c r="M33" s="143">
        <f>L33+J33+H33</f>
        <v>0</v>
      </c>
    </row>
    <row r="34" spans="1:13" s="144" customFormat="1" ht="18" customHeight="1">
      <c r="A34" s="365"/>
      <c r="B34" s="140"/>
      <c r="C34" s="211" t="s">
        <v>292</v>
      </c>
      <c r="D34" s="139" t="s">
        <v>12</v>
      </c>
      <c r="E34" s="212">
        <v>1</v>
      </c>
      <c r="F34" s="143">
        <v>55</v>
      </c>
      <c r="G34" s="143"/>
      <c r="H34" s="143">
        <f>G34*F34</f>
        <v>0</v>
      </c>
      <c r="I34" s="195"/>
      <c r="J34" s="195"/>
      <c r="K34" s="195"/>
      <c r="L34" s="195"/>
      <c r="M34" s="143">
        <f t="shared" si="0"/>
        <v>0</v>
      </c>
    </row>
    <row r="35" spans="1:14" s="144" customFormat="1" ht="17.25" customHeight="1">
      <c r="A35" s="136"/>
      <c r="B35" s="140"/>
      <c r="C35" s="198" t="s">
        <v>69</v>
      </c>
      <c r="D35" s="139" t="s">
        <v>6</v>
      </c>
      <c r="E35" s="196">
        <v>0.07</v>
      </c>
      <c r="F35" s="143">
        <f>E35*F28</f>
        <v>1.61</v>
      </c>
      <c r="G35" s="143"/>
      <c r="H35" s="143">
        <f>G35*F35</f>
        <v>0</v>
      </c>
      <c r="I35" s="195"/>
      <c r="J35" s="195"/>
      <c r="K35" s="195"/>
      <c r="L35" s="195"/>
      <c r="M35" s="143">
        <f t="shared" si="0"/>
        <v>0</v>
      </c>
      <c r="N35" s="539"/>
    </row>
    <row r="36" spans="1:13" s="734" customFormat="1" ht="36" customHeight="1">
      <c r="A36" s="32">
        <f>A28+1</f>
        <v>5</v>
      </c>
      <c r="B36" s="33" t="s">
        <v>46</v>
      </c>
      <c r="C36" s="135" t="s">
        <v>437</v>
      </c>
      <c r="D36" s="16" t="s">
        <v>7</v>
      </c>
      <c r="E36" s="41"/>
      <c r="F36" s="8">
        <f>SUM(F38:F38)</f>
        <v>86</v>
      </c>
      <c r="G36" s="195"/>
      <c r="H36" s="143"/>
      <c r="I36" s="195"/>
      <c r="J36" s="143"/>
      <c r="K36" s="195"/>
      <c r="L36" s="143"/>
      <c r="M36" s="143"/>
    </row>
    <row r="37" spans="1:13" s="738" customFormat="1" ht="18" customHeight="1">
      <c r="A37" s="32"/>
      <c r="B37" s="33"/>
      <c r="C37" s="10" t="s">
        <v>13</v>
      </c>
      <c r="D37" s="6" t="str">
        <f>D36</f>
        <v>grZ.m.</v>
      </c>
      <c r="E37" s="30">
        <v>1</v>
      </c>
      <c r="F37" s="1">
        <f>E37*F36</f>
        <v>86</v>
      </c>
      <c r="G37" s="195"/>
      <c r="H37" s="143"/>
      <c r="I37" s="195"/>
      <c r="J37" s="143">
        <f>I37*F37</f>
        <v>0</v>
      </c>
      <c r="K37" s="195"/>
      <c r="L37" s="143"/>
      <c r="M37" s="143">
        <f>L37+J37+H37</f>
        <v>0</v>
      </c>
    </row>
    <row r="38" spans="1:15" s="738" customFormat="1" ht="18" customHeight="1">
      <c r="A38" s="32"/>
      <c r="B38" s="33"/>
      <c r="C38" s="135" t="s">
        <v>269</v>
      </c>
      <c r="D38" s="32" t="s">
        <v>7</v>
      </c>
      <c r="E38" s="71">
        <v>1</v>
      </c>
      <c r="F38" s="26">
        <f>F23+F12</f>
        <v>86</v>
      </c>
      <c r="G38" s="195"/>
      <c r="H38" s="143">
        <f>G38*F38</f>
        <v>0</v>
      </c>
      <c r="I38" s="195"/>
      <c r="J38" s="143"/>
      <c r="K38" s="195"/>
      <c r="L38" s="143"/>
      <c r="M38" s="143">
        <f>L38+J38+H38</f>
        <v>0</v>
      </c>
      <c r="O38" s="60"/>
    </row>
    <row r="39" spans="1:13" s="27" customFormat="1" ht="18" customHeight="1">
      <c r="A39" s="3"/>
      <c r="B39" s="32"/>
      <c r="C39" s="34" t="s">
        <v>565</v>
      </c>
      <c r="D39" s="32"/>
      <c r="E39" s="11"/>
      <c r="F39" s="2"/>
      <c r="G39" s="143"/>
      <c r="H39" s="143"/>
      <c r="I39" s="195"/>
      <c r="J39" s="195"/>
      <c r="K39" s="195"/>
      <c r="L39" s="195"/>
      <c r="M39" s="143"/>
    </row>
    <row r="40" spans="1:13" s="193" customFormat="1" ht="21" customHeight="1">
      <c r="A40" s="136">
        <f>A36+1</f>
        <v>6</v>
      </c>
      <c r="B40" s="140"/>
      <c r="C40" s="335" t="s">
        <v>552</v>
      </c>
      <c r="D40" s="312" t="s">
        <v>12</v>
      </c>
      <c r="E40" s="203"/>
      <c r="F40" s="204">
        <f>SUM(F41:F51)</f>
        <v>188</v>
      </c>
      <c r="G40" s="143"/>
      <c r="H40" s="143"/>
      <c r="I40" s="195"/>
      <c r="J40" s="195"/>
      <c r="K40" s="195"/>
      <c r="L40" s="195"/>
      <c r="M40" s="143"/>
    </row>
    <row r="41" spans="1:13" s="144" customFormat="1" ht="18" customHeight="1">
      <c r="A41" s="365"/>
      <c r="B41" s="140"/>
      <c r="C41" s="211" t="s">
        <v>553</v>
      </c>
      <c r="D41" s="139" t="s">
        <v>12</v>
      </c>
      <c r="E41" s="212">
        <v>1</v>
      </c>
      <c r="F41" s="143">
        <v>24</v>
      </c>
      <c r="G41" s="143"/>
      <c r="H41" s="143">
        <f aca="true" t="shared" si="1" ref="H41:H51">G41*F41</f>
        <v>0</v>
      </c>
      <c r="I41" s="195"/>
      <c r="J41" s="195"/>
      <c r="K41" s="195"/>
      <c r="L41" s="195"/>
      <c r="M41" s="143">
        <f aca="true" t="shared" si="2" ref="M41:M51">L41+J41+H41</f>
        <v>0</v>
      </c>
    </row>
    <row r="42" spans="1:13" s="144" customFormat="1" ht="18" customHeight="1">
      <c r="A42" s="365"/>
      <c r="B42" s="140"/>
      <c r="C42" s="211" t="s">
        <v>554</v>
      </c>
      <c r="D42" s="139" t="s">
        <v>12</v>
      </c>
      <c r="E42" s="212">
        <v>1</v>
      </c>
      <c r="F42" s="143">
        <v>6</v>
      </c>
      <c r="G42" s="143"/>
      <c r="H42" s="143">
        <f t="shared" si="1"/>
        <v>0</v>
      </c>
      <c r="I42" s="195"/>
      <c r="J42" s="195"/>
      <c r="K42" s="195"/>
      <c r="L42" s="195"/>
      <c r="M42" s="143">
        <f t="shared" si="2"/>
        <v>0</v>
      </c>
    </row>
    <row r="43" spans="1:13" s="144" customFormat="1" ht="18" customHeight="1">
      <c r="A43" s="365"/>
      <c r="B43" s="140"/>
      <c r="C43" s="211" t="s">
        <v>555</v>
      </c>
      <c r="D43" s="139" t="s">
        <v>12</v>
      </c>
      <c r="E43" s="212">
        <v>1</v>
      </c>
      <c r="F43" s="143">
        <v>54</v>
      </c>
      <c r="G43" s="143"/>
      <c r="H43" s="143">
        <f t="shared" si="1"/>
        <v>0</v>
      </c>
      <c r="I43" s="195"/>
      <c r="J43" s="195"/>
      <c r="K43" s="195"/>
      <c r="L43" s="195"/>
      <c r="M43" s="143">
        <f t="shared" si="2"/>
        <v>0</v>
      </c>
    </row>
    <row r="44" spans="1:13" s="144" customFormat="1" ht="18" customHeight="1">
      <c r="A44" s="365"/>
      <c r="B44" s="140"/>
      <c r="C44" s="211" t="s">
        <v>556</v>
      </c>
      <c r="D44" s="139" t="s">
        <v>12</v>
      </c>
      <c r="E44" s="212">
        <v>1</v>
      </c>
      <c r="F44" s="143">
        <v>20</v>
      </c>
      <c r="G44" s="143"/>
      <c r="H44" s="143">
        <f t="shared" si="1"/>
        <v>0</v>
      </c>
      <c r="I44" s="195"/>
      <c r="J44" s="195"/>
      <c r="K44" s="195"/>
      <c r="L44" s="195"/>
      <c r="M44" s="143">
        <f t="shared" si="2"/>
        <v>0</v>
      </c>
    </row>
    <row r="45" spans="1:13" s="144" customFormat="1" ht="18" customHeight="1">
      <c r="A45" s="431"/>
      <c r="B45" s="140"/>
      <c r="C45" s="211" t="s">
        <v>557</v>
      </c>
      <c r="D45" s="139" t="s">
        <v>12</v>
      </c>
      <c r="E45" s="212">
        <v>1</v>
      </c>
      <c r="F45" s="143">
        <v>16</v>
      </c>
      <c r="G45" s="143"/>
      <c r="H45" s="143">
        <f t="shared" si="1"/>
        <v>0</v>
      </c>
      <c r="I45" s="195"/>
      <c r="J45" s="195"/>
      <c r="K45" s="195"/>
      <c r="L45" s="195"/>
      <c r="M45" s="143">
        <f t="shared" si="2"/>
        <v>0</v>
      </c>
    </row>
    <row r="46" spans="1:13" s="144" customFormat="1" ht="18" customHeight="1">
      <c r="A46" s="431"/>
      <c r="B46" s="140"/>
      <c r="C46" s="211" t="s">
        <v>558</v>
      </c>
      <c r="D46" s="139" t="s">
        <v>12</v>
      </c>
      <c r="E46" s="212">
        <v>1</v>
      </c>
      <c r="F46" s="143">
        <v>4</v>
      </c>
      <c r="G46" s="143"/>
      <c r="H46" s="143">
        <f t="shared" si="1"/>
        <v>0</v>
      </c>
      <c r="I46" s="195"/>
      <c r="J46" s="195"/>
      <c r="K46" s="195"/>
      <c r="L46" s="195"/>
      <c r="M46" s="143">
        <f t="shared" si="2"/>
        <v>0</v>
      </c>
    </row>
    <row r="47" spans="1:13" s="144" customFormat="1" ht="18" customHeight="1">
      <c r="A47" s="431"/>
      <c r="B47" s="205"/>
      <c r="C47" s="211" t="s">
        <v>559</v>
      </c>
      <c r="D47" s="139" t="s">
        <v>12</v>
      </c>
      <c r="E47" s="212">
        <v>1</v>
      </c>
      <c r="F47" s="143">
        <v>2</v>
      </c>
      <c r="G47" s="143"/>
      <c r="H47" s="143">
        <f>G47*F47</f>
        <v>0</v>
      </c>
      <c r="I47" s="195"/>
      <c r="J47" s="195"/>
      <c r="K47" s="195"/>
      <c r="L47" s="195"/>
      <c r="M47" s="143">
        <f>L47+J47+H47</f>
        <v>0</v>
      </c>
    </row>
    <row r="48" spans="1:13" s="144" customFormat="1" ht="18" customHeight="1">
      <c r="A48" s="431"/>
      <c r="B48" s="205"/>
      <c r="C48" s="211" t="s">
        <v>560</v>
      </c>
      <c r="D48" s="139" t="s">
        <v>12</v>
      </c>
      <c r="E48" s="212">
        <v>1</v>
      </c>
      <c r="F48" s="143">
        <v>24</v>
      </c>
      <c r="G48" s="143"/>
      <c r="H48" s="143">
        <f t="shared" si="1"/>
        <v>0</v>
      </c>
      <c r="I48" s="195"/>
      <c r="J48" s="195"/>
      <c r="K48" s="195"/>
      <c r="L48" s="195"/>
      <c r="M48" s="143">
        <f t="shared" si="2"/>
        <v>0</v>
      </c>
    </row>
    <row r="49" spans="1:13" s="144" customFormat="1" ht="18" customHeight="1">
      <c r="A49" s="431"/>
      <c r="B49" s="205"/>
      <c r="C49" s="211" t="s">
        <v>561</v>
      </c>
      <c r="D49" s="139" t="s">
        <v>12</v>
      </c>
      <c r="E49" s="212">
        <v>1</v>
      </c>
      <c r="F49" s="143">
        <v>12</v>
      </c>
      <c r="G49" s="143"/>
      <c r="H49" s="143">
        <f t="shared" si="1"/>
        <v>0</v>
      </c>
      <c r="I49" s="195"/>
      <c r="J49" s="195"/>
      <c r="K49" s="195"/>
      <c r="L49" s="195"/>
      <c r="M49" s="143">
        <f t="shared" si="2"/>
        <v>0</v>
      </c>
    </row>
    <row r="50" spans="1:13" s="144" customFormat="1" ht="18" customHeight="1">
      <c r="A50" s="431"/>
      <c r="B50" s="205"/>
      <c r="C50" s="211" t="s">
        <v>562</v>
      </c>
      <c r="D50" s="139" t="s">
        <v>12</v>
      </c>
      <c r="E50" s="212">
        <v>1</v>
      </c>
      <c r="F50" s="143">
        <v>18</v>
      </c>
      <c r="G50" s="143"/>
      <c r="H50" s="143">
        <f t="shared" si="1"/>
        <v>0</v>
      </c>
      <c r="I50" s="195"/>
      <c r="J50" s="195"/>
      <c r="K50" s="195"/>
      <c r="L50" s="195"/>
      <c r="M50" s="143">
        <f t="shared" si="2"/>
        <v>0</v>
      </c>
    </row>
    <row r="51" spans="1:13" s="144" customFormat="1" ht="18" customHeight="1">
      <c r="A51" s="431"/>
      <c r="B51" s="205"/>
      <c r="C51" s="211" t="s">
        <v>563</v>
      </c>
      <c r="D51" s="139" t="s">
        <v>12</v>
      </c>
      <c r="E51" s="212">
        <v>1</v>
      </c>
      <c r="F51" s="143">
        <v>8</v>
      </c>
      <c r="G51" s="143"/>
      <c r="H51" s="143">
        <f t="shared" si="1"/>
        <v>0</v>
      </c>
      <c r="I51" s="195"/>
      <c r="J51" s="195"/>
      <c r="K51" s="195"/>
      <c r="L51" s="195"/>
      <c r="M51" s="143">
        <f t="shared" si="2"/>
        <v>0</v>
      </c>
    </row>
    <row r="52" spans="1:13" s="144" customFormat="1" ht="18" customHeight="1">
      <c r="A52" s="431"/>
      <c r="B52" s="205"/>
      <c r="C52" s="211" t="s">
        <v>564</v>
      </c>
      <c r="D52" s="139" t="s">
        <v>12</v>
      </c>
      <c r="E52" s="212">
        <v>1</v>
      </c>
      <c r="F52" s="143">
        <v>80</v>
      </c>
      <c r="G52" s="143"/>
      <c r="H52" s="143">
        <f>G52*F52</f>
        <v>0</v>
      </c>
      <c r="I52" s="195"/>
      <c r="J52" s="195"/>
      <c r="K52" s="195"/>
      <c r="L52" s="195"/>
      <c r="M52" s="143">
        <f>L52+J52+H52</f>
        <v>0</v>
      </c>
    </row>
    <row r="53" spans="1:13" s="144" customFormat="1" ht="15.75">
      <c r="A53" s="138"/>
      <c r="B53" s="205"/>
      <c r="C53" s="198" t="s">
        <v>69</v>
      </c>
      <c r="D53" s="139" t="s">
        <v>6</v>
      </c>
      <c r="E53" s="196">
        <v>0</v>
      </c>
      <c r="F53" s="143">
        <f>E53*F40</f>
        <v>0</v>
      </c>
      <c r="G53" s="143"/>
      <c r="H53" s="143">
        <f>G53*F53</f>
        <v>0</v>
      </c>
      <c r="I53" s="195"/>
      <c r="J53" s="195"/>
      <c r="K53" s="195"/>
      <c r="L53" s="195"/>
      <c r="M53" s="143">
        <f>L53+J53+H53</f>
        <v>0</v>
      </c>
    </row>
    <row r="54" spans="1:13" s="193" customFormat="1" ht="21" customHeight="1">
      <c r="A54" s="136">
        <f>A40+1</f>
        <v>7</v>
      </c>
      <c r="B54" s="205" t="s">
        <v>474</v>
      </c>
      <c r="C54" s="401" t="s">
        <v>363</v>
      </c>
      <c r="D54" s="312" t="s">
        <v>12</v>
      </c>
      <c r="E54" s="203"/>
      <c r="F54" s="204">
        <v>3</v>
      </c>
      <c r="G54" s="143"/>
      <c r="H54" s="143"/>
      <c r="I54" s="195"/>
      <c r="J54" s="195"/>
      <c r="K54" s="195"/>
      <c r="L54" s="195"/>
      <c r="M54" s="143"/>
    </row>
    <row r="55" spans="1:14" s="144" customFormat="1" ht="18" customHeight="1">
      <c r="A55" s="138"/>
      <c r="B55" s="205"/>
      <c r="C55" s="198" t="s">
        <v>13</v>
      </c>
      <c r="D55" s="38" t="s">
        <v>139</v>
      </c>
      <c r="E55" s="196">
        <v>4.98</v>
      </c>
      <c r="F55" s="143">
        <f>E55*F54</f>
        <v>14.940000000000001</v>
      </c>
      <c r="G55" s="143"/>
      <c r="H55" s="143"/>
      <c r="I55" s="195"/>
      <c r="J55" s="195">
        <f>I55*F55</f>
        <v>0</v>
      </c>
      <c r="K55" s="195"/>
      <c r="L55" s="195"/>
      <c r="M55" s="143">
        <f>L55+J55+H55</f>
        <v>0</v>
      </c>
      <c r="N55" s="539"/>
    </row>
    <row r="56" spans="1:14" s="144" customFormat="1" ht="18" customHeight="1">
      <c r="A56" s="138"/>
      <c r="B56" s="205"/>
      <c r="C56" s="198" t="s">
        <v>70</v>
      </c>
      <c r="D56" s="139" t="s">
        <v>6</v>
      </c>
      <c r="E56" s="196">
        <v>0.08</v>
      </c>
      <c r="F56" s="143">
        <f>E56*F54</f>
        <v>0.24</v>
      </c>
      <c r="G56" s="143"/>
      <c r="H56" s="143"/>
      <c r="I56" s="195"/>
      <c r="J56" s="195"/>
      <c r="K56" s="195"/>
      <c r="L56" s="195">
        <f>K56*F56</f>
        <v>0</v>
      </c>
      <c r="M56" s="143">
        <f>L56+J56+H56</f>
        <v>0</v>
      </c>
      <c r="N56" s="539"/>
    </row>
    <row r="57" spans="1:14" s="144" customFormat="1" ht="18" customHeight="1">
      <c r="A57" s="138"/>
      <c r="B57" s="205"/>
      <c r="C57" s="198" t="s">
        <v>364</v>
      </c>
      <c r="D57" s="139" t="s">
        <v>7</v>
      </c>
      <c r="E57" s="196">
        <v>0.4</v>
      </c>
      <c r="F57" s="143">
        <f>E57*F54</f>
        <v>1.2000000000000002</v>
      </c>
      <c r="G57" s="143"/>
      <c r="H57" s="143">
        <f>G57*F57</f>
        <v>0</v>
      </c>
      <c r="I57" s="195"/>
      <c r="J57" s="195"/>
      <c r="K57" s="195"/>
      <c r="L57" s="195"/>
      <c r="M57" s="143">
        <f>L57+J57+H57</f>
        <v>0</v>
      </c>
      <c r="N57" s="539"/>
    </row>
    <row r="58" spans="1:14" s="144" customFormat="1" ht="18" customHeight="1">
      <c r="A58" s="138"/>
      <c r="B58" s="205"/>
      <c r="C58" s="198" t="s">
        <v>69</v>
      </c>
      <c r="D58" s="139" t="s">
        <v>6</v>
      </c>
      <c r="E58" s="196">
        <v>0.23</v>
      </c>
      <c r="F58" s="143">
        <f>E58*F54</f>
        <v>0.6900000000000001</v>
      </c>
      <c r="G58" s="143"/>
      <c r="H58" s="143">
        <f>G58*F58</f>
        <v>0</v>
      </c>
      <c r="I58" s="195"/>
      <c r="J58" s="195"/>
      <c r="K58" s="195"/>
      <c r="L58" s="195"/>
      <c r="M58" s="143">
        <f>L58+J58+H58</f>
        <v>0</v>
      </c>
      <c r="N58" s="539"/>
    </row>
    <row r="59" spans="1:15" s="510" customFormat="1" ht="18" customHeight="1">
      <c r="A59" s="497" t="s">
        <v>74</v>
      </c>
      <c r="B59" s="498"/>
      <c r="C59" s="509" t="s">
        <v>179</v>
      </c>
      <c r="D59" s="499"/>
      <c r="E59" s="138"/>
      <c r="F59" s="227"/>
      <c r="G59" s="143"/>
      <c r="H59" s="143"/>
      <c r="I59" s="195"/>
      <c r="J59" s="195"/>
      <c r="K59" s="195"/>
      <c r="L59" s="195"/>
      <c r="M59" s="143"/>
      <c r="O59" s="511"/>
    </row>
    <row r="60" spans="1:13" s="193" customFormat="1" ht="33" customHeight="1">
      <c r="A60" s="138">
        <f>A54+1</f>
        <v>8</v>
      </c>
      <c r="B60" s="205" t="s">
        <v>78</v>
      </c>
      <c r="C60" s="335" t="s">
        <v>76</v>
      </c>
      <c r="D60" s="203" t="s">
        <v>7</v>
      </c>
      <c r="E60" s="203"/>
      <c r="F60" s="204">
        <v>32</v>
      </c>
      <c r="G60" s="143"/>
      <c r="H60" s="143"/>
      <c r="I60" s="195"/>
      <c r="J60" s="195"/>
      <c r="K60" s="195"/>
      <c r="L60" s="195"/>
      <c r="M60" s="143"/>
    </row>
    <row r="61" spans="1:13" s="144" customFormat="1" ht="17.25" customHeight="1">
      <c r="A61" s="138"/>
      <c r="B61" s="205"/>
      <c r="C61" s="198" t="s">
        <v>13</v>
      </c>
      <c r="D61" s="38" t="s">
        <v>139</v>
      </c>
      <c r="E61" s="216">
        <f>60.9/100</f>
        <v>0.609</v>
      </c>
      <c r="F61" s="143">
        <f>E61*F60</f>
        <v>19.488</v>
      </c>
      <c r="G61" s="143"/>
      <c r="H61" s="143"/>
      <c r="I61" s="195"/>
      <c r="J61" s="195">
        <f>I61*F61</f>
        <v>0</v>
      </c>
      <c r="K61" s="195"/>
      <c r="L61" s="195"/>
      <c r="M61" s="143">
        <f>L61+J61+H61</f>
        <v>0</v>
      </c>
    </row>
    <row r="62" spans="1:13" s="144" customFormat="1" ht="17.25" customHeight="1">
      <c r="A62" s="138"/>
      <c r="B62" s="205"/>
      <c r="C62" s="198" t="s">
        <v>70</v>
      </c>
      <c r="D62" s="139" t="s">
        <v>6</v>
      </c>
      <c r="E62" s="209">
        <f>0.21/100</f>
        <v>0.0021</v>
      </c>
      <c r="F62" s="143">
        <f>E62*F60</f>
        <v>0.0672</v>
      </c>
      <c r="G62" s="143"/>
      <c r="H62" s="143"/>
      <c r="I62" s="195"/>
      <c r="J62" s="195"/>
      <c r="K62" s="195"/>
      <c r="L62" s="195">
        <f>K62*F62</f>
        <v>0</v>
      </c>
      <c r="M62" s="143">
        <f>L62+J62+H62</f>
        <v>0</v>
      </c>
    </row>
    <row r="63" spans="1:13" s="144" customFormat="1" ht="17.25" customHeight="1">
      <c r="A63" s="136"/>
      <c r="B63" s="140"/>
      <c r="C63" s="338" t="s">
        <v>481</v>
      </c>
      <c r="D63" s="139" t="s">
        <v>7</v>
      </c>
      <c r="E63" s="139">
        <v>0.998</v>
      </c>
      <c r="F63" s="143">
        <f>E63*F60</f>
        <v>31.936</v>
      </c>
      <c r="G63" s="143"/>
      <c r="H63" s="143">
        <f>G63*F63</f>
        <v>0</v>
      </c>
      <c r="I63" s="195"/>
      <c r="J63" s="195"/>
      <c r="K63" s="195"/>
      <c r="L63" s="195"/>
      <c r="M63" s="143">
        <f>L63+J63+H63</f>
        <v>0</v>
      </c>
    </row>
    <row r="64" spans="1:13" s="144" customFormat="1" ht="17.25" customHeight="1">
      <c r="A64" s="138"/>
      <c r="B64" s="205"/>
      <c r="C64" s="198" t="s">
        <v>69</v>
      </c>
      <c r="D64" s="139" t="s">
        <v>6</v>
      </c>
      <c r="E64" s="216">
        <f>15.6/100</f>
        <v>0.156</v>
      </c>
      <c r="F64" s="143">
        <f>E64*F60</f>
        <v>4.992</v>
      </c>
      <c r="G64" s="143"/>
      <c r="H64" s="143">
        <f>G64*F64</f>
        <v>0</v>
      </c>
      <c r="I64" s="195"/>
      <c r="J64" s="195"/>
      <c r="K64" s="195"/>
      <c r="L64" s="195"/>
      <c r="M64" s="143">
        <f>L64+J64+H64</f>
        <v>0</v>
      </c>
    </row>
    <row r="65" spans="1:13" s="193" customFormat="1" ht="33" customHeight="1">
      <c r="A65" s="138">
        <f>A60+1</f>
        <v>9</v>
      </c>
      <c r="B65" s="205" t="s">
        <v>75</v>
      </c>
      <c r="C65" s="335" t="s">
        <v>77</v>
      </c>
      <c r="D65" s="203" t="s">
        <v>7</v>
      </c>
      <c r="E65" s="203"/>
      <c r="F65" s="204">
        <v>50</v>
      </c>
      <c r="G65" s="143"/>
      <c r="H65" s="143"/>
      <c r="I65" s="195"/>
      <c r="J65" s="195"/>
      <c r="K65" s="195"/>
      <c r="L65" s="195"/>
      <c r="M65" s="143"/>
    </row>
    <row r="66" spans="1:13" s="144" customFormat="1" ht="17.25" customHeight="1">
      <c r="A66" s="138"/>
      <c r="B66" s="205"/>
      <c r="C66" s="198" t="s">
        <v>13</v>
      </c>
      <c r="D66" s="38" t="s">
        <v>139</v>
      </c>
      <c r="E66" s="216">
        <f>58.3/100</f>
        <v>0.583</v>
      </c>
      <c r="F66" s="143">
        <f>E66*F65</f>
        <v>29.15</v>
      </c>
      <c r="G66" s="143"/>
      <c r="H66" s="143"/>
      <c r="I66" s="195"/>
      <c r="J66" s="195">
        <f>I66*F66</f>
        <v>0</v>
      </c>
      <c r="K66" s="195"/>
      <c r="L66" s="195"/>
      <c r="M66" s="143">
        <f>L66+J66+H66</f>
        <v>0</v>
      </c>
    </row>
    <row r="67" spans="1:13" s="144" customFormat="1" ht="17.25" customHeight="1">
      <c r="A67" s="138"/>
      <c r="B67" s="205"/>
      <c r="C67" s="198" t="s">
        <v>70</v>
      </c>
      <c r="D67" s="139" t="s">
        <v>6</v>
      </c>
      <c r="E67" s="209">
        <v>0.0046</v>
      </c>
      <c r="F67" s="143">
        <f>E67*F65</f>
        <v>0.22999999999999998</v>
      </c>
      <c r="G67" s="143"/>
      <c r="H67" s="143"/>
      <c r="I67" s="195"/>
      <c r="J67" s="195"/>
      <c r="K67" s="195"/>
      <c r="L67" s="195">
        <f>K67*F67</f>
        <v>0</v>
      </c>
      <c r="M67" s="143">
        <f>L67+J67+H67</f>
        <v>0</v>
      </c>
    </row>
    <row r="68" spans="1:13" s="144" customFormat="1" ht="17.25" customHeight="1">
      <c r="A68" s="138"/>
      <c r="B68" s="140"/>
      <c r="C68" s="338" t="s">
        <v>482</v>
      </c>
      <c r="D68" s="139" t="s">
        <v>7</v>
      </c>
      <c r="E68" s="139">
        <v>0.998</v>
      </c>
      <c r="F68" s="143">
        <f>E68*F65</f>
        <v>49.9</v>
      </c>
      <c r="G68" s="143"/>
      <c r="H68" s="143">
        <f>G68*F68</f>
        <v>0</v>
      </c>
      <c r="I68" s="195"/>
      <c r="J68" s="195"/>
      <c r="K68" s="195"/>
      <c r="L68" s="195"/>
      <c r="M68" s="143">
        <f>L68+J68+H68</f>
        <v>0</v>
      </c>
    </row>
    <row r="69" spans="1:13" s="144" customFormat="1" ht="17.25" customHeight="1">
      <c r="A69" s="138"/>
      <c r="B69" s="205"/>
      <c r="C69" s="198" t="s">
        <v>69</v>
      </c>
      <c r="D69" s="139" t="s">
        <v>6</v>
      </c>
      <c r="E69" s="216">
        <f>20.8/100</f>
        <v>0.20800000000000002</v>
      </c>
      <c r="F69" s="143">
        <f>E69*F65</f>
        <v>10.4</v>
      </c>
      <c r="G69" s="143"/>
      <c r="H69" s="143">
        <f>G69*F69</f>
        <v>0</v>
      </c>
      <c r="I69" s="195"/>
      <c r="J69" s="195"/>
      <c r="K69" s="195"/>
      <c r="L69" s="195"/>
      <c r="M69" s="143">
        <f>L69+J69+H69</f>
        <v>0</v>
      </c>
    </row>
    <row r="70" spans="1:13" s="193" customFormat="1" ht="21" customHeight="1">
      <c r="A70" s="138">
        <f>A65+1</f>
        <v>10</v>
      </c>
      <c r="B70" s="205" t="s">
        <v>624</v>
      </c>
      <c r="C70" s="335" t="s">
        <v>566</v>
      </c>
      <c r="D70" s="312" t="s">
        <v>12</v>
      </c>
      <c r="E70" s="203"/>
      <c r="F70" s="204">
        <f>SUM(F73:F77)</f>
        <v>70</v>
      </c>
      <c r="G70" s="143"/>
      <c r="H70" s="143"/>
      <c r="I70" s="195"/>
      <c r="J70" s="195"/>
      <c r="K70" s="195"/>
      <c r="L70" s="195"/>
      <c r="M70" s="143"/>
    </row>
    <row r="71" spans="1:13" s="144" customFormat="1" ht="15.75">
      <c r="A71" s="138"/>
      <c r="B71" s="205"/>
      <c r="C71" s="198" t="s">
        <v>13</v>
      </c>
      <c r="D71" s="139" t="s">
        <v>6</v>
      </c>
      <c r="E71" s="216">
        <v>0.584</v>
      </c>
      <c r="F71" s="143">
        <f>E71*F70</f>
        <v>40.879999999999995</v>
      </c>
      <c r="G71" s="143"/>
      <c r="H71" s="143"/>
      <c r="I71" s="195"/>
      <c r="J71" s="195">
        <f>I71*F71</f>
        <v>0</v>
      </c>
      <c r="K71" s="195"/>
      <c r="L71" s="195"/>
      <c r="M71" s="143">
        <f aca="true" t="shared" si="3" ref="M71:M78">L71+J71+H71</f>
        <v>0</v>
      </c>
    </row>
    <row r="72" spans="1:13" s="144" customFormat="1" ht="15.75">
      <c r="A72" s="138"/>
      <c r="B72" s="205"/>
      <c r="C72" s="198" t="s">
        <v>70</v>
      </c>
      <c r="D72" s="139" t="s">
        <v>6</v>
      </c>
      <c r="E72" s="216">
        <v>0.227</v>
      </c>
      <c r="F72" s="143">
        <f>E72*F70</f>
        <v>15.89</v>
      </c>
      <c r="G72" s="143"/>
      <c r="H72" s="143"/>
      <c r="I72" s="195"/>
      <c r="J72" s="195"/>
      <c r="K72" s="195"/>
      <c r="L72" s="195">
        <f>K72*F72</f>
        <v>0</v>
      </c>
      <c r="M72" s="143">
        <f t="shared" si="3"/>
        <v>0</v>
      </c>
    </row>
    <row r="73" spans="1:13" s="144" customFormat="1" ht="17.25" customHeight="1">
      <c r="A73" s="138"/>
      <c r="B73" s="140"/>
      <c r="C73" s="336" t="s">
        <v>567</v>
      </c>
      <c r="D73" s="139" t="s">
        <v>12</v>
      </c>
      <c r="E73" s="212">
        <v>1</v>
      </c>
      <c r="F73" s="143">
        <v>14</v>
      </c>
      <c r="G73" s="143"/>
      <c r="H73" s="143">
        <f aca="true" t="shared" si="4" ref="H73:H78">G73*F73</f>
        <v>0</v>
      </c>
      <c r="I73" s="195"/>
      <c r="J73" s="195"/>
      <c r="K73" s="195"/>
      <c r="L73" s="195"/>
      <c r="M73" s="143">
        <f t="shared" si="3"/>
        <v>0</v>
      </c>
    </row>
    <row r="74" spans="1:13" s="144" customFormat="1" ht="17.25" customHeight="1">
      <c r="A74" s="138"/>
      <c r="B74" s="205"/>
      <c r="C74" s="336" t="s">
        <v>568</v>
      </c>
      <c r="D74" s="139" t="s">
        <v>12</v>
      </c>
      <c r="E74" s="212">
        <v>1</v>
      </c>
      <c r="F74" s="143">
        <v>8</v>
      </c>
      <c r="G74" s="143"/>
      <c r="H74" s="143">
        <f t="shared" si="4"/>
        <v>0</v>
      </c>
      <c r="I74" s="195"/>
      <c r="J74" s="195"/>
      <c r="K74" s="195"/>
      <c r="L74" s="195"/>
      <c r="M74" s="143">
        <f t="shared" si="3"/>
        <v>0</v>
      </c>
    </row>
    <row r="75" spans="1:13" s="144" customFormat="1" ht="17.25" customHeight="1">
      <c r="A75" s="138"/>
      <c r="B75" s="205"/>
      <c r="C75" s="336" t="s">
        <v>569</v>
      </c>
      <c r="D75" s="139" t="s">
        <v>12</v>
      </c>
      <c r="E75" s="212">
        <v>1</v>
      </c>
      <c r="F75" s="143">
        <v>6</v>
      </c>
      <c r="G75" s="143"/>
      <c r="H75" s="143">
        <f t="shared" si="4"/>
        <v>0</v>
      </c>
      <c r="I75" s="195"/>
      <c r="J75" s="195"/>
      <c r="K75" s="195"/>
      <c r="L75" s="195"/>
      <c r="M75" s="143">
        <f>L75+J75+H75</f>
        <v>0</v>
      </c>
    </row>
    <row r="76" spans="1:13" s="144" customFormat="1" ht="18" customHeight="1">
      <c r="A76" s="138"/>
      <c r="B76" s="140"/>
      <c r="C76" s="336" t="s">
        <v>570</v>
      </c>
      <c r="D76" s="139" t="s">
        <v>12</v>
      </c>
      <c r="E76" s="212">
        <v>1</v>
      </c>
      <c r="F76" s="143">
        <v>14</v>
      </c>
      <c r="G76" s="143"/>
      <c r="H76" s="143">
        <f t="shared" si="4"/>
        <v>0</v>
      </c>
      <c r="I76" s="195"/>
      <c r="J76" s="195"/>
      <c r="K76" s="195"/>
      <c r="L76" s="195"/>
      <c r="M76" s="143">
        <f>L76+J76+H76</f>
        <v>0</v>
      </c>
    </row>
    <row r="77" spans="1:13" s="144" customFormat="1" ht="18" customHeight="1">
      <c r="A77" s="138"/>
      <c r="B77" s="140"/>
      <c r="C77" s="336" t="s">
        <v>571</v>
      </c>
      <c r="D77" s="139" t="s">
        <v>12</v>
      </c>
      <c r="E77" s="212">
        <v>1</v>
      </c>
      <c r="F77" s="143">
        <v>28</v>
      </c>
      <c r="G77" s="143"/>
      <c r="H77" s="143">
        <f t="shared" si="4"/>
        <v>0</v>
      </c>
      <c r="I77" s="195"/>
      <c r="J77" s="195"/>
      <c r="K77" s="195"/>
      <c r="L77" s="195"/>
      <c r="M77" s="143">
        <f>L77+J77+H77</f>
        <v>0</v>
      </c>
    </row>
    <row r="78" spans="1:13" s="144" customFormat="1" ht="17.25" customHeight="1">
      <c r="A78" s="138"/>
      <c r="B78" s="205"/>
      <c r="C78" s="198" t="s">
        <v>69</v>
      </c>
      <c r="D78" s="139" t="s">
        <v>6</v>
      </c>
      <c r="E78" s="216">
        <v>0.024</v>
      </c>
      <c r="F78" s="143">
        <f>E78*F70</f>
        <v>1.68</v>
      </c>
      <c r="G78" s="143"/>
      <c r="H78" s="143">
        <f t="shared" si="4"/>
        <v>0</v>
      </c>
      <c r="I78" s="195"/>
      <c r="J78" s="195"/>
      <c r="K78" s="195"/>
      <c r="L78" s="195"/>
      <c r="M78" s="143">
        <f t="shared" si="3"/>
        <v>0</v>
      </c>
    </row>
    <row r="79" spans="1:13" s="193" customFormat="1" ht="21" customHeight="1">
      <c r="A79" s="138">
        <f>A70+1</f>
        <v>11</v>
      </c>
      <c r="B79" s="205" t="s">
        <v>624</v>
      </c>
      <c r="C79" s="335" t="s">
        <v>365</v>
      </c>
      <c r="D79" s="312" t="s">
        <v>12</v>
      </c>
      <c r="E79" s="203"/>
      <c r="F79" s="204">
        <f>SUM(F82:F93)</f>
        <v>57</v>
      </c>
      <c r="G79" s="143"/>
      <c r="H79" s="143"/>
      <c r="I79" s="195"/>
      <c r="J79" s="195"/>
      <c r="K79" s="195"/>
      <c r="L79" s="195"/>
      <c r="M79" s="143"/>
    </row>
    <row r="80" spans="1:13" s="144" customFormat="1" ht="17.25" customHeight="1">
      <c r="A80" s="138"/>
      <c r="B80" s="205"/>
      <c r="C80" s="198" t="s">
        <v>13</v>
      </c>
      <c r="D80" s="139" t="s">
        <v>6</v>
      </c>
      <c r="E80" s="216">
        <v>0.584</v>
      </c>
      <c r="F80" s="143">
        <f>E80*F79</f>
        <v>33.288</v>
      </c>
      <c r="G80" s="143"/>
      <c r="H80" s="143"/>
      <c r="I80" s="195"/>
      <c r="J80" s="195">
        <f>I80*F80</f>
        <v>0</v>
      </c>
      <c r="K80" s="195"/>
      <c r="L80" s="195"/>
      <c r="M80" s="143">
        <f aca="true" t="shared" si="5" ref="M80:M95">L80+J80+H80</f>
        <v>0</v>
      </c>
    </row>
    <row r="81" spans="1:13" s="144" customFormat="1" ht="15.75">
      <c r="A81" s="138"/>
      <c r="B81" s="205"/>
      <c r="C81" s="198" t="s">
        <v>70</v>
      </c>
      <c r="D81" s="139" t="s">
        <v>6</v>
      </c>
      <c r="E81" s="216">
        <v>0.227</v>
      </c>
      <c r="F81" s="143">
        <f>E81*F79</f>
        <v>12.939</v>
      </c>
      <c r="G81" s="143"/>
      <c r="H81" s="143"/>
      <c r="I81" s="195"/>
      <c r="J81" s="195"/>
      <c r="K81" s="195"/>
      <c r="L81" s="195">
        <f>K81*F81</f>
        <v>0</v>
      </c>
      <c r="M81" s="143">
        <f t="shared" si="5"/>
        <v>0</v>
      </c>
    </row>
    <row r="82" spans="1:13" s="144" customFormat="1" ht="18" customHeight="1">
      <c r="A82" s="138"/>
      <c r="B82" s="140"/>
      <c r="C82" s="336" t="s">
        <v>572</v>
      </c>
      <c r="D82" s="139" t="s">
        <v>12</v>
      </c>
      <c r="E82" s="212">
        <v>1</v>
      </c>
      <c r="F82" s="143">
        <v>10</v>
      </c>
      <c r="G82" s="143"/>
      <c r="H82" s="143">
        <f aca="true" t="shared" si="6" ref="H82:H95">G82*F82</f>
        <v>0</v>
      </c>
      <c r="I82" s="195"/>
      <c r="J82" s="195"/>
      <c r="K82" s="195"/>
      <c r="L82" s="195"/>
      <c r="M82" s="143">
        <f t="shared" si="5"/>
        <v>0</v>
      </c>
    </row>
    <row r="83" spans="1:13" s="144" customFormat="1" ht="18" customHeight="1">
      <c r="A83" s="138"/>
      <c r="B83" s="140"/>
      <c r="C83" s="336" t="s">
        <v>628</v>
      </c>
      <c r="D83" s="139" t="s">
        <v>12</v>
      </c>
      <c r="E83" s="212">
        <v>1</v>
      </c>
      <c r="F83" s="143">
        <v>8</v>
      </c>
      <c r="G83" s="143"/>
      <c r="H83" s="143">
        <f>G83*F83</f>
        <v>0</v>
      </c>
      <c r="I83" s="195"/>
      <c r="J83" s="195"/>
      <c r="K83" s="195"/>
      <c r="L83" s="195"/>
      <c r="M83" s="143">
        <f>L83+J83+H83</f>
        <v>0</v>
      </c>
    </row>
    <row r="84" spans="1:13" s="144" customFormat="1" ht="18" customHeight="1">
      <c r="A84" s="138"/>
      <c r="B84" s="140"/>
      <c r="C84" s="336" t="s">
        <v>573</v>
      </c>
      <c r="D84" s="139" t="s">
        <v>12</v>
      </c>
      <c r="E84" s="212">
        <v>1</v>
      </c>
      <c r="F84" s="143">
        <v>1</v>
      </c>
      <c r="G84" s="143"/>
      <c r="H84" s="143">
        <f>G84*F84</f>
        <v>0</v>
      </c>
      <c r="I84" s="195"/>
      <c r="J84" s="195"/>
      <c r="K84" s="195"/>
      <c r="L84" s="195"/>
      <c r="M84" s="143">
        <f>L84+J84+H84</f>
        <v>0</v>
      </c>
    </row>
    <row r="85" spans="1:13" s="144" customFormat="1" ht="18" customHeight="1">
      <c r="A85" s="138"/>
      <c r="B85" s="140"/>
      <c r="C85" s="336" t="s">
        <v>574</v>
      </c>
      <c r="D85" s="139" t="s">
        <v>12</v>
      </c>
      <c r="E85" s="212">
        <v>1</v>
      </c>
      <c r="F85" s="143">
        <v>6</v>
      </c>
      <c r="G85" s="143"/>
      <c r="H85" s="143">
        <f>G85*F85</f>
        <v>0</v>
      </c>
      <c r="I85" s="195"/>
      <c r="J85" s="195"/>
      <c r="K85" s="195"/>
      <c r="L85" s="195"/>
      <c r="M85" s="143">
        <f>L85+J85+H85</f>
        <v>0</v>
      </c>
    </row>
    <row r="86" spans="1:13" s="144" customFormat="1" ht="18" customHeight="1">
      <c r="A86" s="138"/>
      <c r="B86" s="205"/>
      <c r="C86" s="336" t="s">
        <v>575</v>
      </c>
      <c r="D86" s="139" t="s">
        <v>12</v>
      </c>
      <c r="E86" s="212">
        <v>1</v>
      </c>
      <c r="F86" s="143">
        <v>4</v>
      </c>
      <c r="G86" s="143"/>
      <c r="H86" s="143">
        <f>G86*F86</f>
        <v>0</v>
      </c>
      <c r="I86" s="195"/>
      <c r="J86" s="195"/>
      <c r="K86" s="195"/>
      <c r="L86" s="195"/>
      <c r="M86" s="143">
        <f>L86+J86+H86</f>
        <v>0</v>
      </c>
    </row>
    <row r="87" spans="1:13" s="144" customFormat="1" ht="18" customHeight="1">
      <c r="A87" s="138"/>
      <c r="B87" s="205"/>
      <c r="C87" s="336" t="s">
        <v>576</v>
      </c>
      <c r="D87" s="139" t="s">
        <v>12</v>
      </c>
      <c r="E87" s="212">
        <v>1</v>
      </c>
      <c r="F87" s="143">
        <v>3</v>
      </c>
      <c r="G87" s="143"/>
      <c r="H87" s="143">
        <f>G87*F87</f>
        <v>0</v>
      </c>
      <c r="I87" s="195"/>
      <c r="J87" s="195"/>
      <c r="K87" s="195"/>
      <c r="L87" s="195"/>
      <c r="M87" s="143">
        <f>L87+J87+H87</f>
        <v>0</v>
      </c>
    </row>
    <row r="88" spans="1:13" s="144" customFormat="1" ht="18" customHeight="1">
      <c r="A88" s="138"/>
      <c r="B88" s="205"/>
      <c r="C88" s="336" t="s">
        <v>577</v>
      </c>
      <c r="D88" s="139" t="s">
        <v>12</v>
      </c>
      <c r="E88" s="212">
        <v>1</v>
      </c>
      <c r="F88" s="143">
        <v>2</v>
      </c>
      <c r="G88" s="143"/>
      <c r="H88" s="143">
        <f t="shared" si="6"/>
        <v>0</v>
      </c>
      <c r="I88" s="195"/>
      <c r="J88" s="195"/>
      <c r="K88" s="195"/>
      <c r="L88" s="195"/>
      <c r="M88" s="143">
        <f t="shared" si="5"/>
        <v>0</v>
      </c>
    </row>
    <row r="89" spans="1:13" s="144" customFormat="1" ht="18" customHeight="1">
      <c r="A89" s="138"/>
      <c r="B89" s="205"/>
      <c r="C89" s="336" t="s">
        <v>578</v>
      </c>
      <c r="D89" s="139" t="s">
        <v>12</v>
      </c>
      <c r="E89" s="212">
        <v>1</v>
      </c>
      <c r="F89" s="143">
        <v>2</v>
      </c>
      <c r="G89" s="143"/>
      <c r="H89" s="143">
        <f t="shared" si="6"/>
        <v>0</v>
      </c>
      <c r="I89" s="195"/>
      <c r="J89" s="195"/>
      <c r="K89" s="195"/>
      <c r="L89" s="195"/>
      <c r="M89" s="143">
        <f t="shared" si="5"/>
        <v>0</v>
      </c>
    </row>
    <row r="90" spans="1:13" s="144" customFormat="1" ht="18" customHeight="1">
      <c r="A90" s="138"/>
      <c r="B90" s="140"/>
      <c r="C90" s="336" t="s">
        <v>366</v>
      </c>
      <c r="D90" s="139" t="s">
        <v>12</v>
      </c>
      <c r="E90" s="212">
        <v>1</v>
      </c>
      <c r="F90" s="143">
        <v>4</v>
      </c>
      <c r="G90" s="143"/>
      <c r="H90" s="143">
        <f t="shared" si="6"/>
        <v>0</v>
      </c>
      <c r="I90" s="195"/>
      <c r="J90" s="195"/>
      <c r="K90" s="195"/>
      <c r="L90" s="195"/>
      <c r="M90" s="143">
        <f t="shared" si="5"/>
        <v>0</v>
      </c>
    </row>
    <row r="91" spans="1:13" s="144" customFormat="1" ht="18" customHeight="1">
      <c r="A91" s="138"/>
      <c r="B91" s="140"/>
      <c r="C91" s="336" t="s">
        <v>579</v>
      </c>
      <c r="D91" s="139" t="s">
        <v>12</v>
      </c>
      <c r="E91" s="212">
        <v>1</v>
      </c>
      <c r="F91" s="143">
        <v>3</v>
      </c>
      <c r="G91" s="143"/>
      <c r="H91" s="143">
        <f t="shared" si="6"/>
        <v>0</v>
      </c>
      <c r="I91" s="195"/>
      <c r="J91" s="195"/>
      <c r="K91" s="195"/>
      <c r="L91" s="195"/>
      <c r="M91" s="143">
        <f t="shared" si="5"/>
        <v>0</v>
      </c>
    </row>
    <row r="92" spans="1:13" s="144" customFormat="1" ht="18" customHeight="1">
      <c r="A92" s="138"/>
      <c r="B92" s="140"/>
      <c r="C92" s="336" t="s">
        <v>580</v>
      </c>
      <c r="D92" s="139" t="s">
        <v>12</v>
      </c>
      <c r="E92" s="212">
        <v>1</v>
      </c>
      <c r="F92" s="143">
        <v>6</v>
      </c>
      <c r="G92" s="143"/>
      <c r="H92" s="143">
        <f t="shared" si="6"/>
        <v>0</v>
      </c>
      <c r="I92" s="195"/>
      <c r="J92" s="195"/>
      <c r="K92" s="195"/>
      <c r="L92" s="195"/>
      <c r="M92" s="143">
        <f t="shared" si="5"/>
        <v>0</v>
      </c>
    </row>
    <row r="93" spans="1:13" s="144" customFormat="1" ht="18" customHeight="1">
      <c r="A93" s="138"/>
      <c r="B93" s="140"/>
      <c r="C93" s="336" t="s">
        <v>581</v>
      </c>
      <c r="D93" s="139" t="s">
        <v>12</v>
      </c>
      <c r="E93" s="212">
        <v>1</v>
      </c>
      <c r="F93" s="143">
        <v>8</v>
      </c>
      <c r="G93" s="143"/>
      <c r="H93" s="143">
        <f t="shared" si="6"/>
        <v>0</v>
      </c>
      <c r="I93" s="195"/>
      <c r="J93" s="195"/>
      <c r="K93" s="195"/>
      <c r="L93" s="195"/>
      <c r="M93" s="143">
        <f t="shared" si="5"/>
        <v>0</v>
      </c>
    </row>
    <row r="94" spans="1:13" s="144" customFormat="1" ht="18" customHeight="1">
      <c r="A94" s="431"/>
      <c r="B94" s="205"/>
      <c r="C94" s="211" t="s">
        <v>564</v>
      </c>
      <c r="D94" s="139" t="s">
        <v>12</v>
      </c>
      <c r="E94" s="212">
        <v>1</v>
      </c>
      <c r="F94" s="143">
        <v>220</v>
      </c>
      <c r="G94" s="143"/>
      <c r="H94" s="143">
        <f t="shared" si="6"/>
        <v>0</v>
      </c>
      <c r="I94" s="195"/>
      <c r="J94" s="195"/>
      <c r="K94" s="195"/>
      <c r="L94" s="195"/>
      <c r="M94" s="143">
        <f t="shared" si="5"/>
        <v>0</v>
      </c>
    </row>
    <row r="95" spans="1:13" s="144" customFormat="1" ht="15.75">
      <c r="A95" s="138"/>
      <c r="B95" s="205"/>
      <c r="C95" s="198" t="s">
        <v>69</v>
      </c>
      <c r="D95" s="139" t="s">
        <v>6</v>
      </c>
      <c r="E95" s="216">
        <v>0.024</v>
      </c>
      <c r="F95" s="143">
        <f>E95*F79</f>
        <v>1.368</v>
      </c>
      <c r="G95" s="143"/>
      <c r="H95" s="143">
        <f t="shared" si="6"/>
        <v>0</v>
      </c>
      <c r="I95" s="195"/>
      <c r="J95" s="195"/>
      <c r="K95" s="195"/>
      <c r="L95" s="195"/>
      <c r="M95" s="143">
        <f t="shared" si="5"/>
        <v>0</v>
      </c>
    </row>
    <row r="96" spans="1:13" s="193" customFormat="1" ht="33" customHeight="1">
      <c r="A96" s="136">
        <f>A79+1</f>
        <v>12</v>
      </c>
      <c r="B96" s="205" t="s">
        <v>625</v>
      </c>
      <c r="C96" s="401" t="s">
        <v>293</v>
      </c>
      <c r="D96" s="312" t="s">
        <v>12</v>
      </c>
      <c r="E96" s="203"/>
      <c r="F96" s="204">
        <v>3</v>
      </c>
      <c r="G96" s="143"/>
      <c r="H96" s="143"/>
      <c r="I96" s="195"/>
      <c r="J96" s="195"/>
      <c r="K96" s="195"/>
      <c r="L96" s="195"/>
      <c r="M96" s="143"/>
    </row>
    <row r="97" spans="1:14" s="144" customFormat="1" ht="18" customHeight="1">
      <c r="A97" s="138"/>
      <c r="B97" s="205"/>
      <c r="C97" s="198" t="s">
        <v>13</v>
      </c>
      <c r="D97" s="38" t="s">
        <v>139</v>
      </c>
      <c r="E97" s="196">
        <v>9.46</v>
      </c>
      <c r="F97" s="143">
        <f>E97*F96</f>
        <v>28.380000000000003</v>
      </c>
      <c r="G97" s="143"/>
      <c r="H97" s="143"/>
      <c r="I97" s="195"/>
      <c r="J97" s="195">
        <f>I97*F97</f>
        <v>0</v>
      </c>
      <c r="K97" s="195"/>
      <c r="L97" s="195"/>
      <c r="M97" s="143">
        <f>L97+J97+H97</f>
        <v>0</v>
      </c>
      <c r="N97" s="539"/>
    </row>
    <row r="98" spans="1:14" s="144" customFormat="1" ht="18" customHeight="1">
      <c r="A98" s="138"/>
      <c r="B98" s="205"/>
      <c r="C98" s="198" t="s">
        <v>70</v>
      </c>
      <c r="D98" s="139" t="s">
        <v>6</v>
      </c>
      <c r="E98" s="196">
        <v>0.03</v>
      </c>
      <c r="F98" s="143">
        <f>E98*F96</f>
        <v>0.09</v>
      </c>
      <c r="G98" s="143"/>
      <c r="H98" s="143"/>
      <c r="I98" s="195"/>
      <c r="J98" s="195"/>
      <c r="K98" s="195"/>
      <c r="L98" s="195">
        <f>K98*F98</f>
        <v>0</v>
      </c>
      <c r="M98" s="143">
        <f>L98+J98+H98</f>
        <v>0</v>
      </c>
      <c r="N98" s="539"/>
    </row>
    <row r="99" spans="1:14" s="144" customFormat="1" ht="18" customHeight="1">
      <c r="A99" s="138"/>
      <c r="B99" s="205"/>
      <c r="C99" s="198" t="s">
        <v>166</v>
      </c>
      <c r="D99" s="139" t="s">
        <v>6</v>
      </c>
      <c r="E99" s="196">
        <v>1</v>
      </c>
      <c r="F99" s="143">
        <f>E99*F96</f>
        <v>3</v>
      </c>
      <c r="G99" s="143"/>
      <c r="H99" s="2">
        <f>G99*F99</f>
        <v>0</v>
      </c>
      <c r="I99" s="195"/>
      <c r="J99" s="195"/>
      <c r="K99" s="195"/>
      <c r="L99" s="195"/>
      <c r="M99" s="143">
        <f>L99+J99+H99</f>
        <v>0</v>
      </c>
      <c r="N99" s="539"/>
    </row>
    <row r="100" spans="1:14" s="144" customFormat="1" ht="18" customHeight="1">
      <c r="A100" s="138"/>
      <c r="B100" s="205"/>
      <c r="C100" s="198" t="s">
        <v>69</v>
      </c>
      <c r="D100" s="139" t="s">
        <v>6</v>
      </c>
      <c r="E100" s="196">
        <v>1.04</v>
      </c>
      <c r="F100" s="143">
        <f>E100*F96</f>
        <v>3.12</v>
      </c>
      <c r="G100" s="143"/>
      <c r="H100" s="143">
        <f>G100*F100</f>
        <v>0</v>
      </c>
      <c r="I100" s="195"/>
      <c r="J100" s="195"/>
      <c r="K100" s="195"/>
      <c r="L100" s="195"/>
      <c r="M100" s="143">
        <f>L100+J100+H100</f>
        <v>0</v>
      </c>
      <c r="N100" s="539"/>
    </row>
    <row r="101" spans="1:15" s="510" customFormat="1" ht="18" customHeight="1">
      <c r="A101" s="497" t="s">
        <v>181</v>
      </c>
      <c r="B101" s="498"/>
      <c r="C101" s="509" t="s">
        <v>59</v>
      </c>
      <c r="D101" s="499"/>
      <c r="E101" s="138"/>
      <c r="F101" s="227"/>
      <c r="G101" s="143"/>
      <c r="H101" s="143"/>
      <c r="I101" s="195"/>
      <c r="J101" s="195"/>
      <c r="K101" s="195"/>
      <c r="L101" s="195"/>
      <c r="M101" s="143"/>
      <c r="O101" s="511"/>
    </row>
    <row r="102" spans="1:14" s="193" customFormat="1" ht="21" customHeight="1">
      <c r="A102" s="138">
        <f>A96+1</f>
        <v>13</v>
      </c>
      <c r="B102" s="205" t="s">
        <v>165</v>
      </c>
      <c r="C102" s="335" t="s">
        <v>182</v>
      </c>
      <c r="D102" s="312" t="s">
        <v>12</v>
      </c>
      <c r="E102" s="203"/>
      <c r="F102" s="204">
        <v>4</v>
      </c>
      <c r="G102" s="143"/>
      <c r="H102" s="143"/>
      <c r="I102" s="195"/>
      <c r="J102" s="195"/>
      <c r="K102" s="195"/>
      <c r="L102" s="195"/>
      <c r="M102" s="143"/>
      <c r="N102" s="403"/>
    </row>
    <row r="103" spans="1:13" s="144" customFormat="1" ht="17.25" customHeight="1">
      <c r="A103" s="138"/>
      <c r="B103" s="205"/>
      <c r="C103" s="198" t="s">
        <v>13</v>
      </c>
      <c r="D103" s="38" t="s">
        <v>139</v>
      </c>
      <c r="E103" s="302">
        <v>2.19</v>
      </c>
      <c r="F103" s="143">
        <f>F102*E103</f>
        <v>8.76</v>
      </c>
      <c r="G103" s="143"/>
      <c r="H103" s="143"/>
      <c r="I103" s="195"/>
      <c r="J103" s="195">
        <f>I103*F103</f>
        <v>0</v>
      </c>
      <c r="K103" s="195"/>
      <c r="L103" s="195"/>
      <c r="M103" s="143">
        <f>L103+J103+H103</f>
        <v>0</v>
      </c>
    </row>
    <row r="104" spans="1:13" s="144" customFormat="1" ht="17.25" customHeight="1">
      <c r="A104" s="138"/>
      <c r="B104" s="205"/>
      <c r="C104" s="198" t="s">
        <v>70</v>
      </c>
      <c r="D104" s="139" t="s">
        <v>6</v>
      </c>
      <c r="E104" s="196">
        <v>0.07</v>
      </c>
      <c r="F104" s="143">
        <f>E104*F102</f>
        <v>0.28</v>
      </c>
      <c r="G104" s="143"/>
      <c r="H104" s="143"/>
      <c r="I104" s="195"/>
      <c r="J104" s="195"/>
      <c r="K104" s="195"/>
      <c r="L104" s="195">
        <f>K104*F104</f>
        <v>0</v>
      </c>
      <c r="M104" s="143">
        <f>L104+J104+H104</f>
        <v>0</v>
      </c>
    </row>
    <row r="105" spans="1:13" s="144" customFormat="1" ht="33" customHeight="1">
      <c r="A105" s="138"/>
      <c r="B105" s="205"/>
      <c r="C105" s="200" t="s">
        <v>294</v>
      </c>
      <c r="D105" s="139" t="s">
        <v>12</v>
      </c>
      <c r="E105" s="212">
        <v>1</v>
      </c>
      <c r="F105" s="143">
        <f>E105*F102</f>
        <v>4</v>
      </c>
      <c r="G105" s="143"/>
      <c r="H105" s="143">
        <f>G105*F105</f>
        <v>0</v>
      </c>
      <c r="I105" s="195"/>
      <c r="J105" s="195"/>
      <c r="K105" s="195"/>
      <c r="L105" s="195"/>
      <c r="M105" s="143">
        <f>L105+J105+H105</f>
        <v>0</v>
      </c>
    </row>
    <row r="106" spans="1:13" s="144" customFormat="1" ht="17.25" customHeight="1">
      <c r="A106" s="138"/>
      <c r="B106" s="205"/>
      <c r="C106" s="198" t="s">
        <v>69</v>
      </c>
      <c r="D106" s="139" t="s">
        <v>6</v>
      </c>
      <c r="E106" s="196">
        <v>0.37</v>
      </c>
      <c r="F106" s="143">
        <f>E106*F102</f>
        <v>1.48</v>
      </c>
      <c r="G106" s="143"/>
      <c r="H106" s="143">
        <f>G106*F106</f>
        <v>0</v>
      </c>
      <c r="I106" s="195"/>
      <c r="J106" s="195"/>
      <c r="K106" s="195"/>
      <c r="L106" s="195"/>
      <c r="M106" s="143">
        <f>L106+J106+H106</f>
        <v>0</v>
      </c>
    </row>
    <row r="107" spans="1:14" s="193" customFormat="1" ht="36" customHeight="1">
      <c r="A107" s="138">
        <f>A102+1</f>
        <v>14</v>
      </c>
      <c r="B107" s="205" t="s">
        <v>165</v>
      </c>
      <c r="C107" s="335" t="s">
        <v>468</v>
      </c>
      <c r="D107" s="312" t="s">
        <v>12</v>
      </c>
      <c r="E107" s="203"/>
      <c r="F107" s="204">
        <v>6</v>
      </c>
      <c r="G107" s="143"/>
      <c r="H107" s="143"/>
      <c r="I107" s="195"/>
      <c r="J107" s="195"/>
      <c r="K107" s="195"/>
      <c r="L107" s="195"/>
      <c r="M107" s="143"/>
      <c r="N107" s="403"/>
    </row>
    <row r="108" spans="1:13" s="144" customFormat="1" ht="17.25" customHeight="1">
      <c r="A108" s="138"/>
      <c r="B108" s="205"/>
      <c r="C108" s="198" t="s">
        <v>13</v>
      </c>
      <c r="D108" s="38" t="s">
        <v>139</v>
      </c>
      <c r="E108" s="302">
        <v>2.19</v>
      </c>
      <c r="F108" s="143">
        <f>F107*E108</f>
        <v>13.14</v>
      </c>
      <c r="G108" s="143"/>
      <c r="H108" s="143"/>
      <c r="I108" s="195"/>
      <c r="J108" s="195">
        <f>I108*F108</f>
        <v>0</v>
      </c>
      <c r="K108" s="195"/>
      <c r="L108" s="195"/>
      <c r="M108" s="143">
        <f>L108+J108+H108</f>
        <v>0</v>
      </c>
    </row>
    <row r="109" spans="1:13" s="144" customFormat="1" ht="17.25" customHeight="1">
      <c r="A109" s="138"/>
      <c r="B109" s="205"/>
      <c r="C109" s="198" t="s">
        <v>70</v>
      </c>
      <c r="D109" s="139" t="s">
        <v>6</v>
      </c>
      <c r="E109" s="196">
        <v>0.07</v>
      </c>
      <c r="F109" s="143">
        <f>E109*F107</f>
        <v>0.42000000000000004</v>
      </c>
      <c r="G109" s="143"/>
      <c r="H109" s="143"/>
      <c r="I109" s="195"/>
      <c r="J109" s="195"/>
      <c r="K109" s="195"/>
      <c r="L109" s="195">
        <f>K109*F109</f>
        <v>0</v>
      </c>
      <c r="M109" s="143">
        <f>L109+J109+H109</f>
        <v>0</v>
      </c>
    </row>
    <row r="110" spans="1:13" s="144" customFormat="1" ht="18" customHeight="1">
      <c r="A110" s="138"/>
      <c r="B110" s="205"/>
      <c r="C110" s="200" t="s">
        <v>469</v>
      </c>
      <c r="D110" s="139" t="s">
        <v>12</v>
      </c>
      <c r="E110" s="212">
        <v>1</v>
      </c>
      <c r="F110" s="143">
        <f>E110*F107</f>
        <v>6</v>
      </c>
      <c r="G110" s="143"/>
      <c r="H110" s="143">
        <f>G110*F110</f>
        <v>0</v>
      </c>
      <c r="I110" s="195"/>
      <c r="J110" s="195"/>
      <c r="K110" s="195"/>
      <c r="L110" s="195"/>
      <c r="M110" s="143">
        <f>L110+J110+H110</f>
        <v>0</v>
      </c>
    </row>
    <row r="111" spans="1:13" s="144" customFormat="1" ht="17.25" customHeight="1">
      <c r="A111" s="138"/>
      <c r="B111" s="205"/>
      <c r="C111" s="198" t="s">
        <v>69</v>
      </c>
      <c r="D111" s="139" t="s">
        <v>6</v>
      </c>
      <c r="E111" s="196">
        <v>0.37</v>
      </c>
      <c r="F111" s="143">
        <f>E111*F107</f>
        <v>2.2199999999999998</v>
      </c>
      <c r="G111" s="143"/>
      <c r="H111" s="143">
        <f>G111*F111</f>
        <v>0</v>
      </c>
      <c r="I111" s="195"/>
      <c r="J111" s="195"/>
      <c r="K111" s="195"/>
      <c r="L111" s="195"/>
      <c r="M111" s="143">
        <f>L111+J111+H111</f>
        <v>0</v>
      </c>
    </row>
    <row r="112" spans="1:13" s="193" customFormat="1" ht="21" customHeight="1">
      <c r="A112" s="138">
        <f>A107+1</f>
        <v>15</v>
      </c>
      <c r="B112" s="205" t="s">
        <v>73</v>
      </c>
      <c r="C112" s="335" t="s">
        <v>295</v>
      </c>
      <c r="D112" s="497" t="s">
        <v>196</v>
      </c>
      <c r="E112" s="203"/>
      <c r="F112" s="204">
        <f>F102</f>
        <v>4</v>
      </c>
      <c r="G112" s="143"/>
      <c r="H112" s="143"/>
      <c r="I112" s="195"/>
      <c r="J112" s="195"/>
      <c r="K112" s="195"/>
      <c r="L112" s="195"/>
      <c r="M112" s="143"/>
    </row>
    <row r="113" spans="1:13" s="144" customFormat="1" ht="17.25" customHeight="1">
      <c r="A113" s="138"/>
      <c r="B113" s="205"/>
      <c r="C113" s="198" t="s">
        <v>13</v>
      </c>
      <c r="D113" s="38" t="s">
        <v>139</v>
      </c>
      <c r="E113" s="302">
        <v>0.82</v>
      </c>
      <c r="F113" s="143">
        <f>F112*E113</f>
        <v>3.28</v>
      </c>
      <c r="G113" s="143"/>
      <c r="H113" s="143"/>
      <c r="I113" s="195"/>
      <c r="J113" s="195">
        <f>I113*F113</f>
        <v>0</v>
      </c>
      <c r="K113" s="195"/>
      <c r="L113" s="195"/>
      <c r="M113" s="143">
        <f>L113+J113+H113</f>
        <v>0</v>
      </c>
    </row>
    <row r="114" spans="1:13" s="144" customFormat="1" ht="17.25" customHeight="1">
      <c r="A114" s="138"/>
      <c r="B114" s="205"/>
      <c r="C114" s="198" t="s">
        <v>70</v>
      </c>
      <c r="D114" s="139" t="s">
        <v>6</v>
      </c>
      <c r="E114" s="196">
        <v>0.01</v>
      </c>
      <c r="F114" s="143">
        <f>E114*F112</f>
        <v>0.04</v>
      </c>
      <c r="G114" s="143"/>
      <c r="H114" s="143"/>
      <c r="I114" s="195"/>
      <c r="J114" s="195"/>
      <c r="K114" s="195"/>
      <c r="L114" s="195">
        <f>K114*F114</f>
        <v>0</v>
      </c>
      <c r="M114" s="143">
        <f>L114+J114+H114</f>
        <v>0</v>
      </c>
    </row>
    <row r="115" spans="1:13" s="144" customFormat="1" ht="17.25" customHeight="1">
      <c r="A115" s="138"/>
      <c r="B115" s="205"/>
      <c r="C115" s="200" t="s">
        <v>296</v>
      </c>
      <c r="D115" s="139" t="s">
        <v>58</v>
      </c>
      <c r="E115" s="212">
        <v>1</v>
      </c>
      <c r="F115" s="143">
        <f>E115*F112</f>
        <v>4</v>
      </c>
      <c r="G115" s="143"/>
      <c r="H115" s="143">
        <f>G115*F115</f>
        <v>0</v>
      </c>
      <c r="I115" s="195"/>
      <c r="J115" s="195"/>
      <c r="K115" s="195"/>
      <c r="L115" s="195"/>
      <c r="M115" s="143">
        <f>L115+J115+H115</f>
        <v>0</v>
      </c>
    </row>
    <row r="116" spans="1:13" s="144" customFormat="1" ht="17.25" customHeight="1">
      <c r="A116" s="138"/>
      <c r="B116" s="205"/>
      <c r="C116" s="198" t="s">
        <v>69</v>
      </c>
      <c r="D116" s="139" t="s">
        <v>6</v>
      </c>
      <c r="E116" s="196">
        <v>0.07</v>
      </c>
      <c r="F116" s="143">
        <f>E116*F112</f>
        <v>0.28</v>
      </c>
      <c r="G116" s="143"/>
      <c r="H116" s="143">
        <f>G116*F116</f>
        <v>0</v>
      </c>
      <c r="I116" s="195"/>
      <c r="J116" s="195"/>
      <c r="K116" s="195"/>
      <c r="L116" s="195"/>
      <c r="M116" s="143">
        <f>L116+J116+H116</f>
        <v>0</v>
      </c>
    </row>
    <row r="117" spans="1:13" s="193" customFormat="1" ht="33" customHeight="1">
      <c r="A117" s="138">
        <f>A112+1</f>
        <v>16</v>
      </c>
      <c r="B117" s="205" t="s">
        <v>73</v>
      </c>
      <c r="C117" s="335" t="s">
        <v>467</v>
      </c>
      <c r="D117" s="497" t="s">
        <v>196</v>
      </c>
      <c r="E117" s="203"/>
      <c r="F117" s="204">
        <f>F107</f>
        <v>6</v>
      </c>
      <c r="G117" s="143"/>
      <c r="H117" s="143"/>
      <c r="I117" s="195"/>
      <c r="J117" s="195"/>
      <c r="K117" s="195"/>
      <c r="L117" s="195"/>
      <c r="M117" s="143"/>
    </row>
    <row r="118" spans="1:13" s="144" customFormat="1" ht="17.25" customHeight="1">
      <c r="A118" s="138"/>
      <c r="B118" s="205"/>
      <c r="C118" s="198" t="s">
        <v>13</v>
      </c>
      <c r="D118" s="38" t="s">
        <v>139</v>
      </c>
      <c r="E118" s="302">
        <v>0.82</v>
      </c>
      <c r="F118" s="143">
        <f>F117*E118</f>
        <v>4.92</v>
      </c>
      <c r="G118" s="143"/>
      <c r="H118" s="143"/>
      <c r="I118" s="195"/>
      <c r="J118" s="195">
        <f>I118*F118</f>
        <v>0</v>
      </c>
      <c r="K118" s="195"/>
      <c r="L118" s="195"/>
      <c r="M118" s="143">
        <f>L118+J118+H118</f>
        <v>0</v>
      </c>
    </row>
    <row r="119" spans="1:13" s="144" customFormat="1" ht="17.25" customHeight="1">
      <c r="A119" s="138"/>
      <c r="B119" s="205"/>
      <c r="C119" s="198" t="s">
        <v>70</v>
      </c>
      <c r="D119" s="139" t="s">
        <v>6</v>
      </c>
      <c r="E119" s="196">
        <v>0.01</v>
      </c>
      <c r="F119" s="143">
        <f>E119*F117</f>
        <v>0.06</v>
      </c>
      <c r="G119" s="143"/>
      <c r="H119" s="143"/>
      <c r="I119" s="195"/>
      <c r="J119" s="195"/>
      <c r="K119" s="195"/>
      <c r="L119" s="195">
        <f>K119*F119</f>
        <v>0</v>
      </c>
      <c r="M119" s="143">
        <f>L119+J119+H119</f>
        <v>0</v>
      </c>
    </row>
    <row r="120" spans="1:13" s="144" customFormat="1" ht="17.25" customHeight="1">
      <c r="A120" s="138"/>
      <c r="B120" s="205"/>
      <c r="C120" s="200" t="s">
        <v>296</v>
      </c>
      <c r="D120" s="139" t="s">
        <v>58</v>
      </c>
      <c r="E120" s="212">
        <v>1</v>
      </c>
      <c r="F120" s="143">
        <f>E120*F117</f>
        <v>6</v>
      </c>
      <c r="G120" s="143"/>
      <c r="H120" s="143">
        <f>G120*F120</f>
        <v>0</v>
      </c>
      <c r="I120" s="195"/>
      <c r="J120" s="195"/>
      <c r="K120" s="195"/>
      <c r="L120" s="195"/>
      <c r="M120" s="143">
        <f>L120+J120+H120</f>
        <v>0</v>
      </c>
    </row>
    <row r="121" spans="1:13" s="144" customFormat="1" ht="17.25" customHeight="1">
      <c r="A121" s="138"/>
      <c r="B121" s="205"/>
      <c r="C121" s="198" t="s">
        <v>69</v>
      </c>
      <c r="D121" s="139" t="s">
        <v>6</v>
      </c>
      <c r="E121" s="196">
        <v>0.07</v>
      </c>
      <c r="F121" s="143">
        <f>E121*F117</f>
        <v>0.42000000000000004</v>
      </c>
      <c r="G121" s="143"/>
      <c r="H121" s="143">
        <f>G121*F121</f>
        <v>0</v>
      </c>
      <c r="I121" s="195"/>
      <c r="J121" s="195"/>
      <c r="K121" s="195"/>
      <c r="L121" s="195"/>
      <c r="M121" s="143">
        <f>L121+J121+H121</f>
        <v>0</v>
      </c>
    </row>
    <row r="122" spans="1:13" s="193" customFormat="1" ht="21" customHeight="1">
      <c r="A122" s="138">
        <f>A117+1</f>
        <v>17</v>
      </c>
      <c r="B122" s="205" t="s">
        <v>72</v>
      </c>
      <c r="C122" s="335" t="s">
        <v>183</v>
      </c>
      <c r="D122" s="497" t="s">
        <v>196</v>
      </c>
      <c r="E122" s="203"/>
      <c r="F122" s="204">
        <v>7</v>
      </c>
      <c r="G122" s="143"/>
      <c r="H122" s="143"/>
      <c r="I122" s="195"/>
      <c r="J122" s="195"/>
      <c r="K122" s="195"/>
      <c r="L122" s="195"/>
      <c r="M122" s="143"/>
    </row>
    <row r="123" spans="1:13" s="144" customFormat="1" ht="17.25" customHeight="1">
      <c r="A123" s="138"/>
      <c r="B123" s="205"/>
      <c r="C123" s="198" t="s">
        <v>13</v>
      </c>
      <c r="D123" s="38" t="s">
        <v>139</v>
      </c>
      <c r="E123" s="302">
        <v>2.44</v>
      </c>
      <c r="F123" s="143">
        <f>F122*E123</f>
        <v>17.08</v>
      </c>
      <c r="G123" s="143"/>
      <c r="H123" s="143"/>
      <c r="I123" s="195"/>
      <c r="J123" s="195">
        <f>I123*F123</f>
        <v>0</v>
      </c>
      <c r="K123" s="195"/>
      <c r="L123" s="195"/>
      <c r="M123" s="143">
        <f>L123+J123+H123</f>
        <v>0</v>
      </c>
    </row>
    <row r="124" spans="1:13" s="144" customFormat="1" ht="17.25" customHeight="1">
      <c r="A124" s="138"/>
      <c r="B124" s="205"/>
      <c r="C124" s="198" t="s">
        <v>70</v>
      </c>
      <c r="D124" s="139" t="s">
        <v>6</v>
      </c>
      <c r="E124" s="196">
        <v>0.13</v>
      </c>
      <c r="F124" s="143">
        <f>E124*F122</f>
        <v>0.91</v>
      </c>
      <c r="G124" s="143"/>
      <c r="H124" s="143"/>
      <c r="I124" s="195"/>
      <c r="J124" s="195"/>
      <c r="K124" s="195"/>
      <c r="L124" s="195">
        <f>K124*F124</f>
        <v>0</v>
      </c>
      <c r="M124" s="143">
        <f>L124+J124+H124</f>
        <v>0</v>
      </c>
    </row>
    <row r="125" spans="1:13" s="144" customFormat="1" ht="36" customHeight="1">
      <c r="A125" s="138"/>
      <c r="B125" s="205"/>
      <c r="C125" s="200" t="s">
        <v>301</v>
      </c>
      <c r="D125" s="139" t="s">
        <v>58</v>
      </c>
      <c r="E125" s="212">
        <v>1</v>
      </c>
      <c r="F125" s="143">
        <f>E125*F122</f>
        <v>7</v>
      </c>
      <c r="G125" s="143"/>
      <c r="H125" s="143">
        <f>G125*F125</f>
        <v>0</v>
      </c>
      <c r="I125" s="195"/>
      <c r="J125" s="195"/>
      <c r="K125" s="195"/>
      <c r="L125" s="195"/>
      <c r="M125" s="143">
        <f>L125+J125+H125</f>
        <v>0</v>
      </c>
    </row>
    <row r="126" spans="1:13" s="144" customFormat="1" ht="17.25" customHeight="1">
      <c r="A126" s="138"/>
      <c r="B126" s="205"/>
      <c r="C126" s="198" t="s">
        <v>69</v>
      </c>
      <c r="D126" s="139" t="s">
        <v>6</v>
      </c>
      <c r="E126" s="196">
        <v>0.94</v>
      </c>
      <c r="F126" s="143">
        <f>E126*F122</f>
        <v>6.58</v>
      </c>
      <c r="G126" s="143"/>
      <c r="H126" s="143">
        <f>G126*F126</f>
        <v>0</v>
      </c>
      <c r="I126" s="195"/>
      <c r="J126" s="195"/>
      <c r="K126" s="195"/>
      <c r="L126" s="195"/>
      <c r="M126" s="143">
        <f>L126+J126+H126</f>
        <v>0</v>
      </c>
    </row>
    <row r="127" spans="1:14" s="193" customFormat="1" ht="24" customHeight="1">
      <c r="A127" s="138">
        <f>A122+1</f>
        <v>18</v>
      </c>
      <c r="B127" s="205" t="s">
        <v>299</v>
      </c>
      <c r="C127" s="197" t="s">
        <v>300</v>
      </c>
      <c r="D127" s="312" t="s">
        <v>12</v>
      </c>
      <c r="E127" s="203"/>
      <c r="F127" s="204">
        <v>1</v>
      </c>
      <c r="G127" s="143"/>
      <c r="H127" s="143"/>
      <c r="I127" s="195"/>
      <c r="J127" s="195"/>
      <c r="K127" s="195"/>
      <c r="L127" s="195"/>
      <c r="M127" s="143"/>
      <c r="N127" s="403"/>
    </row>
    <row r="128" spans="1:13" s="144" customFormat="1" ht="17.25" customHeight="1">
      <c r="A128" s="138"/>
      <c r="B128" s="205"/>
      <c r="C128" s="198" t="s">
        <v>13</v>
      </c>
      <c r="D128" s="38" t="s">
        <v>139</v>
      </c>
      <c r="E128" s="302">
        <v>1.6</v>
      </c>
      <c r="F128" s="143">
        <f>F127*E128</f>
        <v>1.6</v>
      </c>
      <c r="G128" s="143"/>
      <c r="H128" s="143"/>
      <c r="I128" s="195"/>
      <c r="J128" s="195">
        <f>I128*F128</f>
        <v>0</v>
      </c>
      <c r="K128" s="195"/>
      <c r="L128" s="195"/>
      <c r="M128" s="143">
        <f>L128+J128+H128</f>
        <v>0</v>
      </c>
    </row>
    <row r="129" spans="1:13" s="144" customFormat="1" ht="17.25" customHeight="1">
      <c r="A129" s="138"/>
      <c r="B129" s="205"/>
      <c r="C129" s="198" t="s">
        <v>70</v>
      </c>
      <c r="D129" s="139" t="s">
        <v>6</v>
      </c>
      <c r="E129" s="196">
        <v>0.15</v>
      </c>
      <c r="F129" s="143">
        <f>E129*F127</f>
        <v>0.15</v>
      </c>
      <c r="G129" s="143"/>
      <c r="H129" s="143"/>
      <c r="I129" s="195"/>
      <c r="J129" s="195"/>
      <c r="K129" s="195"/>
      <c r="L129" s="195">
        <f>K129*F129</f>
        <v>0</v>
      </c>
      <c r="M129" s="143">
        <f>L129+J129+H129</f>
        <v>0</v>
      </c>
    </row>
    <row r="130" spans="1:13" s="144" customFormat="1" ht="18" customHeight="1">
      <c r="A130" s="138"/>
      <c r="B130" s="205"/>
      <c r="C130" s="200" t="s">
        <v>302</v>
      </c>
      <c r="D130" s="139" t="s">
        <v>12</v>
      </c>
      <c r="E130" s="212">
        <v>1</v>
      </c>
      <c r="F130" s="143">
        <f>E130*F127</f>
        <v>1</v>
      </c>
      <c r="G130" s="143"/>
      <c r="H130" s="143">
        <f>G130*F130</f>
        <v>0</v>
      </c>
      <c r="I130" s="195"/>
      <c r="J130" s="195"/>
      <c r="K130" s="195"/>
      <c r="L130" s="195"/>
      <c r="M130" s="143">
        <f>L130+J130+H130</f>
        <v>0</v>
      </c>
    </row>
    <row r="131" spans="1:13" s="144" customFormat="1" ht="17.25" customHeight="1">
      <c r="A131" s="138"/>
      <c r="B131" s="205"/>
      <c r="C131" s="198" t="s">
        <v>69</v>
      </c>
      <c r="D131" s="139" t="s">
        <v>6</v>
      </c>
      <c r="E131" s="196">
        <v>0.4</v>
      </c>
      <c r="F131" s="143">
        <f>E131*F127</f>
        <v>0.4</v>
      </c>
      <c r="G131" s="143"/>
      <c r="H131" s="143">
        <f>G131*F131</f>
        <v>0</v>
      </c>
      <c r="I131" s="195"/>
      <c r="J131" s="195"/>
      <c r="K131" s="195"/>
      <c r="L131" s="195"/>
      <c r="M131" s="143">
        <f>L131+J131+H131</f>
        <v>0</v>
      </c>
    </row>
    <row r="132" spans="1:13" s="372" customFormat="1" ht="21" customHeight="1">
      <c r="A132" s="35">
        <f>A127+1</f>
        <v>19</v>
      </c>
      <c r="B132" s="59" t="s">
        <v>73</v>
      </c>
      <c r="C132" s="402" t="s">
        <v>297</v>
      </c>
      <c r="D132" s="312" t="s">
        <v>12</v>
      </c>
      <c r="E132" s="41"/>
      <c r="F132" s="24">
        <f>F127</f>
        <v>1</v>
      </c>
      <c r="G132" s="24"/>
      <c r="H132" s="24"/>
      <c r="I132" s="8"/>
      <c r="J132" s="8"/>
      <c r="K132" s="8"/>
      <c r="L132" s="8"/>
      <c r="M132" s="24"/>
    </row>
    <row r="133" spans="1:13" s="27" customFormat="1" ht="17.25" customHeight="1">
      <c r="A133" s="35"/>
      <c r="B133" s="59"/>
      <c r="C133" s="10" t="s">
        <v>13</v>
      </c>
      <c r="D133" s="38" t="s">
        <v>139</v>
      </c>
      <c r="E133" s="302">
        <v>0.82</v>
      </c>
      <c r="F133" s="132">
        <f>F132*E133</f>
        <v>0.82</v>
      </c>
      <c r="G133" s="21"/>
      <c r="H133" s="283"/>
      <c r="I133" s="21"/>
      <c r="J133" s="1">
        <f>I133*F133</f>
        <v>0</v>
      </c>
      <c r="K133" s="1"/>
      <c r="L133" s="1"/>
      <c r="M133" s="2">
        <f>L133+J133+H133</f>
        <v>0</v>
      </c>
    </row>
    <row r="134" spans="1:13" s="27" customFormat="1" ht="17.25" customHeight="1">
      <c r="A134" s="35"/>
      <c r="B134" s="59"/>
      <c r="C134" s="10" t="s">
        <v>70</v>
      </c>
      <c r="D134" s="6" t="s">
        <v>6</v>
      </c>
      <c r="E134" s="11">
        <v>0.01</v>
      </c>
      <c r="F134" s="2">
        <f>E134*F132</f>
        <v>0.01</v>
      </c>
      <c r="G134" s="2"/>
      <c r="H134" s="2"/>
      <c r="I134" s="1"/>
      <c r="J134" s="1"/>
      <c r="K134" s="1"/>
      <c r="L134" s="1">
        <f>K134*F134</f>
        <v>0</v>
      </c>
      <c r="M134" s="2">
        <f>L134+J134+H134</f>
        <v>0</v>
      </c>
    </row>
    <row r="135" spans="1:13" s="27" customFormat="1" ht="17.25" customHeight="1">
      <c r="A135" s="35"/>
      <c r="B135" s="205"/>
      <c r="C135" s="69" t="s">
        <v>298</v>
      </c>
      <c r="D135" s="6" t="s">
        <v>58</v>
      </c>
      <c r="E135" s="71">
        <v>1</v>
      </c>
      <c r="F135" s="2">
        <f>E135*F132</f>
        <v>1</v>
      </c>
      <c r="G135" s="2"/>
      <c r="H135" s="2">
        <f>G135*F135</f>
        <v>0</v>
      </c>
      <c r="I135" s="1"/>
      <c r="J135" s="1"/>
      <c r="K135" s="1"/>
      <c r="L135" s="1"/>
      <c r="M135" s="2">
        <f>L135+J135+H135</f>
        <v>0</v>
      </c>
    </row>
    <row r="136" spans="1:13" s="27" customFormat="1" ht="17.25" customHeight="1">
      <c r="A136" s="35"/>
      <c r="B136" s="59"/>
      <c r="C136" s="10" t="s">
        <v>69</v>
      </c>
      <c r="D136" s="6" t="s">
        <v>6</v>
      </c>
      <c r="E136" s="11">
        <v>0.07</v>
      </c>
      <c r="F136" s="2">
        <f>E136*F132</f>
        <v>0.07</v>
      </c>
      <c r="G136" s="2"/>
      <c r="H136" s="2">
        <f>G136*F136</f>
        <v>0</v>
      </c>
      <c r="I136" s="1"/>
      <c r="J136" s="1"/>
      <c r="K136" s="1"/>
      <c r="L136" s="1"/>
      <c r="M136" s="2">
        <f>L136+J136+H136</f>
        <v>0</v>
      </c>
    </row>
    <row r="137" spans="1:13" s="193" customFormat="1" ht="21" customHeight="1">
      <c r="A137" s="138">
        <f>A132+1</f>
        <v>20</v>
      </c>
      <c r="B137" s="205" t="s">
        <v>626</v>
      </c>
      <c r="C137" s="335" t="s">
        <v>180</v>
      </c>
      <c r="D137" s="312" t="s">
        <v>12</v>
      </c>
      <c r="E137" s="203"/>
      <c r="F137" s="204">
        <v>6</v>
      </c>
      <c r="G137" s="143"/>
      <c r="H137" s="143"/>
      <c r="I137" s="195"/>
      <c r="J137" s="195"/>
      <c r="K137" s="195"/>
      <c r="L137" s="195"/>
      <c r="M137" s="143"/>
    </row>
    <row r="138" spans="1:13" s="144" customFormat="1" ht="17.25" customHeight="1">
      <c r="A138" s="138"/>
      <c r="B138" s="205"/>
      <c r="C138" s="198" t="s">
        <v>13</v>
      </c>
      <c r="D138" s="38" t="s">
        <v>139</v>
      </c>
      <c r="E138" s="145">
        <v>0.46</v>
      </c>
      <c r="F138" s="143">
        <f>F137*E138</f>
        <v>2.7600000000000002</v>
      </c>
      <c r="G138" s="143"/>
      <c r="H138" s="143"/>
      <c r="I138" s="195"/>
      <c r="J138" s="195">
        <f>I138*F138</f>
        <v>0</v>
      </c>
      <c r="K138" s="195"/>
      <c r="L138" s="195"/>
      <c r="M138" s="143">
        <f>L138+J138+H138</f>
        <v>0</v>
      </c>
    </row>
    <row r="139" spans="1:13" s="144" customFormat="1" ht="17.25" customHeight="1">
      <c r="A139" s="138"/>
      <c r="B139" s="205"/>
      <c r="C139" s="198" t="s">
        <v>70</v>
      </c>
      <c r="D139" s="139" t="s">
        <v>6</v>
      </c>
      <c r="E139" s="216">
        <v>0.02</v>
      </c>
      <c r="F139" s="143">
        <f>E139*F137</f>
        <v>0.12</v>
      </c>
      <c r="G139" s="143"/>
      <c r="H139" s="143"/>
      <c r="I139" s="195"/>
      <c r="J139" s="195"/>
      <c r="K139" s="195"/>
      <c r="L139" s="195">
        <f>K139*F139</f>
        <v>0</v>
      </c>
      <c r="M139" s="143">
        <f>L139+J139+H139</f>
        <v>0</v>
      </c>
    </row>
    <row r="140" spans="1:13" s="144" customFormat="1" ht="17.25" customHeight="1">
      <c r="A140" s="138"/>
      <c r="B140" s="205"/>
      <c r="C140" s="336" t="s">
        <v>303</v>
      </c>
      <c r="D140" s="139" t="s">
        <v>12</v>
      </c>
      <c r="E140" s="212">
        <v>1</v>
      </c>
      <c r="F140" s="143">
        <f>E140*F137</f>
        <v>6</v>
      </c>
      <c r="G140" s="143"/>
      <c r="H140" s="143">
        <f>G140*F140</f>
        <v>0</v>
      </c>
      <c r="I140" s="195"/>
      <c r="J140" s="195"/>
      <c r="K140" s="195"/>
      <c r="L140" s="195"/>
      <c r="M140" s="143">
        <f>L140+J140+H140</f>
        <v>0</v>
      </c>
    </row>
    <row r="141" spans="1:13" s="144" customFormat="1" ht="17.25" customHeight="1">
      <c r="A141" s="138"/>
      <c r="B141" s="205"/>
      <c r="C141" s="198" t="s">
        <v>69</v>
      </c>
      <c r="D141" s="139" t="s">
        <v>6</v>
      </c>
      <c r="E141" s="196">
        <v>0.11</v>
      </c>
      <c r="F141" s="143">
        <f>E141*F137</f>
        <v>0.66</v>
      </c>
      <c r="G141" s="143"/>
      <c r="H141" s="143">
        <f>G141*F141</f>
        <v>0</v>
      </c>
      <c r="I141" s="195"/>
      <c r="J141" s="195"/>
      <c r="K141" s="195"/>
      <c r="L141" s="195"/>
      <c r="M141" s="143">
        <f>L141+J141+H141</f>
        <v>0</v>
      </c>
    </row>
    <row r="142" spans="1:13" s="372" customFormat="1" ht="21" customHeight="1">
      <c r="A142" s="35">
        <f>A137+1</f>
        <v>21</v>
      </c>
      <c r="B142" s="59" t="s">
        <v>250</v>
      </c>
      <c r="C142" s="402" t="s">
        <v>304</v>
      </c>
      <c r="D142" s="41"/>
      <c r="E142" s="613"/>
      <c r="F142" s="24">
        <f>SUM(F144:F150)</f>
        <v>45</v>
      </c>
      <c r="G142" s="24"/>
      <c r="H142" s="24"/>
      <c r="I142" s="8"/>
      <c r="J142" s="8"/>
      <c r="K142" s="8"/>
      <c r="L142" s="8"/>
      <c r="M142" s="24"/>
    </row>
    <row r="143" spans="1:13" s="27" customFormat="1" ht="16.5" customHeight="1">
      <c r="A143" s="36"/>
      <c r="B143" s="59"/>
      <c r="C143" s="10" t="s">
        <v>13</v>
      </c>
      <c r="D143" s="6" t="s">
        <v>6</v>
      </c>
      <c r="E143" s="2">
        <v>0.34</v>
      </c>
      <c r="F143" s="2">
        <f>E143*F142</f>
        <v>15.3</v>
      </c>
      <c r="G143" s="2"/>
      <c r="H143" s="2"/>
      <c r="I143" s="1"/>
      <c r="J143" s="1">
        <f>I143*F143</f>
        <v>0</v>
      </c>
      <c r="K143" s="1"/>
      <c r="L143" s="1"/>
      <c r="M143" s="2">
        <f aca="true" t="shared" si="7" ref="M143:M152">L143+J143+H143</f>
        <v>0</v>
      </c>
    </row>
    <row r="144" spans="1:13" s="27" customFormat="1" ht="16.5" customHeight="1">
      <c r="A144" s="36"/>
      <c r="B144" s="205"/>
      <c r="C144" s="614" t="s">
        <v>280</v>
      </c>
      <c r="D144" s="35" t="s">
        <v>12</v>
      </c>
      <c r="E144" s="447">
        <v>1</v>
      </c>
      <c r="F144" s="1">
        <v>3</v>
      </c>
      <c r="G144" s="1"/>
      <c r="H144" s="2">
        <f aca="true" t="shared" si="8" ref="H144:H152">G144*F144</f>
        <v>0</v>
      </c>
      <c r="I144" s="1"/>
      <c r="J144" s="1"/>
      <c r="K144" s="1"/>
      <c r="L144" s="1"/>
      <c r="M144" s="2">
        <f t="shared" si="7"/>
        <v>0</v>
      </c>
    </row>
    <row r="145" spans="1:13" s="27" customFormat="1" ht="16.5" customHeight="1">
      <c r="A145" s="36"/>
      <c r="B145" s="205"/>
      <c r="C145" s="69" t="s">
        <v>254</v>
      </c>
      <c r="D145" s="6" t="s">
        <v>58</v>
      </c>
      <c r="E145" s="447">
        <v>1</v>
      </c>
      <c r="F145" s="2">
        <v>7</v>
      </c>
      <c r="G145" s="2"/>
      <c r="H145" s="2">
        <f t="shared" si="8"/>
        <v>0</v>
      </c>
      <c r="I145" s="1"/>
      <c r="J145" s="1"/>
      <c r="K145" s="1"/>
      <c r="L145" s="1"/>
      <c r="M145" s="2">
        <f t="shared" si="7"/>
        <v>0</v>
      </c>
    </row>
    <row r="146" spans="1:13" s="27" customFormat="1" ht="16.5" customHeight="1">
      <c r="A146" s="36"/>
      <c r="B146" s="205"/>
      <c r="C146" s="69" t="s">
        <v>251</v>
      </c>
      <c r="D146" s="6" t="s">
        <v>12</v>
      </c>
      <c r="E146" s="447">
        <v>1</v>
      </c>
      <c r="F146" s="2">
        <f>F145</f>
        <v>7</v>
      </c>
      <c r="G146" s="2"/>
      <c r="H146" s="2">
        <f t="shared" si="8"/>
        <v>0</v>
      </c>
      <c r="I146" s="1"/>
      <c r="J146" s="1"/>
      <c r="K146" s="1"/>
      <c r="L146" s="1"/>
      <c r="M146" s="2">
        <f t="shared" si="7"/>
        <v>0</v>
      </c>
    </row>
    <row r="147" spans="1:13" s="27" customFormat="1" ht="16.5" customHeight="1">
      <c r="A147" s="36"/>
      <c r="B147" s="205"/>
      <c r="C147" s="69" t="s">
        <v>252</v>
      </c>
      <c r="D147" s="6" t="s">
        <v>12</v>
      </c>
      <c r="E147" s="447">
        <v>1</v>
      </c>
      <c r="F147" s="2">
        <f>F146</f>
        <v>7</v>
      </c>
      <c r="G147" s="2"/>
      <c r="H147" s="2">
        <f t="shared" si="8"/>
        <v>0</v>
      </c>
      <c r="I147" s="1"/>
      <c r="J147" s="1"/>
      <c r="K147" s="1"/>
      <c r="L147" s="1"/>
      <c r="M147" s="2">
        <f t="shared" si="7"/>
        <v>0</v>
      </c>
    </row>
    <row r="148" spans="1:13" s="27" customFormat="1" ht="16.5" customHeight="1">
      <c r="A148" s="36"/>
      <c r="B148" s="205"/>
      <c r="C148" s="69" t="s">
        <v>274</v>
      </c>
      <c r="D148" s="6" t="s">
        <v>12</v>
      </c>
      <c r="E148" s="447">
        <v>1</v>
      </c>
      <c r="F148" s="2">
        <f>F147</f>
        <v>7</v>
      </c>
      <c r="G148" s="2"/>
      <c r="H148" s="2">
        <f>G148*F148</f>
        <v>0</v>
      </c>
      <c r="I148" s="1"/>
      <c r="J148" s="1"/>
      <c r="K148" s="1"/>
      <c r="L148" s="1"/>
      <c r="M148" s="2">
        <f>L148+J148+H148</f>
        <v>0</v>
      </c>
    </row>
    <row r="149" spans="1:13" s="27" customFormat="1" ht="16.5" customHeight="1">
      <c r="A149" s="36"/>
      <c r="B149" s="205"/>
      <c r="C149" s="69" t="s">
        <v>253</v>
      </c>
      <c r="D149" s="6" t="s">
        <v>12</v>
      </c>
      <c r="E149" s="447">
        <v>1</v>
      </c>
      <c r="F149" s="2">
        <f>F148</f>
        <v>7</v>
      </c>
      <c r="G149" s="2"/>
      <c r="H149" s="2">
        <f t="shared" si="8"/>
        <v>0</v>
      </c>
      <c r="I149" s="1"/>
      <c r="J149" s="1"/>
      <c r="K149" s="1"/>
      <c r="L149" s="1"/>
      <c r="M149" s="2">
        <f t="shared" si="7"/>
        <v>0</v>
      </c>
    </row>
    <row r="150" spans="1:13" s="27" customFormat="1" ht="16.5" customHeight="1">
      <c r="A150" s="36"/>
      <c r="B150" s="205"/>
      <c r="C150" s="69" t="s">
        <v>255</v>
      </c>
      <c r="D150" s="6" t="s">
        <v>12</v>
      </c>
      <c r="E150" s="447">
        <v>1</v>
      </c>
      <c r="F150" s="2">
        <f>F149</f>
        <v>7</v>
      </c>
      <c r="G150" s="2"/>
      <c r="H150" s="2">
        <f>G150*F150</f>
        <v>0</v>
      </c>
      <c r="I150" s="1"/>
      <c r="J150" s="1"/>
      <c r="K150" s="1"/>
      <c r="L150" s="1"/>
      <c r="M150" s="2">
        <f>L150+J150+H150</f>
        <v>0</v>
      </c>
    </row>
    <row r="151" spans="1:13" s="27" customFormat="1" ht="16.5" customHeight="1">
      <c r="A151" s="36"/>
      <c r="B151" s="205"/>
      <c r="C151" s="69" t="s">
        <v>273</v>
      </c>
      <c r="D151" s="6" t="s">
        <v>61</v>
      </c>
      <c r="E151" s="447">
        <v>1</v>
      </c>
      <c r="F151" s="2">
        <f>1.2*0.8*2+0.8*0.6*3</f>
        <v>3.36</v>
      </c>
      <c r="G151" s="2"/>
      <c r="H151" s="2">
        <f>G151*F151</f>
        <v>0</v>
      </c>
      <c r="I151" s="1"/>
      <c r="J151" s="1"/>
      <c r="K151" s="1"/>
      <c r="L151" s="1"/>
      <c r="M151" s="2">
        <f>L151+J151+H151</f>
        <v>0</v>
      </c>
    </row>
    <row r="152" spans="1:13" s="27" customFormat="1" ht="16.5" customHeight="1">
      <c r="A152" s="36"/>
      <c r="B152" s="59"/>
      <c r="C152" s="10" t="s">
        <v>69</v>
      </c>
      <c r="D152" s="6" t="s">
        <v>6</v>
      </c>
      <c r="E152" s="2">
        <v>0.02</v>
      </c>
      <c r="F152" s="2">
        <f>E152*F142</f>
        <v>0.9</v>
      </c>
      <c r="G152" s="2"/>
      <c r="H152" s="2">
        <f t="shared" si="8"/>
        <v>0</v>
      </c>
      <c r="I152" s="1"/>
      <c r="J152" s="1"/>
      <c r="K152" s="1"/>
      <c r="L152" s="1"/>
      <c r="M152" s="2">
        <f t="shared" si="7"/>
        <v>0</v>
      </c>
    </row>
    <row r="153" spans="1:13" s="193" customFormat="1" ht="21" customHeight="1">
      <c r="A153" s="138">
        <f>A142+1</f>
        <v>22</v>
      </c>
      <c r="B153" s="205" t="s">
        <v>307</v>
      </c>
      <c r="C153" s="335" t="s">
        <v>305</v>
      </c>
      <c r="D153" s="312" t="s">
        <v>12</v>
      </c>
      <c r="E153" s="203"/>
      <c r="F153" s="204">
        <v>4</v>
      </c>
      <c r="G153" s="143"/>
      <c r="H153" s="143"/>
      <c r="I153" s="195"/>
      <c r="J153" s="195"/>
      <c r="K153" s="195"/>
      <c r="L153" s="195"/>
      <c r="M153" s="143"/>
    </row>
    <row r="154" spans="1:13" s="144" customFormat="1" ht="17.25" customHeight="1">
      <c r="A154" s="138"/>
      <c r="B154" s="205"/>
      <c r="C154" s="198" t="s">
        <v>13</v>
      </c>
      <c r="D154" s="38" t="s">
        <v>139</v>
      </c>
      <c r="E154" s="302">
        <v>8.22</v>
      </c>
      <c r="F154" s="143">
        <f>F153*E154</f>
        <v>32.88</v>
      </c>
      <c r="G154" s="143"/>
      <c r="H154" s="143"/>
      <c r="I154" s="195"/>
      <c r="J154" s="195">
        <f>I154*F154</f>
        <v>0</v>
      </c>
      <c r="K154" s="195"/>
      <c r="L154" s="195"/>
      <c r="M154" s="143">
        <f>L154+J154+H154</f>
        <v>0</v>
      </c>
    </row>
    <row r="155" spans="1:13" s="144" customFormat="1" ht="17.25" customHeight="1">
      <c r="A155" s="138"/>
      <c r="B155" s="205"/>
      <c r="C155" s="198" t="s">
        <v>70</v>
      </c>
      <c r="D155" s="139" t="s">
        <v>6</v>
      </c>
      <c r="E155" s="216">
        <v>0.31</v>
      </c>
      <c r="F155" s="143">
        <f>E155*F153</f>
        <v>1.24</v>
      </c>
      <c r="G155" s="143"/>
      <c r="H155" s="143"/>
      <c r="I155" s="195"/>
      <c r="J155" s="195"/>
      <c r="K155" s="195"/>
      <c r="L155" s="195">
        <f>K155*F155</f>
        <v>0</v>
      </c>
      <c r="M155" s="143">
        <f>L155+J155+H155</f>
        <v>0</v>
      </c>
    </row>
    <row r="156" spans="1:13" s="144" customFormat="1" ht="17.25" customHeight="1">
      <c r="A156" s="138"/>
      <c r="B156" s="205"/>
      <c r="C156" s="404" t="s">
        <v>306</v>
      </c>
      <c r="D156" s="139" t="s">
        <v>12</v>
      </c>
      <c r="E156" s="212">
        <v>1</v>
      </c>
      <c r="F156" s="143">
        <f>E156*F153</f>
        <v>4</v>
      </c>
      <c r="G156" s="143"/>
      <c r="H156" s="143">
        <f>G156*F156</f>
        <v>0</v>
      </c>
      <c r="I156" s="195"/>
      <c r="J156" s="195"/>
      <c r="K156" s="195"/>
      <c r="L156" s="195"/>
      <c r="M156" s="143">
        <f>L156+J156+H156</f>
        <v>0</v>
      </c>
    </row>
    <row r="157" spans="1:13" s="144" customFormat="1" ht="17.25" customHeight="1">
      <c r="A157" s="138"/>
      <c r="B157" s="205"/>
      <c r="C157" s="198" t="s">
        <v>69</v>
      </c>
      <c r="D157" s="139" t="s">
        <v>6</v>
      </c>
      <c r="E157" s="196">
        <v>0.2</v>
      </c>
      <c r="F157" s="143">
        <f>E157*F153</f>
        <v>0.8</v>
      </c>
      <c r="G157" s="143"/>
      <c r="H157" s="143">
        <f>G157*F157</f>
        <v>0</v>
      </c>
      <c r="I157" s="195"/>
      <c r="J157" s="195"/>
      <c r="K157" s="195"/>
      <c r="L157" s="195"/>
      <c r="M157" s="143">
        <f>L157+J157+H157</f>
        <v>0</v>
      </c>
    </row>
    <row r="158" spans="1:16" s="631" customFormat="1" ht="9" customHeight="1" thickBot="1">
      <c r="A158" s="201"/>
      <c r="B158" s="616"/>
      <c r="C158" s="630"/>
      <c r="D158" s="630"/>
      <c r="E158" s="201"/>
      <c r="F158" s="450"/>
      <c r="G158" s="717"/>
      <c r="H158" s="717"/>
      <c r="I158" s="717"/>
      <c r="J158" s="718"/>
      <c r="K158" s="717"/>
      <c r="L158" s="718"/>
      <c r="M158" s="640"/>
      <c r="O158" s="201"/>
      <c r="P158" s="201"/>
    </row>
    <row r="159" spans="1:16" s="118" customFormat="1" ht="17.25" customHeight="1">
      <c r="A159" s="599"/>
      <c r="B159" s="600"/>
      <c r="C159" s="601" t="s">
        <v>9</v>
      </c>
      <c r="D159" s="601"/>
      <c r="E159" s="601"/>
      <c r="F159" s="602"/>
      <c r="G159" s="719"/>
      <c r="H159" s="719">
        <f>SUM(H11:H158)</f>
        <v>0</v>
      </c>
      <c r="I159" s="719"/>
      <c r="J159" s="719">
        <f>SUM(J11:J158)</f>
        <v>0</v>
      </c>
      <c r="K159" s="719"/>
      <c r="L159" s="719">
        <f>SUM(L11:L158)</f>
        <v>0</v>
      </c>
      <c r="M159" s="719">
        <f>SUM(M11:M158)</f>
        <v>0</v>
      </c>
      <c r="N159" s="604"/>
      <c r="O159" s="605"/>
      <c r="P159" s="606"/>
    </row>
    <row r="160" spans="1:16" s="631" customFormat="1" ht="17.25" customHeight="1">
      <c r="A160" s="632"/>
      <c r="B160" s="707"/>
      <c r="C160" s="596" t="s">
        <v>14</v>
      </c>
      <c r="D160" s="708"/>
      <c r="E160" s="596"/>
      <c r="F160" s="709"/>
      <c r="G160" s="146"/>
      <c r="H160" s="146"/>
      <c r="I160" s="146"/>
      <c r="J160" s="146"/>
      <c r="K160" s="146"/>
      <c r="L160" s="146"/>
      <c r="M160" s="720">
        <f>M159*D160</f>
        <v>0</v>
      </c>
      <c r="O160" s="201"/>
      <c r="P160" s="201"/>
    </row>
    <row r="161" spans="1:16" s="633" customFormat="1" ht="17.25" customHeight="1">
      <c r="A161" s="632"/>
      <c r="B161" s="707"/>
      <c r="C161" s="596" t="s">
        <v>9</v>
      </c>
      <c r="D161" s="596"/>
      <c r="E161" s="596"/>
      <c r="F161" s="365"/>
      <c r="G161" s="146"/>
      <c r="H161" s="146"/>
      <c r="I161" s="146"/>
      <c r="J161" s="146"/>
      <c r="K161" s="146"/>
      <c r="L161" s="146"/>
      <c r="M161" s="720">
        <f>SUM(M159:M160)</f>
        <v>0</v>
      </c>
      <c r="O161" s="630"/>
      <c r="P161" s="630"/>
    </row>
    <row r="162" spans="1:13" s="631" customFormat="1" ht="17.25" customHeight="1">
      <c r="A162" s="632"/>
      <c r="B162" s="707"/>
      <c r="C162" s="596" t="s">
        <v>11</v>
      </c>
      <c r="D162" s="708"/>
      <c r="E162" s="596"/>
      <c r="F162" s="709"/>
      <c r="G162" s="146"/>
      <c r="H162" s="146"/>
      <c r="I162" s="146"/>
      <c r="J162" s="146"/>
      <c r="K162" s="146"/>
      <c r="L162" s="146"/>
      <c r="M162" s="720">
        <f>M161*D162</f>
        <v>0</v>
      </c>
    </row>
    <row r="163" spans="1:13" s="218" customFormat="1" ht="17.25" customHeight="1" thickBot="1">
      <c r="A163" s="520"/>
      <c r="B163" s="685"/>
      <c r="C163" s="521" t="s">
        <v>9</v>
      </c>
      <c r="D163" s="522"/>
      <c r="E163" s="522"/>
      <c r="F163" s="521"/>
      <c r="G163" s="721"/>
      <c r="H163" s="721"/>
      <c r="I163" s="721"/>
      <c r="J163" s="721"/>
      <c r="K163" s="721"/>
      <c r="L163" s="721"/>
      <c r="M163" s="722">
        <f>SUM(M161:M162)</f>
        <v>0</v>
      </c>
    </row>
    <row r="164" spans="1:14" s="638" customFormat="1" ht="15.75">
      <c r="A164" s="634"/>
      <c r="B164" s="710"/>
      <c r="C164" s="711"/>
      <c r="D164" s="712"/>
      <c r="E164" s="712"/>
      <c r="F164" s="713"/>
      <c r="G164" s="714"/>
      <c r="H164" s="714"/>
      <c r="I164" s="714"/>
      <c r="J164" s="714"/>
      <c r="K164" s="714"/>
      <c r="L164" s="714"/>
      <c r="M164" s="718"/>
      <c r="N164" s="637"/>
    </row>
    <row r="165" spans="1:13" s="638" customFormat="1" ht="15.75">
      <c r="A165" s="634"/>
      <c r="B165" s="616"/>
      <c r="C165" s="635"/>
      <c r="D165" s="337"/>
      <c r="E165" s="337"/>
      <c r="F165" s="366"/>
      <c r="G165" s="636"/>
      <c r="H165" s="636"/>
      <c r="I165" s="636"/>
      <c r="J165" s="636"/>
      <c r="K165" s="636"/>
      <c r="L165" s="636"/>
      <c r="M165" s="640"/>
    </row>
    <row r="166" spans="1:13" s="638" customFormat="1" ht="15.75">
      <c r="A166" s="634"/>
      <c r="B166" s="616"/>
      <c r="C166" s="635"/>
      <c r="D166" s="337"/>
      <c r="E166" s="337"/>
      <c r="F166" s="366"/>
      <c r="G166" s="636"/>
      <c r="H166" s="636"/>
      <c r="I166" s="636"/>
      <c r="J166" s="636"/>
      <c r="K166" s="636"/>
      <c r="L166" s="636"/>
      <c r="M166" s="640"/>
    </row>
    <row r="167" spans="1:13" s="421" customFormat="1" ht="17.25" customHeight="1">
      <c r="A167" s="220"/>
      <c r="B167" s="639"/>
      <c r="C167" s="421" t="s">
        <v>184</v>
      </c>
      <c r="E167" s="220"/>
      <c r="F167" s="207"/>
      <c r="G167" s="826"/>
      <c r="H167" s="826"/>
      <c r="I167" s="826"/>
      <c r="J167" s="723"/>
      <c r="K167" s="723"/>
      <c r="L167" s="723"/>
      <c r="M167" s="724"/>
    </row>
    <row r="168" spans="1:13" s="638" customFormat="1" ht="15.75">
      <c r="A168" s="634"/>
      <c r="B168" s="616"/>
      <c r="C168" s="635"/>
      <c r="D168" s="337"/>
      <c r="E168" s="337"/>
      <c r="F168" s="366"/>
      <c r="G168" s="636"/>
      <c r="H168" s="636"/>
      <c r="I168" s="636"/>
      <c r="J168" s="636"/>
      <c r="K168" s="636"/>
      <c r="L168" s="636"/>
      <c r="M168" s="640"/>
    </row>
    <row r="169" spans="1:13" s="638" customFormat="1" ht="15.75">
      <c r="A169" s="634"/>
      <c r="B169" s="616"/>
      <c r="C169" s="635"/>
      <c r="D169" s="337"/>
      <c r="E169" s="337"/>
      <c r="F169" s="366"/>
      <c r="G169" s="636"/>
      <c r="H169" s="636"/>
      <c r="I169" s="636"/>
      <c r="J169" s="636"/>
      <c r="K169" s="636"/>
      <c r="L169" s="636"/>
      <c r="M169" s="640"/>
    </row>
    <row r="170" spans="1:13" s="638" customFormat="1" ht="15.75">
      <c r="A170" s="634"/>
      <c r="B170" s="616"/>
      <c r="C170" s="635"/>
      <c r="D170" s="337"/>
      <c r="E170" s="337"/>
      <c r="F170" s="366"/>
      <c r="G170" s="636"/>
      <c r="H170" s="636"/>
      <c r="I170" s="636"/>
      <c r="J170" s="636"/>
      <c r="K170" s="636"/>
      <c r="L170" s="636"/>
      <c r="M170" s="640"/>
    </row>
    <row r="171" spans="1:13" s="638" customFormat="1" ht="15.75">
      <c r="A171" s="634"/>
      <c r="B171" s="616"/>
      <c r="C171" s="635"/>
      <c r="D171" s="337"/>
      <c r="E171" s="337"/>
      <c r="F171" s="366"/>
      <c r="G171" s="636"/>
      <c r="H171" s="636"/>
      <c r="I171" s="636"/>
      <c r="J171" s="636"/>
      <c r="K171" s="636"/>
      <c r="L171" s="636"/>
      <c r="M171" s="640"/>
    </row>
    <row r="172" spans="1:13" s="638" customFormat="1" ht="15.75">
      <c r="A172" s="634"/>
      <c r="B172" s="616"/>
      <c r="C172" s="635"/>
      <c r="D172" s="337"/>
      <c r="E172" s="337"/>
      <c r="F172" s="366"/>
      <c r="G172" s="636"/>
      <c r="H172" s="636"/>
      <c r="I172" s="636"/>
      <c r="J172" s="636"/>
      <c r="K172" s="636"/>
      <c r="L172" s="636"/>
      <c r="M172" s="640"/>
    </row>
    <row r="173" spans="1:13" s="638" customFormat="1" ht="15.75">
      <c r="A173" s="634"/>
      <c r="B173" s="616"/>
      <c r="C173" s="635"/>
      <c r="D173" s="337"/>
      <c r="E173" s="337"/>
      <c r="F173" s="366"/>
      <c r="G173" s="636"/>
      <c r="H173" s="636"/>
      <c r="I173" s="636"/>
      <c r="J173" s="636"/>
      <c r="K173" s="636"/>
      <c r="L173" s="636"/>
      <c r="M173" s="640"/>
    </row>
    <row r="174" spans="1:13" s="638" customFormat="1" ht="15.75">
      <c r="A174" s="634"/>
      <c r="B174" s="616"/>
      <c r="C174" s="635"/>
      <c r="D174" s="337"/>
      <c r="E174" s="337"/>
      <c r="F174" s="366"/>
      <c r="G174" s="636"/>
      <c r="H174" s="636"/>
      <c r="I174" s="636"/>
      <c r="J174" s="636"/>
      <c r="K174" s="636"/>
      <c r="L174" s="636"/>
      <c r="M174" s="718"/>
    </row>
    <row r="175" spans="1:13" s="638" customFormat="1" ht="15.75">
      <c r="A175" s="634"/>
      <c r="B175" s="616"/>
      <c r="C175" s="635"/>
      <c r="D175" s="337"/>
      <c r="E175" s="337"/>
      <c r="F175" s="366"/>
      <c r="G175" s="636"/>
      <c r="H175" s="636"/>
      <c r="I175" s="636"/>
      <c r="J175" s="636"/>
      <c r="K175" s="636"/>
      <c r="L175" s="636"/>
      <c r="M175" s="640"/>
    </row>
    <row r="176" spans="1:13" s="638" customFormat="1" ht="15.75">
      <c r="A176" s="634"/>
      <c r="B176" s="616"/>
      <c r="C176" s="635"/>
      <c r="D176" s="337"/>
      <c r="E176" s="337"/>
      <c r="F176" s="366"/>
      <c r="G176" s="636"/>
      <c r="H176" s="636"/>
      <c r="I176" s="636"/>
      <c r="J176" s="636"/>
      <c r="K176" s="636"/>
      <c r="L176" s="636"/>
      <c r="M176" s="640"/>
    </row>
    <row r="177" spans="1:13" s="638" customFormat="1" ht="15.75">
      <c r="A177" s="634"/>
      <c r="B177" s="616"/>
      <c r="C177" s="635"/>
      <c r="D177" s="337"/>
      <c r="E177" s="337"/>
      <c r="F177" s="366"/>
      <c r="G177" s="636"/>
      <c r="H177" s="636"/>
      <c r="I177" s="636"/>
      <c r="J177" s="636"/>
      <c r="K177" s="636"/>
      <c r="L177" s="636"/>
      <c r="M177" s="640"/>
    </row>
    <row r="178" spans="1:13" s="638" customFormat="1" ht="15.75">
      <c r="A178" s="634"/>
      <c r="B178" s="616"/>
      <c r="C178" s="635"/>
      <c r="D178" s="337"/>
      <c r="E178" s="337"/>
      <c r="F178" s="366"/>
      <c r="G178" s="636"/>
      <c r="H178" s="636"/>
      <c r="I178" s="636"/>
      <c r="J178" s="636"/>
      <c r="K178" s="636"/>
      <c r="L178" s="636"/>
      <c r="M178" s="640"/>
    </row>
    <row r="179" spans="1:13" s="638" customFormat="1" ht="15.75">
      <c r="A179" s="634"/>
      <c r="B179" s="616"/>
      <c r="C179" s="635"/>
      <c r="D179" s="337"/>
      <c r="E179" s="337"/>
      <c r="F179" s="366"/>
      <c r="G179" s="636"/>
      <c r="H179" s="636"/>
      <c r="I179" s="636"/>
      <c r="J179" s="636"/>
      <c r="K179" s="636"/>
      <c r="L179" s="636"/>
      <c r="M179" s="640"/>
    </row>
    <row r="180" spans="1:13" s="638" customFormat="1" ht="15.75">
      <c r="A180" s="634"/>
      <c r="B180" s="616"/>
      <c r="C180" s="635"/>
      <c r="D180" s="337"/>
      <c r="E180" s="337"/>
      <c r="F180" s="366"/>
      <c r="G180" s="636"/>
      <c r="H180" s="636"/>
      <c r="I180" s="636"/>
      <c r="J180" s="636"/>
      <c r="K180" s="636"/>
      <c r="L180" s="636"/>
      <c r="M180" s="640"/>
    </row>
    <row r="181" spans="1:13" s="638" customFormat="1" ht="15.75">
      <c r="A181" s="634"/>
      <c r="B181" s="616"/>
      <c r="C181" s="635"/>
      <c r="D181" s="337"/>
      <c r="E181" s="337"/>
      <c r="F181" s="366"/>
      <c r="G181" s="636"/>
      <c r="H181" s="636"/>
      <c r="I181" s="636"/>
      <c r="J181" s="636"/>
      <c r="K181" s="636"/>
      <c r="L181" s="636"/>
      <c r="M181" s="640"/>
    </row>
    <row r="182" spans="1:13" s="638" customFormat="1" ht="15.75">
      <c r="A182" s="634"/>
      <c r="B182" s="616"/>
      <c r="C182" s="635"/>
      <c r="D182" s="337"/>
      <c r="E182" s="337"/>
      <c r="F182" s="366"/>
      <c r="G182" s="636"/>
      <c r="H182" s="636"/>
      <c r="I182" s="636"/>
      <c r="J182" s="636"/>
      <c r="K182" s="636"/>
      <c r="L182" s="636"/>
      <c r="M182" s="640"/>
    </row>
    <row r="183" spans="1:13" s="638" customFormat="1" ht="15.75">
      <c r="A183" s="634"/>
      <c r="B183" s="616"/>
      <c r="C183" s="635"/>
      <c r="D183" s="337"/>
      <c r="E183" s="337"/>
      <c r="F183" s="366"/>
      <c r="G183" s="636"/>
      <c r="H183" s="636"/>
      <c r="I183" s="636"/>
      <c r="J183" s="636"/>
      <c r="K183" s="636"/>
      <c r="L183" s="636"/>
      <c r="M183" s="640"/>
    </row>
    <row r="184" spans="1:13" s="638" customFormat="1" ht="15.75">
      <c r="A184" s="634"/>
      <c r="B184" s="616"/>
      <c r="C184" s="635"/>
      <c r="D184" s="337"/>
      <c r="E184" s="337"/>
      <c r="F184" s="366"/>
      <c r="G184" s="636"/>
      <c r="H184" s="636"/>
      <c r="I184" s="636"/>
      <c r="J184" s="636"/>
      <c r="K184" s="636"/>
      <c r="L184" s="636"/>
      <c r="M184" s="640"/>
    </row>
    <row r="185" spans="1:13" s="638" customFormat="1" ht="15.75">
      <c r="A185" s="634"/>
      <c r="B185" s="616"/>
      <c r="C185" s="635"/>
      <c r="D185" s="337"/>
      <c r="E185" s="337"/>
      <c r="F185" s="366"/>
      <c r="G185" s="636"/>
      <c r="H185" s="636"/>
      <c r="I185" s="636"/>
      <c r="J185" s="636"/>
      <c r="K185" s="636"/>
      <c r="L185" s="636"/>
      <c r="M185" s="640"/>
    </row>
    <row r="186" spans="1:13" s="638" customFormat="1" ht="15.75">
      <c r="A186" s="634"/>
      <c r="B186" s="616"/>
      <c r="C186" s="635"/>
      <c r="D186" s="337"/>
      <c r="E186" s="337"/>
      <c r="F186" s="366"/>
      <c r="G186" s="636"/>
      <c r="H186" s="636"/>
      <c r="I186" s="636"/>
      <c r="J186" s="636"/>
      <c r="K186" s="636"/>
      <c r="L186" s="636"/>
      <c r="M186" s="640"/>
    </row>
    <row r="187" spans="1:13" s="638" customFormat="1" ht="15.75">
      <c r="A187" s="634"/>
      <c r="B187" s="616"/>
      <c r="C187" s="635"/>
      <c r="D187" s="337"/>
      <c r="E187" s="337"/>
      <c r="F187" s="366"/>
      <c r="G187" s="636"/>
      <c r="H187" s="636"/>
      <c r="I187" s="636"/>
      <c r="J187" s="636"/>
      <c r="K187" s="636"/>
      <c r="L187" s="636"/>
      <c r="M187" s="640"/>
    </row>
    <row r="188" spans="1:13" s="638" customFormat="1" ht="15.75">
      <c r="A188" s="634"/>
      <c r="B188" s="616"/>
      <c r="C188" s="635"/>
      <c r="D188" s="337"/>
      <c r="E188" s="337"/>
      <c r="F188" s="366"/>
      <c r="G188" s="636"/>
      <c r="H188" s="636"/>
      <c r="I188" s="636"/>
      <c r="J188" s="636"/>
      <c r="K188" s="636"/>
      <c r="L188" s="636"/>
      <c r="M188" s="640"/>
    </row>
    <row r="189" spans="1:16" s="726" customFormat="1" ht="15.75">
      <c r="A189" s="634"/>
      <c r="B189" s="616"/>
      <c r="C189" s="635"/>
      <c r="D189" s="337"/>
      <c r="E189" s="337"/>
      <c r="F189" s="366"/>
      <c r="G189" s="636"/>
      <c r="H189" s="636"/>
      <c r="I189" s="636"/>
      <c r="J189" s="636"/>
      <c r="K189" s="636"/>
      <c r="L189" s="636"/>
      <c r="M189" s="640"/>
      <c r="N189" s="638"/>
      <c r="O189" s="638"/>
      <c r="P189" s="638"/>
    </row>
    <row r="190" spans="1:16" s="726" customFormat="1" ht="15.75">
      <c r="A190" s="634"/>
      <c r="B190" s="616"/>
      <c r="C190" s="635"/>
      <c r="D190" s="337"/>
      <c r="E190" s="337"/>
      <c r="F190" s="366"/>
      <c r="G190" s="636"/>
      <c r="H190" s="636"/>
      <c r="I190" s="636"/>
      <c r="J190" s="636"/>
      <c r="K190" s="636"/>
      <c r="L190" s="636"/>
      <c r="M190" s="640"/>
      <c r="N190" s="638"/>
      <c r="O190" s="638"/>
      <c r="P190" s="638"/>
    </row>
    <row r="191" spans="1:16" s="726" customFormat="1" ht="15.75">
      <c r="A191" s="634"/>
      <c r="B191" s="616"/>
      <c r="C191" s="635"/>
      <c r="D191" s="337"/>
      <c r="E191" s="337"/>
      <c r="F191" s="366"/>
      <c r="G191" s="636"/>
      <c r="H191" s="636"/>
      <c r="I191" s="636"/>
      <c r="J191" s="636"/>
      <c r="K191" s="636"/>
      <c r="L191" s="636"/>
      <c r="M191" s="640"/>
      <c r="N191" s="638"/>
      <c r="O191" s="638"/>
      <c r="P191" s="638"/>
    </row>
    <row r="192" spans="1:16" s="726" customFormat="1" ht="15.75">
      <c r="A192" s="634"/>
      <c r="B192" s="616"/>
      <c r="C192" s="635"/>
      <c r="D192" s="337"/>
      <c r="E192" s="337"/>
      <c r="F192" s="366"/>
      <c r="G192" s="636"/>
      <c r="H192" s="636"/>
      <c r="I192" s="636"/>
      <c r="J192" s="636"/>
      <c r="K192" s="636"/>
      <c r="L192" s="636"/>
      <c r="M192" s="640"/>
      <c r="N192" s="638"/>
      <c r="O192" s="638"/>
      <c r="P192" s="638"/>
    </row>
    <row r="193" spans="1:16" s="726" customFormat="1" ht="15.75">
      <c r="A193" s="634"/>
      <c r="B193" s="616"/>
      <c r="C193" s="635"/>
      <c r="D193" s="337"/>
      <c r="E193" s="337"/>
      <c r="F193" s="366"/>
      <c r="G193" s="636"/>
      <c r="H193" s="636"/>
      <c r="I193" s="636"/>
      <c r="J193" s="636"/>
      <c r="K193" s="636"/>
      <c r="L193" s="636"/>
      <c r="M193" s="640"/>
      <c r="N193" s="638"/>
      <c r="O193" s="638"/>
      <c r="P193" s="638"/>
    </row>
    <row r="194" spans="1:16" s="726" customFormat="1" ht="15.75">
      <c r="A194" s="634"/>
      <c r="B194" s="616"/>
      <c r="C194" s="635"/>
      <c r="D194" s="337"/>
      <c r="E194" s="337"/>
      <c r="F194" s="366"/>
      <c r="G194" s="636"/>
      <c r="H194" s="636"/>
      <c r="I194" s="636"/>
      <c r="J194" s="636"/>
      <c r="K194" s="636"/>
      <c r="L194" s="636"/>
      <c r="M194" s="640"/>
      <c r="N194" s="638"/>
      <c r="O194" s="638"/>
      <c r="P194" s="638"/>
    </row>
    <row r="195" spans="1:16" s="726" customFormat="1" ht="15.75">
      <c r="A195" s="634"/>
      <c r="B195" s="616"/>
      <c r="C195" s="635"/>
      <c r="D195" s="337"/>
      <c r="E195" s="337"/>
      <c r="F195" s="366"/>
      <c r="G195" s="636"/>
      <c r="H195" s="636"/>
      <c r="I195" s="636"/>
      <c r="J195" s="636"/>
      <c r="K195" s="636"/>
      <c r="L195" s="636"/>
      <c r="M195" s="640"/>
      <c r="N195" s="638"/>
      <c r="O195" s="638"/>
      <c r="P195" s="638"/>
    </row>
    <row r="196" spans="1:16" s="726" customFormat="1" ht="15.75">
      <c r="A196" s="634"/>
      <c r="B196" s="616"/>
      <c r="C196" s="635"/>
      <c r="D196" s="337"/>
      <c r="E196" s="337"/>
      <c r="F196" s="366"/>
      <c r="G196" s="636"/>
      <c r="H196" s="636"/>
      <c r="I196" s="636"/>
      <c r="J196" s="636"/>
      <c r="K196" s="636"/>
      <c r="L196" s="636"/>
      <c r="M196" s="640"/>
      <c r="N196" s="638"/>
      <c r="O196" s="638"/>
      <c r="P196" s="638"/>
    </row>
    <row r="197" spans="1:16" s="726" customFormat="1" ht="15.75">
      <c r="A197" s="634"/>
      <c r="B197" s="616"/>
      <c r="C197" s="635"/>
      <c r="D197" s="337"/>
      <c r="E197" s="337"/>
      <c r="F197" s="366"/>
      <c r="G197" s="636"/>
      <c r="H197" s="636"/>
      <c r="I197" s="636"/>
      <c r="J197" s="636"/>
      <c r="K197" s="636"/>
      <c r="L197" s="636"/>
      <c r="M197" s="640"/>
      <c r="N197" s="638"/>
      <c r="O197" s="638"/>
      <c r="P197" s="638"/>
    </row>
    <row r="198" spans="1:16" s="726" customFormat="1" ht="15.75">
      <c r="A198" s="634"/>
      <c r="B198" s="616"/>
      <c r="C198" s="635"/>
      <c r="D198" s="337"/>
      <c r="E198" s="337"/>
      <c r="F198" s="366"/>
      <c r="G198" s="636"/>
      <c r="H198" s="636"/>
      <c r="I198" s="636"/>
      <c r="J198" s="636"/>
      <c r="K198" s="636"/>
      <c r="L198" s="636"/>
      <c r="M198" s="640"/>
      <c r="N198" s="638"/>
      <c r="O198" s="638"/>
      <c r="P198" s="638"/>
    </row>
    <row r="199" spans="1:16" s="726" customFormat="1" ht="15.75">
      <c r="A199" s="634"/>
      <c r="B199" s="616"/>
      <c r="C199" s="635"/>
      <c r="D199" s="337"/>
      <c r="E199" s="337"/>
      <c r="F199" s="366"/>
      <c r="G199" s="636"/>
      <c r="H199" s="636"/>
      <c r="I199" s="636"/>
      <c r="J199" s="636"/>
      <c r="K199" s="636"/>
      <c r="L199" s="636"/>
      <c r="M199" s="640"/>
      <c r="N199" s="638"/>
      <c r="O199" s="638"/>
      <c r="P199" s="638"/>
    </row>
    <row r="200" spans="1:16" s="726" customFormat="1" ht="15.75">
      <c r="A200" s="634"/>
      <c r="B200" s="616"/>
      <c r="C200" s="635"/>
      <c r="D200" s="337"/>
      <c r="E200" s="337"/>
      <c r="F200" s="366"/>
      <c r="G200" s="636"/>
      <c r="H200" s="636"/>
      <c r="I200" s="636"/>
      <c r="J200" s="636"/>
      <c r="K200" s="636"/>
      <c r="L200" s="636"/>
      <c r="M200" s="640"/>
      <c r="N200" s="638"/>
      <c r="O200" s="638"/>
      <c r="P200" s="638"/>
    </row>
    <row r="201" spans="1:16" s="726" customFormat="1" ht="15.75">
      <c r="A201" s="634"/>
      <c r="B201" s="616"/>
      <c r="C201" s="635"/>
      <c r="D201" s="337"/>
      <c r="E201" s="337"/>
      <c r="F201" s="366"/>
      <c r="G201" s="636"/>
      <c r="H201" s="636"/>
      <c r="I201" s="636"/>
      <c r="J201" s="636"/>
      <c r="K201" s="636"/>
      <c r="L201" s="636"/>
      <c r="M201" s="640"/>
      <c r="N201" s="638"/>
      <c r="O201" s="638"/>
      <c r="P201" s="638"/>
    </row>
    <row r="202" spans="1:16" s="726" customFormat="1" ht="15.75">
      <c r="A202" s="634"/>
      <c r="B202" s="616"/>
      <c r="C202" s="635"/>
      <c r="D202" s="337"/>
      <c r="E202" s="337"/>
      <c r="F202" s="366"/>
      <c r="G202" s="636"/>
      <c r="H202" s="636"/>
      <c r="I202" s="636"/>
      <c r="J202" s="636"/>
      <c r="K202" s="636"/>
      <c r="L202" s="636"/>
      <c r="M202" s="640"/>
      <c r="N202" s="638"/>
      <c r="O202" s="638"/>
      <c r="P202" s="638"/>
    </row>
    <row r="203" spans="1:16" s="726" customFormat="1" ht="15.75">
      <c r="A203" s="634"/>
      <c r="B203" s="616"/>
      <c r="C203" s="635"/>
      <c r="D203" s="337"/>
      <c r="E203" s="337"/>
      <c r="F203" s="366"/>
      <c r="G203" s="636"/>
      <c r="H203" s="636"/>
      <c r="I203" s="636"/>
      <c r="J203" s="636"/>
      <c r="K203" s="636"/>
      <c r="L203" s="636"/>
      <c r="M203" s="640"/>
      <c r="N203" s="638"/>
      <c r="O203" s="638"/>
      <c r="P203" s="638"/>
    </row>
    <row r="204" spans="1:16" s="726" customFormat="1" ht="15.75">
      <c r="A204" s="634"/>
      <c r="B204" s="616"/>
      <c r="C204" s="635"/>
      <c r="D204" s="337"/>
      <c r="E204" s="337"/>
      <c r="F204" s="366"/>
      <c r="G204" s="636"/>
      <c r="H204" s="636"/>
      <c r="I204" s="636"/>
      <c r="J204" s="636"/>
      <c r="K204" s="636"/>
      <c r="L204" s="636"/>
      <c r="M204" s="640"/>
      <c r="N204" s="638"/>
      <c r="O204" s="638"/>
      <c r="P204" s="638"/>
    </row>
    <row r="205" spans="1:16" s="726" customFormat="1" ht="15.75">
      <c r="A205" s="634"/>
      <c r="B205" s="616"/>
      <c r="C205" s="635"/>
      <c r="D205" s="337"/>
      <c r="E205" s="337"/>
      <c r="F205" s="366"/>
      <c r="G205" s="636"/>
      <c r="H205" s="636"/>
      <c r="I205" s="636"/>
      <c r="J205" s="636"/>
      <c r="K205" s="636"/>
      <c r="L205" s="636"/>
      <c r="M205" s="640"/>
      <c r="N205" s="638"/>
      <c r="O205" s="638"/>
      <c r="P205" s="638"/>
    </row>
    <row r="206" spans="1:16" s="726" customFormat="1" ht="15.75">
      <c r="A206" s="634"/>
      <c r="B206" s="616"/>
      <c r="C206" s="635"/>
      <c r="D206" s="337"/>
      <c r="E206" s="337"/>
      <c r="F206" s="366"/>
      <c r="G206" s="636"/>
      <c r="H206" s="636"/>
      <c r="I206" s="636"/>
      <c r="J206" s="636"/>
      <c r="K206" s="636"/>
      <c r="L206" s="636"/>
      <c r="M206" s="640"/>
      <c r="N206" s="638"/>
      <c r="O206" s="638"/>
      <c r="P206" s="638"/>
    </row>
    <row r="207" spans="1:16" s="726" customFormat="1" ht="15.75">
      <c r="A207" s="634"/>
      <c r="B207" s="616"/>
      <c r="C207" s="635"/>
      <c r="D207" s="337"/>
      <c r="E207" s="337"/>
      <c r="F207" s="366"/>
      <c r="G207" s="636"/>
      <c r="H207" s="636"/>
      <c r="I207" s="636"/>
      <c r="J207" s="636"/>
      <c r="K207" s="636"/>
      <c r="L207" s="636"/>
      <c r="M207" s="640"/>
      <c r="N207" s="638"/>
      <c r="O207" s="638"/>
      <c r="P207" s="638"/>
    </row>
    <row r="208" spans="1:16" s="726" customFormat="1" ht="15.75">
      <c r="A208" s="634"/>
      <c r="B208" s="616"/>
      <c r="C208" s="635"/>
      <c r="D208" s="337"/>
      <c r="E208" s="337"/>
      <c r="F208" s="366"/>
      <c r="G208" s="636"/>
      <c r="H208" s="636"/>
      <c r="I208" s="636"/>
      <c r="J208" s="636"/>
      <c r="K208" s="636"/>
      <c r="L208" s="636"/>
      <c r="M208" s="640"/>
      <c r="N208" s="638"/>
      <c r="O208" s="638"/>
      <c r="P208" s="638"/>
    </row>
    <row r="209" spans="1:16" s="726" customFormat="1" ht="15.75">
      <c r="A209" s="634"/>
      <c r="B209" s="616"/>
      <c r="C209" s="635"/>
      <c r="D209" s="337"/>
      <c r="E209" s="337"/>
      <c r="F209" s="366"/>
      <c r="G209" s="636"/>
      <c r="H209" s="636"/>
      <c r="I209" s="636"/>
      <c r="J209" s="636"/>
      <c r="K209" s="636"/>
      <c r="L209" s="636"/>
      <c r="M209" s="640"/>
      <c r="N209" s="638"/>
      <c r="O209" s="638"/>
      <c r="P209" s="638"/>
    </row>
    <row r="210" spans="1:16" s="726" customFormat="1" ht="15.75">
      <c r="A210" s="634"/>
      <c r="B210" s="616"/>
      <c r="C210" s="635"/>
      <c r="D210" s="337"/>
      <c r="E210" s="337"/>
      <c r="F210" s="366"/>
      <c r="G210" s="636"/>
      <c r="H210" s="636"/>
      <c r="I210" s="636"/>
      <c r="J210" s="636"/>
      <c r="K210" s="636"/>
      <c r="L210" s="636"/>
      <c r="M210" s="640"/>
      <c r="N210" s="638"/>
      <c r="O210" s="638"/>
      <c r="P210" s="638"/>
    </row>
    <row r="211" spans="1:16" s="726" customFormat="1" ht="15.75">
      <c r="A211" s="634"/>
      <c r="B211" s="616"/>
      <c r="C211" s="635"/>
      <c r="D211" s="337"/>
      <c r="E211" s="337"/>
      <c r="F211" s="366"/>
      <c r="G211" s="636"/>
      <c r="H211" s="636"/>
      <c r="I211" s="636"/>
      <c r="J211" s="636"/>
      <c r="K211" s="636"/>
      <c r="L211" s="636"/>
      <c r="M211" s="640"/>
      <c r="N211" s="638"/>
      <c r="O211" s="638"/>
      <c r="P211" s="638"/>
    </row>
    <row r="212" spans="1:16" s="726" customFormat="1" ht="15.75">
      <c r="A212" s="634"/>
      <c r="B212" s="616"/>
      <c r="C212" s="635"/>
      <c r="D212" s="337"/>
      <c r="E212" s="337"/>
      <c r="F212" s="366"/>
      <c r="G212" s="636"/>
      <c r="H212" s="636"/>
      <c r="I212" s="636"/>
      <c r="J212" s="636"/>
      <c r="K212" s="636"/>
      <c r="L212" s="636"/>
      <c r="M212" s="640"/>
      <c r="N212" s="638"/>
      <c r="O212" s="638"/>
      <c r="P212" s="638"/>
    </row>
    <row r="213" spans="1:16" s="726" customFormat="1" ht="15.75">
      <c r="A213" s="634"/>
      <c r="B213" s="616"/>
      <c r="C213" s="635"/>
      <c r="D213" s="337"/>
      <c r="E213" s="337"/>
      <c r="F213" s="366"/>
      <c r="G213" s="636"/>
      <c r="H213" s="636"/>
      <c r="I213" s="636"/>
      <c r="J213" s="636"/>
      <c r="K213" s="636"/>
      <c r="L213" s="636"/>
      <c r="M213" s="640"/>
      <c r="N213" s="638"/>
      <c r="O213" s="638"/>
      <c r="P213" s="638"/>
    </row>
    <row r="214" spans="1:16" s="726" customFormat="1" ht="15.75">
      <c r="A214" s="634"/>
      <c r="B214" s="616"/>
      <c r="C214" s="635"/>
      <c r="D214" s="337"/>
      <c r="E214" s="337"/>
      <c r="F214" s="366"/>
      <c r="G214" s="636"/>
      <c r="H214" s="636"/>
      <c r="I214" s="636"/>
      <c r="J214" s="636"/>
      <c r="K214" s="636"/>
      <c r="L214" s="636"/>
      <c r="M214" s="640"/>
      <c r="N214" s="638"/>
      <c r="O214" s="638"/>
      <c r="P214" s="638"/>
    </row>
    <row r="215" spans="1:16" s="726" customFormat="1" ht="15.75">
      <c r="A215" s="634"/>
      <c r="B215" s="616"/>
      <c r="C215" s="635"/>
      <c r="D215" s="337"/>
      <c r="E215" s="337"/>
      <c r="F215" s="366"/>
      <c r="G215" s="636"/>
      <c r="H215" s="636"/>
      <c r="I215" s="636"/>
      <c r="J215" s="636"/>
      <c r="K215" s="636"/>
      <c r="L215" s="636"/>
      <c r="M215" s="640"/>
      <c r="N215" s="638"/>
      <c r="O215" s="638"/>
      <c r="P215" s="638"/>
    </row>
    <row r="216" spans="1:16" s="726" customFormat="1" ht="15.75">
      <c r="A216" s="634"/>
      <c r="B216" s="616"/>
      <c r="C216" s="635"/>
      <c r="D216" s="337"/>
      <c r="E216" s="337"/>
      <c r="F216" s="366"/>
      <c r="G216" s="636"/>
      <c r="H216" s="636"/>
      <c r="I216" s="636"/>
      <c r="J216" s="636"/>
      <c r="K216" s="636"/>
      <c r="L216" s="636"/>
      <c r="M216" s="640"/>
      <c r="N216" s="638"/>
      <c r="O216" s="638"/>
      <c r="P216" s="638"/>
    </row>
    <row r="217" spans="1:16" s="726" customFormat="1" ht="15.75">
      <c r="A217" s="634"/>
      <c r="B217" s="616"/>
      <c r="C217" s="635"/>
      <c r="D217" s="337"/>
      <c r="E217" s="337"/>
      <c r="F217" s="366"/>
      <c r="G217" s="636"/>
      <c r="H217" s="636"/>
      <c r="I217" s="636"/>
      <c r="J217" s="636"/>
      <c r="K217" s="636"/>
      <c r="L217" s="636"/>
      <c r="M217" s="640"/>
      <c r="N217" s="638"/>
      <c r="O217" s="638"/>
      <c r="P217" s="638"/>
    </row>
    <row r="218" spans="1:16" s="726" customFormat="1" ht="15.75">
      <c r="A218" s="634"/>
      <c r="B218" s="616"/>
      <c r="C218" s="635"/>
      <c r="D218" s="337"/>
      <c r="E218" s="337"/>
      <c r="F218" s="366"/>
      <c r="G218" s="636"/>
      <c r="H218" s="636"/>
      <c r="I218" s="636"/>
      <c r="J218" s="636"/>
      <c r="K218" s="636"/>
      <c r="L218" s="636"/>
      <c r="M218" s="640"/>
      <c r="N218" s="638"/>
      <c r="O218" s="638"/>
      <c r="P218" s="638"/>
    </row>
    <row r="219" spans="1:16" s="726" customFormat="1" ht="15.75">
      <c r="A219" s="634"/>
      <c r="B219" s="616"/>
      <c r="C219" s="635"/>
      <c r="D219" s="337"/>
      <c r="E219" s="337"/>
      <c r="F219" s="366"/>
      <c r="G219" s="636"/>
      <c r="H219" s="636"/>
      <c r="I219" s="636"/>
      <c r="J219" s="636"/>
      <c r="K219" s="636"/>
      <c r="L219" s="636"/>
      <c r="M219" s="640"/>
      <c r="N219" s="638"/>
      <c r="O219" s="638"/>
      <c r="P219" s="638"/>
    </row>
    <row r="220" spans="1:16" s="726" customFormat="1" ht="15.75">
      <c r="A220" s="634"/>
      <c r="B220" s="616"/>
      <c r="C220" s="635"/>
      <c r="D220" s="337"/>
      <c r="E220" s="337"/>
      <c r="F220" s="366"/>
      <c r="G220" s="636"/>
      <c r="H220" s="636"/>
      <c r="I220" s="636"/>
      <c r="J220" s="636"/>
      <c r="K220" s="636"/>
      <c r="L220" s="636"/>
      <c r="M220" s="640"/>
      <c r="N220" s="638"/>
      <c r="O220" s="638"/>
      <c r="P220" s="638"/>
    </row>
    <row r="221" spans="1:16" s="726" customFormat="1" ht="15.75">
      <c r="A221" s="634"/>
      <c r="B221" s="616"/>
      <c r="C221" s="635"/>
      <c r="D221" s="337"/>
      <c r="E221" s="337"/>
      <c r="F221" s="366"/>
      <c r="G221" s="636"/>
      <c r="H221" s="636"/>
      <c r="I221" s="636"/>
      <c r="J221" s="636"/>
      <c r="K221" s="636"/>
      <c r="L221" s="636"/>
      <c r="M221" s="640"/>
      <c r="N221" s="638"/>
      <c r="O221" s="638"/>
      <c r="P221" s="638"/>
    </row>
    <row r="222" spans="1:16" s="726" customFormat="1" ht="15.75">
      <c r="A222" s="634"/>
      <c r="B222" s="616"/>
      <c r="C222" s="635"/>
      <c r="D222" s="337"/>
      <c r="E222" s="337"/>
      <c r="F222" s="366"/>
      <c r="G222" s="636"/>
      <c r="H222" s="636"/>
      <c r="I222" s="636"/>
      <c r="J222" s="636"/>
      <c r="K222" s="636"/>
      <c r="L222" s="636"/>
      <c r="M222" s="640"/>
      <c r="N222" s="638"/>
      <c r="O222" s="638"/>
      <c r="P222" s="638"/>
    </row>
    <row r="223" spans="1:16" s="726" customFormat="1" ht="15.75">
      <c r="A223" s="634"/>
      <c r="B223" s="616"/>
      <c r="C223" s="635"/>
      <c r="D223" s="337"/>
      <c r="E223" s="337"/>
      <c r="F223" s="366"/>
      <c r="G223" s="636"/>
      <c r="H223" s="636"/>
      <c r="I223" s="636"/>
      <c r="J223" s="636"/>
      <c r="K223" s="636"/>
      <c r="L223" s="636"/>
      <c r="M223" s="640"/>
      <c r="N223" s="638"/>
      <c r="O223" s="638"/>
      <c r="P223" s="638"/>
    </row>
    <row r="224" spans="1:16" s="726" customFormat="1" ht="15.75">
      <c r="A224" s="634"/>
      <c r="B224" s="616"/>
      <c r="C224" s="635"/>
      <c r="D224" s="337"/>
      <c r="E224" s="337"/>
      <c r="F224" s="366"/>
      <c r="G224" s="636"/>
      <c r="H224" s="636"/>
      <c r="I224" s="636"/>
      <c r="J224" s="636"/>
      <c r="K224" s="636"/>
      <c r="L224" s="636"/>
      <c r="M224" s="640"/>
      <c r="N224" s="638"/>
      <c r="O224" s="638"/>
      <c r="P224" s="638"/>
    </row>
    <row r="225" spans="1:16" s="726" customFormat="1" ht="15.75">
      <c r="A225" s="634"/>
      <c r="B225" s="616"/>
      <c r="C225" s="635"/>
      <c r="D225" s="337"/>
      <c r="E225" s="337"/>
      <c r="F225" s="366"/>
      <c r="G225" s="636"/>
      <c r="H225" s="636"/>
      <c r="I225" s="636"/>
      <c r="J225" s="636"/>
      <c r="K225" s="636"/>
      <c r="L225" s="636"/>
      <c r="M225" s="640"/>
      <c r="N225" s="638"/>
      <c r="O225" s="638"/>
      <c r="P225" s="638"/>
    </row>
    <row r="226" spans="1:16" s="726" customFormat="1" ht="15.75">
      <c r="A226" s="634"/>
      <c r="B226" s="616"/>
      <c r="C226" s="635"/>
      <c r="D226" s="337"/>
      <c r="E226" s="337"/>
      <c r="F226" s="366"/>
      <c r="G226" s="636"/>
      <c r="H226" s="636"/>
      <c r="I226" s="636"/>
      <c r="J226" s="636"/>
      <c r="K226" s="636"/>
      <c r="L226" s="636"/>
      <c r="M226" s="640"/>
      <c r="N226" s="638"/>
      <c r="O226" s="638"/>
      <c r="P226" s="638"/>
    </row>
    <row r="227" spans="1:16" s="726" customFormat="1" ht="15.75">
      <c r="A227" s="634"/>
      <c r="B227" s="616"/>
      <c r="C227" s="635"/>
      <c r="D227" s="337"/>
      <c r="E227" s="337"/>
      <c r="F227" s="366"/>
      <c r="G227" s="636"/>
      <c r="H227" s="636"/>
      <c r="I227" s="636"/>
      <c r="J227" s="636"/>
      <c r="K227" s="636"/>
      <c r="L227" s="636"/>
      <c r="M227" s="640"/>
      <c r="N227" s="638"/>
      <c r="O227" s="638"/>
      <c r="P227" s="638"/>
    </row>
    <row r="228" spans="1:16" s="726" customFormat="1" ht="15.75">
      <c r="A228" s="634"/>
      <c r="B228" s="616"/>
      <c r="C228" s="635"/>
      <c r="D228" s="337"/>
      <c r="E228" s="337"/>
      <c r="F228" s="366"/>
      <c r="G228" s="636"/>
      <c r="H228" s="636"/>
      <c r="I228" s="636"/>
      <c r="J228" s="636"/>
      <c r="K228" s="636"/>
      <c r="L228" s="636"/>
      <c r="M228" s="640"/>
      <c r="N228" s="638"/>
      <c r="O228" s="638"/>
      <c r="P228" s="638"/>
    </row>
    <row r="229" spans="1:16" s="726" customFormat="1" ht="15.75">
      <c r="A229" s="634"/>
      <c r="B229" s="616"/>
      <c r="C229" s="635"/>
      <c r="D229" s="337"/>
      <c r="E229" s="337"/>
      <c r="F229" s="366"/>
      <c r="G229" s="636"/>
      <c r="H229" s="636"/>
      <c r="I229" s="636"/>
      <c r="J229" s="636"/>
      <c r="K229" s="636"/>
      <c r="L229" s="636"/>
      <c r="M229" s="640"/>
      <c r="N229" s="638"/>
      <c r="O229" s="638"/>
      <c r="P229" s="638"/>
    </row>
    <row r="230" spans="1:16" s="726" customFormat="1" ht="15.75">
      <c r="A230" s="634"/>
      <c r="B230" s="616"/>
      <c r="C230" s="635"/>
      <c r="D230" s="337"/>
      <c r="E230" s="337"/>
      <c r="F230" s="366"/>
      <c r="G230" s="636"/>
      <c r="H230" s="636"/>
      <c r="I230" s="636"/>
      <c r="J230" s="636"/>
      <c r="K230" s="636"/>
      <c r="L230" s="636"/>
      <c r="M230" s="640"/>
      <c r="N230" s="638"/>
      <c r="O230" s="638"/>
      <c r="P230" s="638"/>
    </row>
    <row r="231" spans="1:16" s="726" customFormat="1" ht="15.75">
      <c r="A231" s="634"/>
      <c r="B231" s="616"/>
      <c r="C231" s="635"/>
      <c r="D231" s="337"/>
      <c r="E231" s="337"/>
      <c r="F231" s="366"/>
      <c r="G231" s="636"/>
      <c r="H231" s="636"/>
      <c r="I231" s="636"/>
      <c r="J231" s="636"/>
      <c r="K231" s="636"/>
      <c r="L231" s="636"/>
      <c r="M231" s="640"/>
      <c r="N231" s="638"/>
      <c r="O231" s="638"/>
      <c r="P231" s="638"/>
    </row>
    <row r="232" spans="1:16" s="726" customFormat="1" ht="15.75">
      <c r="A232" s="634"/>
      <c r="B232" s="616"/>
      <c r="C232" s="635"/>
      <c r="D232" s="337"/>
      <c r="E232" s="337"/>
      <c r="F232" s="366"/>
      <c r="G232" s="636"/>
      <c r="H232" s="636"/>
      <c r="I232" s="636"/>
      <c r="J232" s="636"/>
      <c r="K232" s="636"/>
      <c r="L232" s="636"/>
      <c r="M232" s="640"/>
      <c r="N232" s="638"/>
      <c r="O232" s="638"/>
      <c r="P232" s="638"/>
    </row>
    <row r="233" spans="1:16" s="726" customFormat="1" ht="15.75">
      <c r="A233" s="634"/>
      <c r="B233" s="616"/>
      <c r="C233" s="635"/>
      <c r="D233" s="337"/>
      <c r="E233" s="337"/>
      <c r="F233" s="366"/>
      <c r="G233" s="636"/>
      <c r="H233" s="636"/>
      <c r="I233" s="636"/>
      <c r="J233" s="636"/>
      <c r="K233" s="636"/>
      <c r="L233" s="636"/>
      <c r="M233" s="640"/>
      <c r="N233" s="638"/>
      <c r="O233" s="638"/>
      <c r="P233" s="638"/>
    </row>
    <row r="234" spans="1:16" s="726" customFormat="1" ht="15.75">
      <c r="A234" s="634"/>
      <c r="B234" s="616"/>
      <c r="C234" s="635"/>
      <c r="D234" s="337"/>
      <c r="E234" s="337"/>
      <c r="F234" s="366"/>
      <c r="G234" s="636"/>
      <c r="H234" s="636"/>
      <c r="I234" s="636"/>
      <c r="J234" s="636"/>
      <c r="K234" s="636"/>
      <c r="L234" s="636"/>
      <c r="M234" s="640"/>
      <c r="N234" s="638"/>
      <c r="O234" s="638"/>
      <c r="P234" s="638"/>
    </row>
    <row r="235" spans="1:16" s="726" customFormat="1" ht="15.75">
      <c r="A235" s="634"/>
      <c r="B235" s="616"/>
      <c r="C235" s="635"/>
      <c r="D235" s="337"/>
      <c r="E235" s="337"/>
      <c r="F235" s="366"/>
      <c r="G235" s="636"/>
      <c r="H235" s="636"/>
      <c r="I235" s="636"/>
      <c r="J235" s="636"/>
      <c r="K235" s="636"/>
      <c r="L235" s="636"/>
      <c r="M235" s="640"/>
      <c r="N235" s="638"/>
      <c r="O235" s="638"/>
      <c r="P235" s="638"/>
    </row>
    <row r="236" spans="1:16" s="726" customFormat="1" ht="15.75">
      <c r="A236" s="634"/>
      <c r="B236" s="616"/>
      <c r="C236" s="635"/>
      <c r="D236" s="337"/>
      <c r="E236" s="337"/>
      <c r="F236" s="366"/>
      <c r="G236" s="636"/>
      <c r="H236" s="636"/>
      <c r="I236" s="636"/>
      <c r="J236" s="636"/>
      <c r="K236" s="636"/>
      <c r="L236" s="636"/>
      <c r="M236" s="640"/>
      <c r="N236" s="638"/>
      <c r="O236" s="638"/>
      <c r="P236" s="638"/>
    </row>
    <row r="237" spans="1:16" s="726" customFormat="1" ht="15.75">
      <c r="A237" s="634"/>
      <c r="B237" s="616"/>
      <c r="C237" s="635"/>
      <c r="D237" s="337"/>
      <c r="E237" s="337"/>
      <c r="F237" s="366"/>
      <c r="G237" s="636"/>
      <c r="H237" s="636"/>
      <c r="I237" s="636"/>
      <c r="J237" s="636"/>
      <c r="K237" s="636"/>
      <c r="L237" s="636"/>
      <c r="M237" s="640"/>
      <c r="N237" s="638"/>
      <c r="O237" s="638"/>
      <c r="P237" s="638"/>
    </row>
    <row r="238" spans="1:16" s="726" customFormat="1" ht="15.75">
      <c r="A238" s="634"/>
      <c r="B238" s="616"/>
      <c r="C238" s="635"/>
      <c r="D238" s="337"/>
      <c r="E238" s="337"/>
      <c r="F238" s="366"/>
      <c r="G238" s="636"/>
      <c r="H238" s="636"/>
      <c r="I238" s="636"/>
      <c r="J238" s="636"/>
      <c r="K238" s="636"/>
      <c r="L238" s="636"/>
      <c r="M238" s="640"/>
      <c r="N238" s="638"/>
      <c r="O238" s="638"/>
      <c r="P238" s="638"/>
    </row>
    <row r="239" spans="1:16" s="726" customFormat="1" ht="15.75">
      <c r="A239" s="634"/>
      <c r="B239" s="616"/>
      <c r="C239" s="635"/>
      <c r="D239" s="337"/>
      <c r="E239" s="337"/>
      <c r="F239" s="366"/>
      <c r="G239" s="636"/>
      <c r="H239" s="636"/>
      <c r="I239" s="636"/>
      <c r="J239" s="636"/>
      <c r="K239" s="636"/>
      <c r="L239" s="636"/>
      <c r="M239" s="640"/>
      <c r="N239" s="638"/>
      <c r="O239" s="638"/>
      <c r="P239" s="638"/>
    </row>
    <row r="240" spans="1:16" s="726" customFormat="1" ht="15.75">
      <c r="A240" s="634"/>
      <c r="B240" s="616"/>
      <c r="C240" s="635"/>
      <c r="D240" s="337"/>
      <c r="E240" s="337"/>
      <c r="F240" s="366"/>
      <c r="G240" s="636"/>
      <c r="H240" s="636"/>
      <c r="I240" s="636"/>
      <c r="J240" s="636"/>
      <c r="K240" s="636"/>
      <c r="L240" s="636"/>
      <c r="M240" s="640"/>
      <c r="N240" s="638"/>
      <c r="O240" s="638"/>
      <c r="P240" s="638"/>
    </row>
    <row r="241" spans="1:16" s="726" customFormat="1" ht="15.75">
      <c r="A241" s="634"/>
      <c r="B241" s="616"/>
      <c r="C241" s="635"/>
      <c r="D241" s="337"/>
      <c r="E241" s="337"/>
      <c r="F241" s="366"/>
      <c r="G241" s="636"/>
      <c r="H241" s="636"/>
      <c r="I241" s="636"/>
      <c r="J241" s="636"/>
      <c r="K241" s="636"/>
      <c r="L241" s="636"/>
      <c r="M241" s="640"/>
      <c r="N241" s="638"/>
      <c r="O241" s="638"/>
      <c r="P241" s="638"/>
    </row>
    <row r="242" spans="1:16" s="293" customFormat="1" ht="15.75">
      <c r="A242" s="288"/>
      <c r="B242" s="284"/>
      <c r="C242" s="289"/>
      <c r="D242" s="290"/>
      <c r="E242" s="337"/>
      <c r="F242" s="366"/>
      <c r="G242" s="291"/>
      <c r="H242" s="291"/>
      <c r="I242" s="291"/>
      <c r="J242" s="291"/>
      <c r="K242" s="291"/>
      <c r="L242" s="291"/>
      <c r="M242" s="725"/>
      <c r="N242" s="292"/>
      <c r="O242" s="292"/>
      <c r="P242" s="292"/>
    </row>
    <row r="243" spans="1:16" s="293" customFormat="1" ht="15.75">
      <c r="A243" s="288"/>
      <c r="B243" s="284"/>
      <c r="C243" s="289"/>
      <c r="D243" s="290"/>
      <c r="E243" s="337"/>
      <c r="F243" s="366"/>
      <c r="G243" s="291"/>
      <c r="H243" s="291"/>
      <c r="I243" s="291"/>
      <c r="J243" s="291"/>
      <c r="K243" s="291"/>
      <c r="L243" s="291"/>
      <c r="M243" s="725"/>
      <c r="N243" s="292"/>
      <c r="O243" s="292"/>
      <c r="P243" s="292"/>
    </row>
    <row r="244" spans="1:16" s="293" customFormat="1" ht="15.75">
      <c r="A244" s="288"/>
      <c r="B244" s="284"/>
      <c r="C244" s="289"/>
      <c r="D244" s="290"/>
      <c r="E244" s="337"/>
      <c r="F244" s="366"/>
      <c r="G244" s="291"/>
      <c r="H244" s="291"/>
      <c r="I244" s="291"/>
      <c r="J244" s="291"/>
      <c r="K244" s="291"/>
      <c r="L244" s="291"/>
      <c r="M244" s="725"/>
      <c r="N244" s="292"/>
      <c r="O244" s="292"/>
      <c r="P244" s="292"/>
    </row>
    <row r="245" spans="1:16" s="293" customFormat="1" ht="15.75">
      <c r="A245" s="288"/>
      <c r="B245" s="284"/>
      <c r="C245" s="289"/>
      <c r="D245" s="290"/>
      <c r="E245" s="337"/>
      <c r="F245" s="366"/>
      <c r="G245" s="291"/>
      <c r="H245" s="291"/>
      <c r="I245" s="291"/>
      <c r="J245" s="291"/>
      <c r="K245" s="291"/>
      <c r="L245" s="291"/>
      <c r="M245" s="725"/>
      <c r="N245" s="292"/>
      <c r="O245" s="292"/>
      <c r="P245" s="292"/>
    </row>
    <row r="246" spans="1:16" s="293" customFormat="1" ht="15.75">
      <c r="A246" s="288"/>
      <c r="B246" s="284"/>
      <c r="C246" s="289"/>
      <c r="D246" s="290"/>
      <c r="E246" s="337"/>
      <c r="F246" s="366"/>
      <c r="G246" s="291"/>
      <c r="H246" s="291"/>
      <c r="I246" s="291"/>
      <c r="J246" s="291"/>
      <c r="K246" s="291"/>
      <c r="L246" s="291"/>
      <c r="M246" s="725"/>
      <c r="N246" s="292"/>
      <c r="O246" s="292"/>
      <c r="P246" s="292"/>
    </row>
    <row r="247" spans="1:16" s="293" customFormat="1" ht="15.75">
      <c r="A247" s="288"/>
      <c r="B247" s="284"/>
      <c r="C247" s="289"/>
      <c r="D247" s="290"/>
      <c r="E247" s="337"/>
      <c r="F247" s="366"/>
      <c r="G247" s="291"/>
      <c r="H247" s="291"/>
      <c r="I247" s="291"/>
      <c r="J247" s="291"/>
      <c r="K247" s="291"/>
      <c r="L247" s="291"/>
      <c r="M247" s="725"/>
      <c r="N247" s="292"/>
      <c r="O247" s="292"/>
      <c r="P247" s="292"/>
    </row>
    <row r="248" spans="1:16" s="293" customFormat="1" ht="15.75">
      <c r="A248" s="288"/>
      <c r="B248" s="284"/>
      <c r="C248" s="289"/>
      <c r="D248" s="290"/>
      <c r="E248" s="337"/>
      <c r="F248" s="366"/>
      <c r="G248" s="291"/>
      <c r="H248" s="291"/>
      <c r="I248" s="291"/>
      <c r="J248" s="291"/>
      <c r="K248" s="291"/>
      <c r="L248" s="291"/>
      <c r="M248" s="725"/>
      <c r="N248" s="292"/>
      <c r="O248" s="292"/>
      <c r="P248" s="292"/>
    </row>
    <row r="249" spans="1:16" s="293" customFormat="1" ht="15.75">
      <c r="A249" s="288"/>
      <c r="B249" s="284"/>
      <c r="C249" s="289"/>
      <c r="D249" s="290"/>
      <c r="E249" s="337"/>
      <c r="F249" s="366"/>
      <c r="G249" s="291"/>
      <c r="H249" s="291"/>
      <c r="I249" s="291"/>
      <c r="J249" s="291"/>
      <c r="K249" s="291"/>
      <c r="L249" s="291"/>
      <c r="M249" s="725"/>
      <c r="N249" s="292"/>
      <c r="O249" s="292"/>
      <c r="P249" s="292"/>
    </row>
    <row r="250" spans="1:16" s="293" customFormat="1" ht="15.75">
      <c r="A250" s="288"/>
      <c r="B250" s="284"/>
      <c r="C250" s="289"/>
      <c r="D250" s="290"/>
      <c r="E250" s="337"/>
      <c r="F250" s="366"/>
      <c r="G250" s="291"/>
      <c r="H250" s="291"/>
      <c r="I250" s="291"/>
      <c r="J250" s="291"/>
      <c r="K250" s="291"/>
      <c r="L250" s="291"/>
      <c r="M250" s="725"/>
      <c r="N250" s="292"/>
      <c r="O250" s="292"/>
      <c r="P250" s="292"/>
    </row>
    <row r="251" spans="1:16" s="293" customFormat="1" ht="15.75">
      <c r="A251" s="288"/>
      <c r="B251" s="284"/>
      <c r="C251" s="289"/>
      <c r="D251" s="290"/>
      <c r="E251" s="337"/>
      <c r="F251" s="366"/>
      <c r="G251" s="291"/>
      <c r="H251" s="291"/>
      <c r="I251" s="291"/>
      <c r="J251" s="291"/>
      <c r="K251" s="291"/>
      <c r="L251" s="291"/>
      <c r="M251" s="725"/>
      <c r="N251" s="292"/>
      <c r="O251" s="292"/>
      <c r="P251" s="292"/>
    </row>
    <row r="252" spans="1:16" s="293" customFormat="1" ht="15.75">
      <c r="A252" s="288"/>
      <c r="B252" s="284"/>
      <c r="C252" s="289"/>
      <c r="D252" s="290"/>
      <c r="E252" s="337"/>
      <c r="F252" s="366"/>
      <c r="G252" s="291"/>
      <c r="H252" s="291"/>
      <c r="I252" s="291"/>
      <c r="J252" s="291"/>
      <c r="K252" s="291"/>
      <c r="L252" s="291"/>
      <c r="M252" s="725"/>
      <c r="N252" s="292"/>
      <c r="O252" s="292"/>
      <c r="P252" s="292"/>
    </row>
    <row r="253" spans="1:16" s="293" customFormat="1" ht="15.75">
      <c r="A253" s="288"/>
      <c r="B253" s="284"/>
      <c r="C253" s="289"/>
      <c r="D253" s="290"/>
      <c r="E253" s="337"/>
      <c r="F253" s="366"/>
      <c r="G253" s="291"/>
      <c r="H253" s="291"/>
      <c r="I253" s="291"/>
      <c r="J253" s="291"/>
      <c r="K253" s="291"/>
      <c r="L253" s="291"/>
      <c r="M253" s="725"/>
      <c r="N253" s="292"/>
      <c r="O253" s="292"/>
      <c r="P253" s="292"/>
    </row>
    <row r="254" spans="1:16" s="293" customFormat="1" ht="15.75">
      <c r="A254" s="288"/>
      <c r="B254" s="284"/>
      <c r="C254" s="289"/>
      <c r="D254" s="290"/>
      <c r="E254" s="337"/>
      <c r="F254" s="366"/>
      <c r="G254" s="291"/>
      <c r="H254" s="291"/>
      <c r="I254" s="291"/>
      <c r="J254" s="291"/>
      <c r="K254" s="291"/>
      <c r="L254" s="291"/>
      <c r="M254" s="725"/>
      <c r="N254" s="292"/>
      <c r="O254" s="292"/>
      <c r="P254" s="292"/>
    </row>
    <row r="255" spans="1:16" s="293" customFormat="1" ht="15.75">
      <c r="A255" s="288"/>
      <c r="B255" s="284"/>
      <c r="C255" s="289"/>
      <c r="D255" s="290"/>
      <c r="E255" s="337"/>
      <c r="F255" s="366"/>
      <c r="G255" s="291"/>
      <c r="H255" s="291"/>
      <c r="I255" s="291"/>
      <c r="J255" s="291"/>
      <c r="K255" s="291"/>
      <c r="L255" s="291"/>
      <c r="M255" s="725"/>
      <c r="N255" s="292"/>
      <c r="O255" s="292"/>
      <c r="P255" s="292"/>
    </row>
    <row r="256" spans="1:16" s="293" customFormat="1" ht="15.75">
      <c r="A256" s="288"/>
      <c r="B256" s="284"/>
      <c r="C256" s="289"/>
      <c r="D256" s="290"/>
      <c r="E256" s="337"/>
      <c r="F256" s="366"/>
      <c r="G256" s="291"/>
      <c r="H256" s="291"/>
      <c r="I256" s="291"/>
      <c r="J256" s="291"/>
      <c r="K256" s="291"/>
      <c r="L256" s="291"/>
      <c r="M256" s="725"/>
      <c r="N256" s="292"/>
      <c r="O256" s="292"/>
      <c r="P256" s="292"/>
    </row>
    <row r="257" spans="1:16" s="293" customFormat="1" ht="15.75">
      <c r="A257" s="288"/>
      <c r="B257" s="284"/>
      <c r="C257" s="289"/>
      <c r="D257" s="290"/>
      <c r="E257" s="337"/>
      <c r="F257" s="366"/>
      <c r="G257" s="291"/>
      <c r="H257" s="291"/>
      <c r="I257" s="291"/>
      <c r="J257" s="291"/>
      <c r="K257" s="291"/>
      <c r="L257" s="291"/>
      <c r="M257" s="725"/>
      <c r="N257" s="292"/>
      <c r="O257" s="292"/>
      <c r="P257" s="292"/>
    </row>
    <row r="258" spans="1:16" s="293" customFormat="1" ht="15.75">
      <c r="A258" s="288"/>
      <c r="B258" s="284"/>
      <c r="C258" s="289"/>
      <c r="D258" s="290"/>
      <c r="E258" s="337"/>
      <c r="F258" s="366"/>
      <c r="G258" s="291"/>
      <c r="H258" s="291"/>
      <c r="I258" s="291"/>
      <c r="J258" s="291"/>
      <c r="K258" s="291"/>
      <c r="L258" s="291"/>
      <c r="M258" s="725"/>
      <c r="N258" s="292"/>
      <c r="O258" s="292"/>
      <c r="P258" s="292"/>
    </row>
    <row r="259" spans="1:16" s="293" customFormat="1" ht="15.75">
      <c r="A259" s="288"/>
      <c r="B259" s="284"/>
      <c r="C259" s="289"/>
      <c r="D259" s="290"/>
      <c r="E259" s="337"/>
      <c r="F259" s="366"/>
      <c r="G259" s="291"/>
      <c r="H259" s="291"/>
      <c r="I259" s="291"/>
      <c r="J259" s="291"/>
      <c r="K259" s="291"/>
      <c r="L259" s="291"/>
      <c r="M259" s="725"/>
      <c r="N259" s="292"/>
      <c r="O259" s="292"/>
      <c r="P259" s="292"/>
    </row>
    <row r="260" spans="1:16" s="293" customFormat="1" ht="15.75">
      <c r="A260" s="288"/>
      <c r="B260" s="284"/>
      <c r="C260" s="289"/>
      <c r="D260" s="290"/>
      <c r="E260" s="337"/>
      <c r="F260" s="366"/>
      <c r="G260" s="291"/>
      <c r="H260" s="291"/>
      <c r="I260" s="291"/>
      <c r="J260" s="291"/>
      <c r="K260" s="291"/>
      <c r="L260" s="291"/>
      <c r="M260" s="725"/>
      <c r="N260" s="292"/>
      <c r="O260" s="292"/>
      <c r="P260" s="292"/>
    </row>
    <row r="261" spans="1:16" s="293" customFormat="1" ht="15.75">
      <c r="A261" s="288"/>
      <c r="B261" s="284"/>
      <c r="C261" s="289"/>
      <c r="D261" s="290"/>
      <c r="E261" s="337"/>
      <c r="F261" s="366"/>
      <c r="G261" s="291"/>
      <c r="H261" s="291"/>
      <c r="I261" s="291"/>
      <c r="J261" s="291"/>
      <c r="K261" s="291"/>
      <c r="L261" s="291"/>
      <c r="M261" s="725"/>
      <c r="N261" s="292"/>
      <c r="O261" s="292"/>
      <c r="P261" s="292"/>
    </row>
    <row r="262" spans="1:16" s="293" customFormat="1" ht="15.75">
      <c r="A262" s="288"/>
      <c r="B262" s="284"/>
      <c r="C262" s="289"/>
      <c r="D262" s="290"/>
      <c r="E262" s="337"/>
      <c r="F262" s="366"/>
      <c r="G262" s="291"/>
      <c r="H262" s="291"/>
      <c r="I262" s="291"/>
      <c r="J262" s="291"/>
      <c r="K262" s="291"/>
      <c r="L262" s="291"/>
      <c r="M262" s="725"/>
      <c r="N262" s="292"/>
      <c r="O262" s="292"/>
      <c r="P262" s="292"/>
    </row>
    <row r="263" spans="1:16" s="293" customFormat="1" ht="15.75">
      <c r="A263" s="288"/>
      <c r="B263" s="284"/>
      <c r="C263" s="289"/>
      <c r="D263" s="290"/>
      <c r="E263" s="337"/>
      <c r="F263" s="366"/>
      <c r="G263" s="291"/>
      <c r="H263" s="291"/>
      <c r="I263" s="291"/>
      <c r="J263" s="291"/>
      <c r="K263" s="291"/>
      <c r="L263" s="291"/>
      <c r="M263" s="725"/>
      <c r="N263" s="292"/>
      <c r="O263" s="292"/>
      <c r="P263" s="292"/>
    </row>
    <row r="264" spans="1:16" s="293" customFormat="1" ht="15.75">
      <c r="A264" s="288"/>
      <c r="B264" s="284"/>
      <c r="C264" s="289"/>
      <c r="D264" s="290"/>
      <c r="E264" s="337"/>
      <c r="F264" s="366"/>
      <c r="G264" s="291"/>
      <c r="H264" s="291"/>
      <c r="I264" s="291"/>
      <c r="J264" s="291"/>
      <c r="K264" s="291"/>
      <c r="L264" s="291"/>
      <c r="M264" s="725"/>
      <c r="N264" s="292"/>
      <c r="O264" s="292"/>
      <c r="P264" s="292"/>
    </row>
    <row r="265" spans="1:16" s="293" customFormat="1" ht="15.75">
      <c r="A265" s="288"/>
      <c r="B265" s="284"/>
      <c r="C265" s="289"/>
      <c r="D265" s="290"/>
      <c r="E265" s="337"/>
      <c r="F265" s="366"/>
      <c r="G265" s="291"/>
      <c r="H265" s="291"/>
      <c r="I265" s="291"/>
      <c r="J265" s="291"/>
      <c r="K265" s="291"/>
      <c r="L265" s="291"/>
      <c r="M265" s="725"/>
      <c r="N265" s="292"/>
      <c r="O265" s="292"/>
      <c r="P265" s="292"/>
    </row>
    <row r="266" spans="1:16" s="293" customFormat="1" ht="15.75">
      <c r="A266" s="288"/>
      <c r="B266" s="284"/>
      <c r="C266" s="289"/>
      <c r="D266" s="290"/>
      <c r="E266" s="337"/>
      <c r="F266" s="366"/>
      <c r="G266" s="291"/>
      <c r="H266" s="291"/>
      <c r="I266" s="291"/>
      <c r="J266" s="291"/>
      <c r="K266" s="291"/>
      <c r="L266" s="291"/>
      <c r="M266" s="725"/>
      <c r="N266" s="292"/>
      <c r="O266" s="292"/>
      <c r="P266" s="292"/>
    </row>
    <row r="267" spans="1:16" s="293" customFormat="1" ht="15.75">
      <c r="A267" s="288"/>
      <c r="B267" s="284"/>
      <c r="C267" s="289"/>
      <c r="D267" s="290"/>
      <c r="E267" s="337"/>
      <c r="F267" s="366"/>
      <c r="G267" s="291"/>
      <c r="H267" s="291"/>
      <c r="I267" s="291"/>
      <c r="J267" s="291"/>
      <c r="K267" s="291"/>
      <c r="L267" s="291"/>
      <c r="M267" s="725"/>
      <c r="N267" s="292"/>
      <c r="O267" s="292"/>
      <c r="P267" s="292"/>
    </row>
    <row r="268" spans="1:16" s="293" customFormat="1" ht="15.75">
      <c r="A268" s="288"/>
      <c r="B268" s="284"/>
      <c r="C268" s="289"/>
      <c r="D268" s="290"/>
      <c r="E268" s="337"/>
      <c r="F268" s="366"/>
      <c r="G268" s="291"/>
      <c r="H268" s="291"/>
      <c r="I268" s="291"/>
      <c r="J268" s="291"/>
      <c r="K268" s="291"/>
      <c r="L268" s="291"/>
      <c r="M268" s="725"/>
      <c r="N268" s="292"/>
      <c r="O268" s="292"/>
      <c r="P268" s="292"/>
    </row>
    <row r="269" spans="1:16" s="293" customFormat="1" ht="15.75">
      <c r="A269" s="288"/>
      <c r="B269" s="284"/>
      <c r="C269" s="289"/>
      <c r="D269" s="290"/>
      <c r="E269" s="337"/>
      <c r="F269" s="366"/>
      <c r="G269" s="291"/>
      <c r="H269" s="291"/>
      <c r="I269" s="291"/>
      <c r="J269" s="291"/>
      <c r="K269" s="291"/>
      <c r="L269" s="291"/>
      <c r="M269" s="725"/>
      <c r="N269" s="292"/>
      <c r="O269" s="292"/>
      <c r="P269" s="292"/>
    </row>
    <row r="270" spans="1:16" s="293" customFormat="1" ht="15.75">
      <c r="A270" s="288"/>
      <c r="B270" s="284"/>
      <c r="C270" s="289"/>
      <c r="D270" s="290"/>
      <c r="E270" s="337"/>
      <c r="F270" s="366"/>
      <c r="G270" s="291"/>
      <c r="H270" s="291"/>
      <c r="I270" s="291"/>
      <c r="J270" s="291"/>
      <c r="K270" s="291"/>
      <c r="L270" s="291"/>
      <c r="M270" s="725"/>
      <c r="N270" s="292"/>
      <c r="O270" s="292"/>
      <c r="P270" s="292"/>
    </row>
    <row r="271" spans="1:16" s="293" customFormat="1" ht="15.75">
      <c r="A271" s="288"/>
      <c r="B271" s="284"/>
      <c r="C271" s="289"/>
      <c r="D271" s="290"/>
      <c r="E271" s="337"/>
      <c r="F271" s="366"/>
      <c r="G271" s="291"/>
      <c r="H271" s="291"/>
      <c r="I271" s="291"/>
      <c r="J271" s="291"/>
      <c r="K271" s="291"/>
      <c r="L271" s="291"/>
      <c r="M271" s="725"/>
      <c r="N271" s="292"/>
      <c r="O271" s="292"/>
      <c r="P271" s="292"/>
    </row>
    <row r="272" spans="1:16" s="293" customFormat="1" ht="15.75">
      <c r="A272" s="288"/>
      <c r="B272" s="284"/>
      <c r="C272" s="289"/>
      <c r="D272" s="290"/>
      <c r="E272" s="337"/>
      <c r="F272" s="366"/>
      <c r="G272" s="291"/>
      <c r="H272" s="291"/>
      <c r="I272" s="291"/>
      <c r="J272" s="291"/>
      <c r="K272" s="291"/>
      <c r="L272" s="291"/>
      <c r="M272" s="725"/>
      <c r="N272" s="292"/>
      <c r="O272" s="292"/>
      <c r="P272" s="292"/>
    </row>
    <row r="273" spans="1:16" s="293" customFormat="1" ht="15.75">
      <c r="A273" s="288"/>
      <c r="B273" s="284"/>
      <c r="C273" s="289"/>
      <c r="D273" s="290"/>
      <c r="E273" s="337"/>
      <c r="F273" s="366"/>
      <c r="G273" s="291"/>
      <c r="H273" s="291"/>
      <c r="I273" s="291"/>
      <c r="J273" s="291"/>
      <c r="K273" s="291"/>
      <c r="L273" s="291"/>
      <c r="M273" s="725"/>
      <c r="N273" s="292"/>
      <c r="O273" s="292"/>
      <c r="P273" s="292"/>
    </row>
    <row r="274" spans="1:16" s="293" customFormat="1" ht="15.75">
      <c r="A274" s="288"/>
      <c r="B274" s="284"/>
      <c r="C274" s="289"/>
      <c r="D274" s="290"/>
      <c r="E274" s="337"/>
      <c r="F274" s="366"/>
      <c r="G274" s="291"/>
      <c r="H274" s="291"/>
      <c r="I274" s="291"/>
      <c r="J274" s="291"/>
      <c r="K274" s="291"/>
      <c r="L274" s="291"/>
      <c r="M274" s="725"/>
      <c r="N274" s="292"/>
      <c r="O274" s="292"/>
      <c r="P274" s="292"/>
    </row>
    <row r="275" spans="1:16" s="293" customFormat="1" ht="15.75">
      <c r="A275" s="288"/>
      <c r="B275" s="284"/>
      <c r="C275" s="289"/>
      <c r="D275" s="290"/>
      <c r="E275" s="337"/>
      <c r="F275" s="366"/>
      <c r="G275" s="291"/>
      <c r="H275" s="291"/>
      <c r="I275" s="291"/>
      <c r="J275" s="291"/>
      <c r="K275" s="291"/>
      <c r="L275" s="291"/>
      <c r="M275" s="725"/>
      <c r="N275" s="292"/>
      <c r="O275" s="292"/>
      <c r="P275" s="292"/>
    </row>
    <row r="276" spans="1:16" s="293" customFormat="1" ht="15.75">
      <c r="A276" s="288"/>
      <c r="B276" s="284"/>
      <c r="C276" s="289"/>
      <c r="D276" s="290"/>
      <c r="E276" s="337"/>
      <c r="F276" s="366"/>
      <c r="G276" s="291"/>
      <c r="H276" s="291"/>
      <c r="I276" s="291"/>
      <c r="J276" s="291"/>
      <c r="K276" s="291"/>
      <c r="L276" s="291"/>
      <c r="M276" s="725"/>
      <c r="N276" s="292"/>
      <c r="O276" s="292"/>
      <c r="P276" s="292"/>
    </row>
    <row r="277" spans="1:16" s="293" customFormat="1" ht="15.75">
      <c r="A277" s="288"/>
      <c r="B277" s="284"/>
      <c r="C277" s="289"/>
      <c r="D277" s="290"/>
      <c r="E277" s="337"/>
      <c r="F277" s="366"/>
      <c r="G277" s="291"/>
      <c r="H277" s="291"/>
      <c r="I277" s="291"/>
      <c r="J277" s="291"/>
      <c r="K277" s="291"/>
      <c r="L277" s="291"/>
      <c r="M277" s="725"/>
      <c r="N277" s="292"/>
      <c r="O277" s="292"/>
      <c r="P277" s="292"/>
    </row>
    <row r="278" spans="1:16" s="293" customFormat="1" ht="15.75">
      <c r="A278" s="288"/>
      <c r="B278" s="284"/>
      <c r="C278" s="289"/>
      <c r="D278" s="290"/>
      <c r="E278" s="337"/>
      <c r="F278" s="366"/>
      <c r="G278" s="291"/>
      <c r="H278" s="291"/>
      <c r="I278" s="291"/>
      <c r="J278" s="291"/>
      <c r="K278" s="291"/>
      <c r="L278" s="291"/>
      <c r="M278" s="725"/>
      <c r="N278" s="292"/>
      <c r="O278" s="292"/>
      <c r="P278" s="292"/>
    </row>
    <row r="279" spans="1:16" s="293" customFormat="1" ht="15.75">
      <c r="A279" s="288"/>
      <c r="B279" s="284"/>
      <c r="C279" s="289"/>
      <c r="D279" s="290"/>
      <c r="E279" s="337"/>
      <c r="F279" s="366"/>
      <c r="G279" s="291"/>
      <c r="H279" s="291"/>
      <c r="I279" s="291"/>
      <c r="J279" s="291"/>
      <c r="K279" s="291"/>
      <c r="L279" s="291"/>
      <c r="M279" s="725"/>
      <c r="N279" s="292"/>
      <c r="O279" s="292"/>
      <c r="P279" s="292"/>
    </row>
    <row r="280" spans="1:16" s="293" customFormat="1" ht="15.75">
      <c r="A280" s="288"/>
      <c r="B280" s="284"/>
      <c r="C280" s="289"/>
      <c r="D280" s="290"/>
      <c r="E280" s="337"/>
      <c r="F280" s="366"/>
      <c r="G280" s="291"/>
      <c r="H280" s="291"/>
      <c r="I280" s="291"/>
      <c r="J280" s="291"/>
      <c r="K280" s="291"/>
      <c r="L280" s="291"/>
      <c r="M280" s="725"/>
      <c r="N280" s="292"/>
      <c r="O280" s="292"/>
      <c r="P280" s="292"/>
    </row>
    <row r="281" spans="2:16" s="293" customFormat="1" ht="15.75">
      <c r="B281" s="294"/>
      <c r="C281" s="292"/>
      <c r="D281" s="295"/>
      <c r="E281" s="229"/>
      <c r="F281" s="213"/>
      <c r="G281" s="296"/>
      <c r="H281" s="296"/>
      <c r="I281" s="296"/>
      <c r="J281" s="296"/>
      <c r="K281" s="296"/>
      <c r="L281" s="296"/>
      <c r="M281" s="725"/>
      <c r="N281" s="292"/>
      <c r="O281" s="292"/>
      <c r="P281" s="292"/>
    </row>
    <row r="282" spans="2:16" s="293" customFormat="1" ht="15.75">
      <c r="B282" s="294"/>
      <c r="C282" s="292"/>
      <c r="D282" s="295"/>
      <c r="E282" s="229"/>
      <c r="F282" s="213"/>
      <c r="G282" s="296"/>
      <c r="H282" s="296"/>
      <c r="I282" s="296"/>
      <c r="J282" s="296"/>
      <c r="K282" s="296"/>
      <c r="L282" s="296"/>
      <c r="M282" s="725"/>
      <c r="N282" s="292"/>
      <c r="O282" s="292"/>
      <c r="P282" s="292"/>
    </row>
    <row r="283" spans="2:16" s="293" customFormat="1" ht="15.75">
      <c r="B283" s="294"/>
      <c r="C283" s="292"/>
      <c r="D283" s="295"/>
      <c r="E283" s="229"/>
      <c r="F283" s="213"/>
      <c r="G283" s="296"/>
      <c r="H283" s="296"/>
      <c r="I283" s="296"/>
      <c r="J283" s="296"/>
      <c r="K283" s="296"/>
      <c r="L283" s="296"/>
      <c r="M283" s="725"/>
      <c r="N283" s="292"/>
      <c r="O283" s="292"/>
      <c r="P283" s="292"/>
    </row>
    <row r="284" spans="2:16" s="293" customFormat="1" ht="15.75">
      <c r="B284" s="294"/>
      <c r="C284" s="292"/>
      <c r="D284" s="295"/>
      <c r="E284" s="229"/>
      <c r="F284" s="213"/>
      <c r="G284" s="296"/>
      <c r="H284" s="296"/>
      <c r="I284" s="296"/>
      <c r="J284" s="296"/>
      <c r="K284" s="296"/>
      <c r="L284" s="296"/>
      <c r="M284" s="725"/>
      <c r="N284" s="292"/>
      <c r="O284" s="292"/>
      <c r="P284" s="292"/>
    </row>
    <row r="285" spans="7:13" ht="15.75">
      <c r="G285" s="296"/>
      <c r="H285" s="296"/>
      <c r="J285" s="296"/>
      <c r="L285" s="296"/>
      <c r="M285" s="725"/>
    </row>
    <row r="286" spans="7:13" ht="15.75">
      <c r="G286" s="296"/>
      <c r="H286" s="296"/>
      <c r="J286" s="296"/>
      <c r="L286" s="296"/>
      <c r="M286" s="725"/>
    </row>
    <row r="328" spans="1:23" s="295" customFormat="1" ht="15.75">
      <c r="A328" s="287"/>
      <c r="B328" s="294"/>
      <c r="E328" s="229"/>
      <c r="F328" s="213"/>
      <c r="G328" s="286"/>
      <c r="H328" s="286"/>
      <c r="I328" s="296"/>
      <c r="J328" s="286"/>
      <c r="K328" s="296"/>
      <c r="L328" s="286"/>
      <c r="M328" s="285"/>
      <c r="N328" s="292"/>
      <c r="O328" s="292"/>
      <c r="P328" s="292"/>
      <c r="Q328" s="292"/>
      <c r="R328" s="292"/>
      <c r="S328" s="292"/>
      <c r="T328" s="292"/>
      <c r="U328" s="292"/>
      <c r="V328" s="292"/>
      <c r="W328" s="292"/>
    </row>
    <row r="329" spans="1:23" s="295" customFormat="1" ht="15.75">
      <c r="A329" s="287"/>
      <c r="B329" s="294"/>
      <c r="E329" s="229"/>
      <c r="F329" s="213"/>
      <c r="G329" s="286"/>
      <c r="H329" s="286"/>
      <c r="I329" s="296"/>
      <c r="J329" s="286"/>
      <c r="K329" s="296"/>
      <c r="L329" s="286"/>
      <c r="M329" s="285"/>
      <c r="N329" s="292"/>
      <c r="O329" s="292"/>
      <c r="P329" s="292"/>
      <c r="Q329" s="292"/>
      <c r="R329" s="292"/>
      <c r="S329" s="292"/>
      <c r="T329" s="292"/>
      <c r="U329" s="292"/>
      <c r="V329" s="292"/>
      <c r="W329" s="292"/>
    </row>
    <row r="330" spans="1:23" s="295" customFormat="1" ht="15.75">
      <c r="A330" s="287"/>
      <c r="B330" s="294"/>
      <c r="E330" s="229"/>
      <c r="F330" s="213"/>
      <c r="G330" s="286"/>
      <c r="H330" s="286"/>
      <c r="I330" s="296"/>
      <c r="J330" s="286"/>
      <c r="K330" s="296"/>
      <c r="L330" s="286"/>
      <c r="M330" s="285"/>
      <c r="N330" s="292"/>
      <c r="O330" s="292"/>
      <c r="P330" s="292"/>
      <c r="Q330" s="292"/>
      <c r="R330" s="292"/>
      <c r="S330" s="292"/>
      <c r="T330" s="292"/>
      <c r="U330" s="292"/>
      <c r="V330" s="292"/>
      <c r="W330" s="292"/>
    </row>
    <row r="331" spans="1:23" s="295" customFormat="1" ht="15.75">
      <c r="A331" s="287"/>
      <c r="B331" s="294"/>
      <c r="E331" s="229"/>
      <c r="F331" s="213"/>
      <c r="G331" s="286"/>
      <c r="H331" s="286"/>
      <c r="I331" s="296"/>
      <c r="J331" s="286"/>
      <c r="K331" s="296"/>
      <c r="L331" s="286"/>
      <c r="M331" s="285"/>
      <c r="N331" s="292"/>
      <c r="O331" s="292"/>
      <c r="P331" s="292"/>
      <c r="Q331" s="292"/>
      <c r="R331" s="292"/>
      <c r="S331" s="292"/>
      <c r="T331" s="292"/>
      <c r="U331" s="292"/>
      <c r="V331" s="292"/>
      <c r="W331" s="292"/>
    </row>
    <row r="332" spans="1:23" s="295" customFormat="1" ht="15.75">
      <c r="A332" s="287"/>
      <c r="B332" s="294"/>
      <c r="E332" s="229"/>
      <c r="F332" s="213"/>
      <c r="G332" s="286"/>
      <c r="H332" s="286"/>
      <c r="I332" s="296"/>
      <c r="J332" s="286"/>
      <c r="K332" s="296"/>
      <c r="L332" s="286"/>
      <c r="M332" s="285"/>
      <c r="N332" s="292"/>
      <c r="O332" s="292"/>
      <c r="P332" s="292"/>
      <c r="Q332" s="292"/>
      <c r="R332" s="292"/>
      <c r="S332" s="292"/>
      <c r="T332" s="292"/>
      <c r="U332" s="292"/>
      <c r="V332" s="292"/>
      <c r="W332" s="292"/>
    </row>
    <row r="333" spans="1:23" s="295" customFormat="1" ht="15.75">
      <c r="A333" s="287"/>
      <c r="B333" s="294"/>
      <c r="E333" s="229"/>
      <c r="F333" s="213"/>
      <c r="G333" s="286"/>
      <c r="H333" s="286"/>
      <c r="I333" s="296"/>
      <c r="J333" s="286"/>
      <c r="K333" s="296"/>
      <c r="L333" s="286"/>
      <c r="M333" s="285"/>
      <c r="N333" s="292"/>
      <c r="O333" s="292"/>
      <c r="P333" s="292"/>
      <c r="Q333" s="292"/>
      <c r="R333" s="292"/>
      <c r="S333" s="292"/>
      <c r="T333" s="292"/>
      <c r="U333" s="292"/>
      <c r="V333" s="292"/>
      <c r="W333" s="292"/>
    </row>
    <row r="334" spans="1:23" s="295" customFormat="1" ht="15.75">
      <c r="A334" s="287"/>
      <c r="B334" s="294"/>
      <c r="E334" s="229"/>
      <c r="F334" s="213"/>
      <c r="G334" s="286"/>
      <c r="H334" s="286"/>
      <c r="I334" s="296"/>
      <c r="J334" s="286"/>
      <c r="K334" s="296"/>
      <c r="L334" s="286"/>
      <c r="M334" s="285"/>
      <c r="N334" s="292"/>
      <c r="O334" s="292"/>
      <c r="P334" s="292"/>
      <c r="Q334" s="292"/>
      <c r="R334" s="292"/>
      <c r="S334" s="292"/>
      <c r="T334" s="292"/>
      <c r="U334" s="292"/>
      <c r="V334" s="292"/>
      <c r="W334" s="292"/>
    </row>
    <row r="335" spans="1:23" s="295" customFormat="1" ht="15.75">
      <c r="A335" s="287"/>
      <c r="B335" s="294"/>
      <c r="E335" s="229"/>
      <c r="F335" s="213"/>
      <c r="G335" s="286"/>
      <c r="H335" s="286"/>
      <c r="I335" s="296"/>
      <c r="J335" s="286"/>
      <c r="K335" s="296"/>
      <c r="L335" s="286"/>
      <c r="M335" s="285"/>
      <c r="N335" s="292"/>
      <c r="O335" s="292"/>
      <c r="P335" s="292"/>
      <c r="Q335" s="292"/>
      <c r="R335" s="292"/>
      <c r="S335" s="292"/>
      <c r="T335" s="292"/>
      <c r="U335" s="292"/>
      <c r="V335" s="292"/>
      <c r="W335" s="292"/>
    </row>
    <row r="336" spans="1:23" s="295" customFormat="1" ht="15.75">
      <c r="A336" s="287"/>
      <c r="B336" s="294"/>
      <c r="E336" s="229"/>
      <c r="F336" s="213"/>
      <c r="G336" s="286"/>
      <c r="H336" s="286"/>
      <c r="I336" s="296"/>
      <c r="J336" s="286"/>
      <c r="K336" s="296"/>
      <c r="L336" s="286"/>
      <c r="M336" s="285"/>
      <c r="N336" s="292"/>
      <c r="O336" s="292"/>
      <c r="P336" s="292"/>
      <c r="Q336" s="292"/>
      <c r="R336" s="292"/>
      <c r="S336" s="292"/>
      <c r="T336" s="292"/>
      <c r="U336" s="292"/>
      <c r="V336" s="292"/>
      <c r="W336" s="292"/>
    </row>
    <row r="337" spans="1:23" s="295" customFormat="1" ht="15.75">
      <c r="A337" s="287"/>
      <c r="B337" s="294"/>
      <c r="E337" s="229"/>
      <c r="F337" s="213"/>
      <c r="G337" s="286"/>
      <c r="H337" s="286"/>
      <c r="I337" s="296"/>
      <c r="J337" s="286"/>
      <c r="K337" s="296"/>
      <c r="L337" s="286"/>
      <c r="M337" s="285"/>
      <c r="N337" s="292"/>
      <c r="O337" s="292"/>
      <c r="P337" s="292"/>
      <c r="Q337" s="292"/>
      <c r="R337" s="292"/>
      <c r="S337" s="292"/>
      <c r="T337" s="292"/>
      <c r="U337" s="292"/>
      <c r="V337" s="292"/>
      <c r="W337" s="292"/>
    </row>
    <row r="338" spans="1:23" s="295" customFormat="1" ht="15.75">
      <c r="A338" s="287"/>
      <c r="B338" s="294"/>
      <c r="E338" s="229"/>
      <c r="F338" s="213"/>
      <c r="G338" s="286"/>
      <c r="H338" s="286"/>
      <c r="I338" s="296"/>
      <c r="J338" s="286"/>
      <c r="K338" s="296"/>
      <c r="L338" s="286"/>
      <c r="M338" s="285"/>
      <c r="N338" s="292"/>
      <c r="O338" s="292"/>
      <c r="P338" s="292"/>
      <c r="Q338" s="292"/>
      <c r="R338" s="292"/>
      <c r="S338" s="292"/>
      <c r="T338" s="292"/>
      <c r="U338" s="292"/>
      <c r="V338" s="292"/>
      <c r="W338" s="292"/>
    </row>
    <row r="339" spans="1:23" s="295" customFormat="1" ht="15.75">
      <c r="A339" s="287"/>
      <c r="B339" s="294"/>
      <c r="E339" s="229"/>
      <c r="F339" s="213"/>
      <c r="G339" s="286"/>
      <c r="H339" s="286"/>
      <c r="I339" s="296"/>
      <c r="J339" s="286"/>
      <c r="K339" s="296"/>
      <c r="L339" s="286"/>
      <c r="M339" s="285"/>
      <c r="N339" s="292"/>
      <c r="O339" s="292"/>
      <c r="P339" s="292"/>
      <c r="Q339" s="292"/>
      <c r="R339" s="292"/>
      <c r="S339" s="292"/>
      <c r="T339" s="292"/>
      <c r="U339" s="292"/>
      <c r="V339" s="292"/>
      <c r="W339" s="292"/>
    </row>
    <row r="340" spans="1:23" s="295" customFormat="1" ht="15.75">
      <c r="A340" s="287"/>
      <c r="B340" s="294"/>
      <c r="E340" s="229"/>
      <c r="F340" s="213"/>
      <c r="G340" s="286"/>
      <c r="H340" s="286"/>
      <c r="I340" s="296"/>
      <c r="J340" s="286"/>
      <c r="K340" s="296"/>
      <c r="L340" s="286"/>
      <c r="M340" s="285"/>
      <c r="N340" s="292"/>
      <c r="O340" s="292"/>
      <c r="P340" s="292"/>
      <c r="Q340" s="292"/>
      <c r="R340" s="292"/>
      <c r="S340" s="292"/>
      <c r="T340" s="292"/>
      <c r="U340" s="292"/>
      <c r="V340" s="292"/>
      <c r="W340" s="292"/>
    </row>
    <row r="341" spans="1:23" s="295" customFormat="1" ht="15.75">
      <c r="A341" s="287"/>
      <c r="B341" s="294"/>
      <c r="E341" s="229"/>
      <c r="F341" s="213"/>
      <c r="G341" s="286"/>
      <c r="H341" s="286"/>
      <c r="I341" s="296"/>
      <c r="J341" s="286"/>
      <c r="K341" s="296"/>
      <c r="L341" s="286"/>
      <c r="M341" s="285"/>
      <c r="N341" s="292"/>
      <c r="O341" s="292"/>
      <c r="P341" s="292"/>
      <c r="Q341" s="292"/>
      <c r="R341" s="292"/>
      <c r="S341" s="292"/>
      <c r="T341" s="292"/>
      <c r="U341" s="292"/>
      <c r="V341" s="292"/>
      <c r="W341" s="292"/>
    </row>
    <row r="342" spans="1:23" s="295" customFormat="1" ht="15.75">
      <c r="A342" s="287"/>
      <c r="B342" s="294"/>
      <c r="E342" s="229"/>
      <c r="F342" s="213"/>
      <c r="G342" s="286"/>
      <c r="H342" s="286"/>
      <c r="I342" s="296"/>
      <c r="J342" s="286"/>
      <c r="K342" s="296"/>
      <c r="L342" s="286"/>
      <c r="M342" s="285"/>
      <c r="N342" s="292"/>
      <c r="O342" s="292"/>
      <c r="P342" s="292"/>
      <c r="Q342" s="292"/>
      <c r="R342" s="292"/>
      <c r="S342" s="292"/>
      <c r="T342" s="292"/>
      <c r="U342" s="292"/>
      <c r="V342" s="292"/>
      <c r="W342" s="292"/>
    </row>
    <row r="343" spans="1:23" s="295" customFormat="1" ht="15.75">
      <c r="A343" s="287"/>
      <c r="B343" s="294"/>
      <c r="E343" s="229"/>
      <c r="F343" s="213"/>
      <c r="G343" s="286"/>
      <c r="H343" s="286"/>
      <c r="I343" s="296"/>
      <c r="J343" s="286"/>
      <c r="K343" s="296"/>
      <c r="L343" s="286"/>
      <c r="M343" s="285"/>
      <c r="N343" s="292"/>
      <c r="O343" s="292"/>
      <c r="P343" s="292"/>
      <c r="Q343" s="292"/>
      <c r="R343" s="292"/>
      <c r="S343" s="292"/>
      <c r="T343" s="292"/>
      <c r="U343" s="292"/>
      <c r="V343" s="292"/>
      <c r="W343" s="292"/>
    </row>
    <row r="344" spans="1:23" s="295" customFormat="1" ht="15.75">
      <c r="A344" s="287"/>
      <c r="B344" s="294"/>
      <c r="E344" s="229"/>
      <c r="F344" s="213"/>
      <c r="G344" s="286"/>
      <c r="H344" s="286"/>
      <c r="I344" s="296"/>
      <c r="J344" s="286"/>
      <c r="K344" s="296"/>
      <c r="L344" s="286"/>
      <c r="M344" s="285"/>
      <c r="N344" s="292"/>
      <c r="O344" s="292"/>
      <c r="P344" s="292"/>
      <c r="Q344" s="292"/>
      <c r="R344" s="292"/>
      <c r="S344" s="292"/>
      <c r="T344" s="292"/>
      <c r="U344" s="292"/>
      <c r="V344" s="292"/>
      <c r="W344" s="292"/>
    </row>
    <row r="345" spans="1:23" s="295" customFormat="1" ht="15.75">
      <c r="A345" s="287"/>
      <c r="B345" s="294"/>
      <c r="E345" s="229"/>
      <c r="F345" s="213"/>
      <c r="G345" s="286"/>
      <c r="H345" s="286"/>
      <c r="I345" s="296"/>
      <c r="J345" s="286"/>
      <c r="K345" s="296"/>
      <c r="L345" s="286"/>
      <c r="M345" s="285"/>
      <c r="N345" s="292"/>
      <c r="O345" s="292"/>
      <c r="P345" s="292"/>
      <c r="Q345" s="292"/>
      <c r="R345" s="292"/>
      <c r="S345" s="292"/>
      <c r="T345" s="292"/>
      <c r="U345" s="292"/>
      <c r="V345" s="292"/>
      <c r="W345" s="292"/>
    </row>
    <row r="346" spans="1:23" s="295" customFormat="1" ht="15.75">
      <c r="A346" s="287"/>
      <c r="B346" s="294"/>
      <c r="E346" s="229"/>
      <c r="F346" s="213"/>
      <c r="G346" s="286"/>
      <c r="H346" s="286"/>
      <c r="I346" s="296"/>
      <c r="J346" s="286"/>
      <c r="K346" s="296"/>
      <c r="L346" s="286"/>
      <c r="M346" s="285"/>
      <c r="N346" s="292"/>
      <c r="O346" s="292"/>
      <c r="P346" s="292"/>
      <c r="Q346" s="292"/>
      <c r="R346" s="292"/>
      <c r="S346" s="292"/>
      <c r="T346" s="292"/>
      <c r="U346" s="292"/>
      <c r="V346" s="292"/>
      <c r="W346" s="292"/>
    </row>
    <row r="347" spans="1:23" s="295" customFormat="1" ht="15.75">
      <c r="A347" s="287"/>
      <c r="B347" s="294"/>
      <c r="E347" s="229"/>
      <c r="F347" s="213"/>
      <c r="G347" s="286"/>
      <c r="H347" s="286"/>
      <c r="I347" s="296"/>
      <c r="J347" s="286"/>
      <c r="K347" s="296"/>
      <c r="L347" s="286"/>
      <c r="M347" s="285"/>
      <c r="N347" s="292"/>
      <c r="O347" s="292"/>
      <c r="P347" s="292"/>
      <c r="Q347" s="292"/>
      <c r="R347" s="292"/>
      <c r="S347" s="292"/>
      <c r="T347" s="292"/>
      <c r="U347" s="292"/>
      <c r="V347" s="292"/>
      <c r="W347" s="292"/>
    </row>
    <row r="348" spans="1:23" s="295" customFormat="1" ht="15.75">
      <c r="A348" s="287"/>
      <c r="B348" s="294"/>
      <c r="E348" s="229"/>
      <c r="F348" s="213"/>
      <c r="G348" s="286"/>
      <c r="H348" s="286"/>
      <c r="I348" s="296"/>
      <c r="J348" s="286"/>
      <c r="K348" s="296"/>
      <c r="L348" s="286"/>
      <c r="M348" s="285"/>
      <c r="N348" s="292"/>
      <c r="O348" s="292"/>
      <c r="P348" s="292"/>
      <c r="Q348" s="292"/>
      <c r="R348" s="292"/>
      <c r="S348" s="292"/>
      <c r="T348" s="292"/>
      <c r="U348" s="292"/>
      <c r="V348" s="292"/>
      <c r="W348" s="292"/>
    </row>
    <row r="349" spans="1:23" s="295" customFormat="1" ht="15.75">
      <c r="A349" s="287"/>
      <c r="B349" s="294"/>
      <c r="E349" s="229"/>
      <c r="F349" s="213"/>
      <c r="G349" s="286"/>
      <c r="H349" s="286"/>
      <c r="I349" s="296"/>
      <c r="J349" s="286"/>
      <c r="K349" s="296"/>
      <c r="L349" s="286"/>
      <c r="M349" s="285"/>
      <c r="N349" s="292"/>
      <c r="O349" s="292"/>
      <c r="P349" s="292"/>
      <c r="Q349" s="292"/>
      <c r="R349" s="292"/>
      <c r="S349" s="292"/>
      <c r="T349" s="292"/>
      <c r="U349" s="292"/>
      <c r="V349" s="292"/>
      <c r="W349" s="292"/>
    </row>
    <row r="350" spans="1:23" s="295" customFormat="1" ht="15.75">
      <c r="A350" s="287"/>
      <c r="B350" s="294"/>
      <c r="E350" s="229"/>
      <c r="F350" s="213"/>
      <c r="G350" s="286"/>
      <c r="H350" s="286"/>
      <c r="I350" s="296"/>
      <c r="J350" s="286"/>
      <c r="K350" s="296"/>
      <c r="L350" s="286"/>
      <c r="M350" s="285"/>
      <c r="N350" s="292"/>
      <c r="O350" s="292"/>
      <c r="P350" s="292"/>
      <c r="Q350" s="292"/>
      <c r="R350" s="292"/>
      <c r="S350" s="292"/>
      <c r="T350" s="292"/>
      <c r="U350" s="292"/>
      <c r="V350" s="292"/>
      <c r="W350" s="292"/>
    </row>
    <row r="351" spans="1:23" s="295" customFormat="1" ht="15.75">
      <c r="A351" s="287"/>
      <c r="B351" s="294"/>
      <c r="E351" s="229"/>
      <c r="F351" s="213"/>
      <c r="G351" s="286"/>
      <c r="H351" s="286"/>
      <c r="I351" s="296"/>
      <c r="J351" s="286"/>
      <c r="K351" s="296"/>
      <c r="L351" s="286"/>
      <c r="M351" s="285"/>
      <c r="N351" s="292"/>
      <c r="O351" s="292"/>
      <c r="P351" s="292"/>
      <c r="Q351" s="292"/>
      <c r="R351" s="292"/>
      <c r="S351" s="292"/>
      <c r="T351" s="292"/>
      <c r="U351" s="292"/>
      <c r="V351" s="292"/>
      <c r="W351" s="292"/>
    </row>
    <row r="352" spans="1:23" s="295" customFormat="1" ht="15.75">
      <c r="A352" s="287"/>
      <c r="B352" s="294"/>
      <c r="E352" s="229"/>
      <c r="F352" s="213"/>
      <c r="G352" s="286"/>
      <c r="H352" s="286"/>
      <c r="I352" s="296"/>
      <c r="J352" s="286"/>
      <c r="K352" s="296"/>
      <c r="L352" s="286"/>
      <c r="M352" s="285"/>
      <c r="N352" s="292"/>
      <c r="O352" s="292"/>
      <c r="P352" s="292"/>
      <c r="Q352" s="292"/>
      <c r="R352" s="292"/>
      <c r="S352" s="292"/>
      <c r="T352" s="292"/>
      <c r="U352" s="292"/>
      <c r="V352" s="292"/>
      <c r="W352" s="292"/>
    </row>
    <row r="353" spans="1:23" s="295" customFormat="1" ht="15.75">
      <c r="A353" s="287"/>
      <c r="B353" s="294"/>
      <c r="E353" s="229"/>
      <c r="F353" s="213"/>
      <c r="G353" s="286"/>
      <c r="H353" s="286"/>
      <c r="I353" s="296"/>
      <c r="J353" s="286"/>
      <c r="K353" s="296"/>
      <c r="L353" s="286"/>
      <c r="M353" s="285"/>
      <c r="N353" s="292"/>
      <c r="O353" s="292"/>
      <c r="P353" s="292"/>
      <c r="Q353" s="292"/>
      <c r="R353" s="292"/>
      <c r="S353" s="292"/>
      <c r="T353" s="292"/>
      <c r="U353" s="292"/>
      <c r="V353" s="292"/>
      <c r="W353" s="292"/>
    </row>
    <row r="354" spans="1:23" s="295" customFormat="1" ht="15.75">
      <c r="A354" s="287"/>
      <c r="B354" s="294"/>
      <c r="E354" s="229"/>
      <c r="F354" s="213"/>
      <c r="G354" s="286"/>
      <c r="H354" s="286"/>
      <c r="I354" s="296"/>
      <c r="J354" s="286"/>
      <c r="K354" s="296"/>
      <c r="L354" s="286"/>
      <c r="M354" s="285"/>
      <c r="N354" s="292"/>
      <c r="O354" s="292"/>
      <c r="P354" s="292"/>
      <c r="Q354" s="292"/>
      <c r="R354" s="292"/>
      <c r="S354" s="292"/>
      <c r="T354" s="292"/>
      <c r="U354" s="292"/>
      <c r="V354" s="292"/>
      <c r="W354" s="292"/>
    </row>
    <row r="355" spans="1:23" s="295" customFormat="1" ht="15.75">
      <c r="A355" s="287"/>
      <c r="B355" s="294"/>
      <c r="E355" s="229"/>
      <c r="F355" s="213"/>
      <c r="G355" s="286"/>
      <c r="H355" s="286"/>
      <c r="I355" s="296"/>
      <c r="J355" s="286"/>
      <c r="K355" s="296"/>
      <c r="L355" s="286"/>
      <c r="M355" s="285"/>
      <c r="N355" s="292"/>
      <c r="O355" s="292"/>
      <c r="P355" s="292"/>
      <c r="Q355" s="292"/>
      <c r="R355" s="292"/>
      <c r="S355" s="292"/>
      <c r="T355" s="292"/>
      <c r="U355" s="292"/>
      <c r="V355" s="292"/>
      <c r="W355" s="292"/>
    </row>
    <row r="356" spans="1:23" s="295" customFormat="1" ht="15.75">
      <c r="A356" s="287"/>
      <c r="B356" s="294"/>
      <c r="E356" s="229"/>
      <c r="F356" s="213"/>
      <c r="G356" s="286"/>
      <c r="H356" s="286"/>
      <c r="I356" s="296"/>
      <c r="J356" s="286"/>
      <c r="K356" s="296"/>
      <c r="L356" s="286"/>
      <c r="M356" s="285"/>
      <c r="N356" s="292"/>
      <c r="O356" s="292"/>
      <c r="P356" s="292"/>
      <c r="Q356" s="292"/>
      <c r="R356" s="292"/>
      <c r="S356" s="292"/>
      <c r="T356" s="292"/>
      <c r="U356" s="292"/>
      <c r="V356" s="292"/>
      <c r="W356" s="292"/>
    </row>
    <row r="357" spans="1:23" s="295" customFormat="1" ht="15.75">
      <c r="A357" s="287"/>
      <c r="B357" s="294"/>
      <c r="E357" s="229"/>
      <c r="F357" s="213"/>
      <c r="G357" s="286"/>
      <c r="H357" s="286"/>
      <c r="I357" s="296"/>
      <c r="J357" s="286"/>
      <c r="K357" s="296"/>
      <c r="L357" s="286"/>
      <c r="M357" s="285"/>
      <c r="N357" s="292"/>
      <c r="O357" s="292"/>
      <c r="P357" s="292"/>
      <c r="Q357" s="292"/>
      <c r="R357" s="292"/>
      <c r="S357" s="292"/>
      <c r="T357" s="292"/>
      <c r="U357" s="292"/>
      <c r="V357" s="292"/>
      <c r="W357" s="292"/>
    </row>
    <row r="358" spans="1:23" s="295" customFormat="1" ht="15.75">
      <c r="A358" s="287"/>
      <c r="B358" s="294"/>
      <c r="E358" s="229"/>
      <c r="F358" s="213"/>
      <c r="G358" s="286"/>
      <c r="H358" s="286"/>
      <c r="I358" s="296"/>
      <c r="J358" s="286"/>
      <c r="K358" s="296"/>
      <c r="L358" s="286"/>
      <c r="M358" s="285"/>
      <c r="N358" s="292"/>
      <c r="O358" s="292"/>
      <c r="P358" s="292"/>
      <c r="Q358" s="292"/>
      <c r="R358" s="292"/>
      <c r="S358" s="292"/>
      <c r="T358" s="292"/>
      <c r="U358" s="292"/>
      <c r="V358" s="292"/>
      <c r="W358" s="292"/>
    </row>
    <row r="359" spans="1:23" s="295" customFormat="1" ht="15.75">
      <c r="A359" s="287"/>
      <c r="B359" s="294"/>
      <c r="E359" s="229"/>
      <c r="F359" s="213"/>
      <c r="G359" s="286"/>
      <c r="H359" s="286"/>
      <c r="I359" s="296"/>
      <c r="J359" s="286"/>
      <c r="K359" s="296"/>
      <c r="L359" s="286"/>
      <c r="M359" s="285"/>
      <c r="N359" s="292"/>
      <c r="O359" s="292"/>
      <c r="P359" s="292"/>
      <c r="Q359" s="292"/>
      <c r="R359" s="292"/>
      <c r="S359" s="292"/>
      <c r="T359" s="292"/>
      <c r="U359" s="292"/>
      <c r="V359" s="292"/>
      <c r="W359" s="292"/>
    </row>
    <row r="360" spans="1:23" s="295" customFormat="1" ht="15.75">
      <c r="A360" s="287"/>
      <c r="B360" s="294"/>
      <c r="E360" s="229"/>
      <c r="F360" s="213"/>
      <c r="G360" s="286"/>
      <c r="H360" s="286"/>
      <c r="I360" s="296"/>
      <c r="J360" s="286"/>
      <c r="K360" s="296"/>
      <c r="L360" s="286"/>
      <c r="M360" s="285"/>
      <c r="N360" s="292"/>
      <c r="O360" s="292"/>
      <c r="P360" s="292"/>
      <c r="Q360" s="292"/>
      <c r="R360" s="292"/>
      <c r="S360" s="292"/>
      <c r="T360" s="292"/>
      <c r="U360" s="292"/>
      <c r="V360" s="292"/>
      <c r="W360" s="292"/>
    </row>
    <row r="361" spans="1:23" s="295" customFormat="1" ht="15.75">
      <c r="A361" s="287"/>
      <c r="B361" s="294"/>
      <c r="E361" s="229"/>
      <c r="F361" s="213"/>
      <c r="G361" s="286"/>
      <c r="H361" s="286"/>
      <c r="I361" s="296"/>
      <c r="J361" s="286"/>
      <c r="K361" s="296"/>
      <c r="L361" s="286"/>
      <c r="M361" s="285"/>
      <c r="N361" s="292"/>
      <c r="O361" s="292"/>
      <c r="P361" s="292"/>
      <c r="Q361" s="292"/>
      <c r="R361" s="292"/>
      <c r="S361" s="292"/>
      <c r="T361" s="292"/>
      <c r="U361" s="292"/>
      <c r="V361" s="292"/>
      <c r="W361" s="292"/>
    </row>
    <row r="362" spans="1:23" s="295" customFormat="1" ht="15.75">
      <c r="A362" s="287"/>
      <c r="B362" s="294"/>
      <c r="E362" s="229"/>
      <c r="F362" s="213"/>
      <c r="G362" s="286"/>
      <c r="H362" s="286"/>
      <c r="I362" s="296"/>
      <c r="J362" s="286"/>
      <c r="K362" s="296"/>
      <c r="L362" s="286"/>
      <c r="M362" s="285"/>
      <c r="N362" s="292"/>
      <c r="O362" s="292"/>
      <c r="P362" s="292"/>
      <c r="Q362" s="292"/>
      <c r="R362" s="292"/>
      <c r="S362" s="292"/>
      <c r="T362" s="292"/>
      <c r="U362" s="292"/>
      <c r="V362" s="292"/>
      <c r="W362" s="292"/>
    </row>
    <row r="363" spans="1:23" s="295" customFormat="1" ht="15.75">
      <c r="A363" s="287"/>
      <c r="B363" s="294"/>
      <c r="E363" s="229"/>
      <c r="F363" s="213"/>
      <c r="G363" s="286"/>
      <c r="H363" s="286"/>
      <c r="I363" s="296"/>
      <c r="J363" s="286"/>
      <c r="K363" s="296"/>
      <c r="L363" s="286"/>
      <c r="M363" s="285"/>
      <c r="N363" s="292"/>
      <c r="O363" s="292"/>
      <c r="P363" s="292"/>
      <c r="Q363" s="292"/>
      <c r="R363" s="292"/>
      <c r="S363" s="292"/>
      <c r="T363" s="292"/>
      <c r="U363" s="292"/>
      <c r="V363" s="292"/>
      <c r="W363" s="292"/>
    </row>
    <row r="364" spans="1:23" s="295" customFormat="1" ht="15.75">
      <c r="A364" s="287"/>
      <c r="B364" s="294"/>
      <c r="E364" s="229"/>
      <c r="F364" s="213"/>
      <c r="G364" s="286"/>
      <c r="H364" s="286"/>
      <c r="I364" s="296"/>
      <c r="J364" s="286"/>
      <c r="K364" s="296"/>
      <c r="L364" s="286"/>
      <c r="M364" s="285"/>
      <c r="N364" s="292"/>
      <c r="O364" s="292"/>
      <c r="P364" s="292"/>
      <c r="Q364" s="292"/>
      <c r="R364" s="292"/>
      <c r="S364" s="292"/>
      <c r="T364" s="292"/>
      <c r="U364" s="292"/>
      <c r="V364" s="292"/>
      <c r="W364" s="292"/>
    </row>
    <row r="365" spans="1:23" s="295" customFormat="1" ht="15.75">
      <c r="A365" s="287"/>
      <c r="B365" s="294"/>
      <c r="E365" s="229"/>
      <c r="F365" s="213"/>
      <c r="G365" s="286"/>
      <c r="H365" s="286"/>
      <c r="I365" s="296"/>
      <c r="J365" s="286"/>
      <c r="K365" s="296"/>
      <c r="L365" s="286"/>
      <c r="M365" s="285"/>
      <c r="N365" s="292"/>
      <c r="O365" s="292"/>
      <c r="P365" s="292"/>
      <c r="Q365" s="292"/>
      <c r="R365" s="292"/>
      <c r="S365" s="292"/>
      <c r="T365" s="292"/>
      <c r="U365" s="292"/>
      <c r="V365" s="292"/>
      <c r="W365" s="292"/>
    </row>
    <row r="366" spans="1:23" s="295" customFormat="1" ht="15.75">
      <c r="A366" s="287"/>
      <c r="B366" s="294"/>
      <c r="E366" s="229"/>
      <c r="F366" s="213"/>
      <c r="G366" s="286"/>
      <c r="H366" s="286"/>
      <c r="I366" s="296"/>
      <c r="J366" s="286"/>
      <c r="K366" s="296"/>
      <c r="L366" s="286"/>
      <c r="M366" s="285"/>
      <c r="N366" s="292"/>
      <c r="O366" s="292"/>
      <c r="P366" s="292"/>
      <c r="Q366" s="292"/>
      <c r="R366" s="292"/>
      <c r="S366" s="292"/>
      <c r="T366" s="292"/>
      <c r="U366" s="292"/>
      <c r="V366" s="292"/>
      <c r="W366" s="292"/>
    </row>
    <row r="367" spans="1:23" s="295" customFormat="1" ht="15.75">
      <c r="A367" s="287"/>
      <c r="B367" s="294"/>
      <c r="E367" s="229"/>
      <c r="F367" s="213"/>
      <c r="G367" s="286"/>
      <c r="H367" s="286"/>
      <c r="I367" s="296"/>
      <c r="J367" s="286"/>
      <c r="K367" s="296"/>
      <c r="L367" s="286"/>
      <c r="M367" s="285"/>
      <c r="N367" s="292"/>
      <c r="O367" s="292"/>
      <c r="P367" s="292"/>
      <c r="Q367" s="292"/>
      <c r="R367" s="292"/>
      <c r="S367" s="292"/>
      <c r="T367" s="292"/>
      <c r="U367" s="292"/>
      <c r="V367" s="292"/>
      <c r="W367" s="292"/>
    </row>
    <row r="368" spans="1:23" s="295" customFormat="1" ht="15.75">
      <c r="A368" s="287"/>
      <c r="B368" s="294"/>
      <c r="E368" s="229"/>
      <c r="F368" s="213"/>
      <c r="G368" s="286"/>
      <c r="H368" s="286"/>
      <c r="I368" s="296"/>
      <c r="J368" s="286"/>
      <c r="K368" s="296"/>
      <c r="L368" s="286"/>
      <c r="M368" s="285"/>
      <c r="N368" s="292"/>
      <c r="O368" s="292"/>
      <c r="P368" s="292"/>
      <c r="Q368" s="292"/>
      <c r="R368" s="292"/>
      <c r="S368" s="292"/>
      <c r="T368" s="292"/>
      <c r="U368" s="292"/>
      <c r="V368" s="292"/>
      <c r="W368" s="292"/>
    </row>
    <row r="369" spans="1:23" s="295" customFormat="1" ht="15.75">
      <c r="A369" s="287"/>
      <c r="B369" s="294"/>
      <c r="E369" s="229"/>
      <c r="F369" s="213"/>
      <c r="G369" s="286"/>
      <c r="H369" s="286"/>
      <c r="I369" s="296"/>
      <c r="J369" s="286"/>
      <c r="K369" s="296"/>
      <c r="L369" s="286"/>
      <c r="M369" s="285"/>
      <c r="N369" s="292"/>
      <c r="O369" s="292"/>
      <c r="P369" s="292"/>
      <c r="Q369" s="292"/>
      <c r="R369" s="292"/>
      <c r="S369" s="292"/>
      <c r="T369" s="292"/>
      <c r="U369" s="292"/>
      <c r="V369" s="292"/>
      <c r="W369" s="292"/>
    </row>
    <row r="370" spans="1:23" s="295" customFormat="1" ht="15.75">
      <c r="A370" s="287"/>
      <c r="B370" s="294"/>
      <c r="E370" s="229"/>
      <c r="F370" s="213"/>
      <c r="G370" s="286"/>
      <c r="H370" s="286"/>
      <c r="I370" s="296"/>
      <c r="J370" s="286"/>
      <c r="K370" s="296"/>
      <c r="L370" s="286"/>
      <c r="M370" s="285"/>
      <c r="N370" s="292"/>
      <c r="O370" s="292"/>
      <c r="P370" s="292"/>
      <c r="Q370" s="292"/>
      <c r="R370" s="292"/>
      <c r="S370" s="292"/>
      <c r="T370" s="292"/>
      <c r="U370" s="292"/>
      <c r="V370" s="292"/>
      <c r="W370" s="292"/>
    </row>
    <row r="371" spans="1:23" s="295" customFormat="1" ht="15.75">
      <c r="A371" s="287"/>
      <c r="B371" s="294"/>
      <c r="E371" s="229"/>
      <c r="F371" s="213"/>
      <c r="G371" s="286"/>
      <c r="H371" s="286"/>
      <c r="I371" s="296"/>
      <c r="J371" s="286"/>
      <c r="K371" s="296"/>
      <c r="L371" s="286"/>
      <c r="M371" s="285"/>
      <c r="N371" s="292"/>
      <c r="O371" s="292"/>
      <c r="P371" s="292"/>
      <c r="Q371" s="292"/>
      <c r="R371" s="292"/>
      <c r="S371" s="292"/>
      <c r="T371" s="292"/>
      <c r="U371" s="292"/>
      <c r="V371" s="292"/>
      <c r="W371" s="292"/>
    </row>
    <row r="372" spans="1:23" s="295" customFormat="1" ht="15.75">
      <c r="A372" s="287"/>
      <c r="B372" s="294"/>
      <c r="E372" s="229"/>
      <c r="F372" s="213"/>
      <c r="G372" s="286"/>
      <c r="H372" s="286"/>
      <c r="I372" s="296"/>
      <c r="J372" s="286"/>
      <c r="K372" s="296"/>
      <c r="L372" s="286"/>
      <c r="M372" s="285"/>
      <c r="N372" s="292"/>
      <c r="O372" s="292"/>
      <c r="P372" s="292"/>
      <c r="Q372" s="292"/>
      <c r="R372" s="292"/>
      <c r="S372" s="292"/>
      <c r="T372" s="292"/>
      <c r="U372" s="292"/>
      <c r="V372" s="292"/>
      <c r="W372" s="292"/>
    </row>
    <row r="373" spans="1:23" s="295" customFormat="1" ht="15.75">
      <c r="A373" s="287"/>
      <c r="B373" s="294"/>
      <c r="E373" s="229"/>
      <c r="F373" s="213"/>
      <c r="G373" s="286"/>
      <c r="H373" s="286"/>
      <c r="I373" s="296"/>
      <c r="J373" s="286"/>
      <c r="K373" s="296"/>
      <c r="L373" s="286"/>
      <c r="M373" s="285"/>
      <c r="N373" s="292"/>
      <c r="O373" s="292"/>
      <c r="P373" s="292"/>
      <c r="Q373" s="292"/>
      <c r="R373" s="292"/>
      <c r="S373" s="292"/>
      <c r="T373" s="292"/>
      <c r="U373" s="292"/>
      <c r="V373" s="292"/>
      <c r="W373" s="292"/>
    </row>
    <row r="374" spans="1:23" s="295" customFormat="1" ht="15.75">
      <c r="A374" s="287"/>
      <c r="B374" s="294"/>
      <c r="E374" s="229"/>
      <c r="F374" s="213"/>
      <c r="G374" s="286"/>
      <c r="H374" s="286"/>
      <c r="I374" s="296"/>
      <c r="J374" s="286"/>
      <c r="K374" s="296"/>
      <c r="L374" s="286"/>
      <c r="M374" s="285"/>
      <c r="N374" s="292"/>
      <c r="O374" s="292"/>
      <c r="P374" s="292"/>
      <c r="Q374" s="292"/>
      <c r="R374" s="292"/>
      <c r="S374" s="292"/>
      <c r="T374" s="292"/>
      <c r="U374" s="292"/>
      <c r="V374" s="292"/>
      <c r="W374" s="292"/>
    </row>
    <row r="375" spans="1:23" s="295" customFormat="1" ht="15.75">
      <c r="A375" s="287"/>
      <c r="B375" s="294"/>
      <c r="E375" s="229"/>
      <c r="F375" s="213"/>
      <c r="G375" s="286"/>
      <c r="H375" s="286"/>
      <c r="I375" s="296"/>
      <c r="J375" s="286"/>
      <c r="K375" s="296"/>
      <c r="L375" s="286"/>
      <c r="M375" s="285"/>
      <c r="N375" s="292"/>
      <c r="O375" s="292"/>
      <c r="P375" s="292"/>
      <c r="Q375" s="292"/>
      <c r="R375" s="292"/>
      <c r="S375" s="292"/>
      <c r="T375" s="292"/>
      <c r="U375" s="292"/>
      <c r="V375" s="292"/>
      <c r="W375" s="292"/>
    </row>
    <row r="376" spans="1:23" s="295" customFormat="1" ht="15.75">
      <c r="A376" s="287"/>
      <c r="B376" s="294"/>
      <c r="E376" s="229"/>
      <c r="F376" s="213"/>
      <c r="G376" s="286"/>
      <c r="H376" s="286"/>
      <c r="I376" s="296"/>
      <c r="J376" s="286"/>
      <c r="K376" s="296"/>
      <c r="L376" s="286"/>
      <c r="M376" s="285"/>
      <c r="N376" s="292"/>
      <c r="O376" s="292"/>
      <c r="P376" s="292"/>
      <c r="Q376" s="292"/>
      <c r="R376" s="292"/>
      <c r="S376" s="292"/>
      <c r="T376" s="292"/>
      <c r="U376" s="292"/>
      <c r="V376" s="292"/>
      <c r="W376" s="292"/>
    </row>
    <row r="377" spans="1:23" s="295" customFormat="1" ht="15.75">
      <c r="A377" s="287"/>
      <c r="B377" s="294"/>
      <c r="E377" s="229"/>
      <c r="F377" s="213"/>
      <c r="G377" s="286"/>
      <c r="H377" s="286"/>
      <c r="I377" s="296"/>
      <c r="J377" s="286"/>
      <c r="K377" s="296"/>
      <c r="L377" s="286"/>
      <c r="M377" s="285"/>
      <c r="N377" s="292"/>
      <c r="O377" s="292"/>
      <c r="P377" s="292"/>
      <c r="Q377" s="292"/>
      <c r="R377" s="292"/>
      <c r="S377" s="292"/>
      <c r="T377" s="292"/>
      <c r="U377" s="292"/>
      <c r="V377" s="292"/>
      <c r="W377" s="292"/>
    </row>
    <row r="378" spans="1:23" s="295" customFormat="1" ht="15.75">
      <c r="A378" s="287"/>
      <c r="B378" s="294"/>
      <c r="E378" s="229"/>
      <c r="F378" s="213"/>
      <c r="G378" s="286"/>
      <c r="H378" s="286"/>
      <c r="I378" s="296"/>
      <c r="J378" s="286"/>
      <c r="K378" s="296"/>
      <c r="L378" s="286"/>
      <c r="M378" s="285"/>
      <c r="N378" s="292"/>
      <c r="O378" s="292"/>
      <c r="P378" s="292"/>
      <c r="Q378" s="292"/>
      <c r="R378" s="292"/>
      <c r="S378" s="292"/>
      <c r="T378" s="292"/>
      <c r="U378" s="292"/>
      <c r="V378" s="292"/>
      <c r="W378" s="292"/>
    </row>
    <row r="379" spans="1:23" s="295" customFormat="1" ht="15.75">
      <c r="A379" s="287"/>
      <c r="B379" s="294"/>
      <c r="E379" s="229"/>
      <c r="F379" s="213"/>
      <c r="G379" s="286"/>
      <c r="H379" s="286"/>
      <c r="I379" s="296"/>
      <c r="J379" s="286"/>
      <c r="K379" s="296"/>
      <c r="L379" s="286"/>
      <c r="M379" s="285"/>
      <c r="N379" s="292"/>
      <c r="O379" s="292"/>
      <c r="P379" s="292"/>
      <c r="Q379" s="292"/>
      <c r="R379" s="292"/>
      <c r="S379" s="292"/>
      <c r="T379" s="292"/>
      <c r="U379" s="292"/>
      <c r="V379" s="292"/>
      <c r="W379" s="292"/>
    </row>
    <row r="380" spans="1:23" s="295" customFormat="1" ht="15.75">
      <c r="A380" s="287"/>
      <c r="B380" s="294"/>
      <c r="E380" s="229"/>
      <c r="F380" s="213"/>
      <c r="G380" s="286"/>
      <c r="H380" s="286"/>
      <c r="I380" s="296"/>
      <c r="J380" s="286"/>
      <c r="K380" s="296"/>
      <c r="L380" s="286"/>
      <c r="M380" s="285"/>
      <c r="N380" s="292"/>
      <c r="O380" s="292"/>
      <c r="P380" s="292"/>
      <c r="Q380" s="292"/>
      <c r="R380" s="292"/>
      <c r="S380" s="292"/>
      <c r="T380" s="292"/>
      <c r="U380" s="292"/>
      <c r="V380" s="292"/>
      <c r="W380" s="292"/>
    </row>
    <row r="381" spans="1:23" s="295" customFormat="1" ht="15.75">
      <c r="A381" s="287"/>
      <c r="B381" s="294"/>
      <c r="E381" s="229"/>
      <c r="F381" s="213"/>
      <c r="G381" s="286"/>
      <c r="H381" s="286"/>
      <c r="I381" s="296"/>
      <c r="J381" s="286"/>
      <c r="K381" s="296"/>
      <c r="L381" s="286"/>
      <c r="M381" s="285"/>
      <c r="N381" s="292"/>
      <c r="O381" s="292"/>
      <c r="P381" s="292"/>
      <c r="Q381" s="292"/>
      <c r="R381" s="292"/>
      <c r="S381" s="292"/>
      <c r="T381" s="292"/>
      <c r="U381" s="292"/>
      <c r="V381" s="292"/>
      <c r="W381" s="292"/>
    </row>
    <row r="382" spans="1:23" s="295" customFormat="1" ht="15.75">
      <c r="A382" s="287"/>
      <c r="B382" s="294"/>
      <c r="E382" s="229"/>
      <c r="F382" s="213"/>
      <c r="G382" s="286"/>
      <c r="H382" s="286"/>
      <c r="I382" s="296"/>
      <c r="J382" s="286"/>
      <c r="K382" s="296"/>
      <c r="L382" s="286"/>
      <c r="M382" s="285"/>
      <c r="N382" s="292"/>
      <c r="O382" s="292"/>
      <c r="P382" s="292"/>
      <c r="Q382" s="292"/>
      <c r="R382" s="292"/>
      <c r="S382" s="292"/>
      <c r="T382" s="292"/>
      <c r="U382" s="292"/>
      <c r="V382" s="292"/>
      <c r="W382" s="292"/>
    </row>
    <row r="383" spans="1:23" s="295" customFormat="1" ht="15.75">
      <c r="A383" s="287"/>
      <c r="B383" s="294"/>
      <c r="E383" s="229"/>
      <c r="F383" s="213"/>
      <c r="G383" s="286"/>
      <c r="H383" s="286"/>
      <c r="I383" s="296"/>
      <c r="J383" s="286"/>
      <c r="K383" s="296"/>
      <c r="L383" s="286"/>
      <c r="M383" s="285"/>
      <c r="N383" s="292"/>
      <c r="O383" s="292"/>
      <c r="P383" s="292"/>
      <c r="Q383" s="292"/>
      <c r="R383" s="292"/>
      <c r="S383" s="292"/>
      <c r="T383" s="292"/>
      <c r="U383" s="292"/>
      <c r="V383" s="292"/>
      <c r="W383" s="292"/>
    </row>
    <row r="384" spans="1:23" s="295" customFormat="1" ht="15.75">
      <c r="A384" s="287"/>
      <c r="B384" s="294"/>
      <c r="E384" s="229"/>
      <c r="F384" s="213"/>
      <c r="G384" s="286"/>
      <c r="H384" s="286"/>
      <c r="I384" s="296"/>
      <c r="J384" s="286"/>
      <c r="K384" s="296"/>
      <c r="L384" s="286"/>
      <c r="M384" s="285"/>
      <c r="N384" s="292"/>
      <c r="O384" s="292"/>
      <c r="P384" s="292"/>
      <c r="Q384" s="292"/>
      <c r="R384" s="292"/>
      <c r="S384" s="292"/>
      <c r="T384" s="292"/>
      <c r="U384" s="292"/>
      <c r="V384" s="292"/>
      <c r="W384" s="292"/>
    </row>
    <row r="385" spans="1:23" s="295" customFormat="1" ht="15.75">
      <c r="A385" s="287"/>
      <c r="B385" s="294"/>
      <c r="E385" s="229"/>
      <c r="F385" s="213"/>
      <c r="G385" s="286"/>
      <c r="H385" s="286"/>
      <c r="I385" s="296"/>
      <c r="J385" s="286"/>
      <c r="K385" s="296"/>
      <c r="L385" s="286"/>
      <c r="M385" s="285"/>
      <c r="N385" s="292"/>
      <c r="O385" s="292"/>
      <c r="P385" s="292"/>
      <c r="Q385" s="292"/>
      <c r="R385" s="292"/>
      <c r="S385" s="292"/>
      <c r="T385" s="292"/>
      <c r="U385" s="292"/>
      <c r="V385" s="292"/>
      <c r="W385" s="292"/>
    </row>
    <row r="386" spans="1:23" s="295" customFormat="1" ht="15.75">
      <c r="A386" s="287"/>
      <c r="B386" s="294"/>
      <c r="E386" s="229"/>
      <c r="F386" s="213"/>
      <c r="G386" s="286"/>
      <c r="H386" s="286"/>
      <c r="I386" s="296"/>
      <c r="J386" s="286"/>
      <c r="K386" s="296"/>
      <c r="L386" s="286"/>
      <c r="M386" s="285"/>
      <c r="N386" s="292"/>
      <c r="O386" s="292"/>
      <c r="P386" s="292"/>
      <c r="Q386" s="292"/>
      <c r="R386" s="292"/>
      <c r="S386" s="292"/>
      <c r="T386" s="292"/>
      <c r="U386" s="292"/>
      <c r="V386" s="292"/>
      <c r="W386" s="292"/>
    </row>
    <row r="387" spans="1:23" s="295" customFormat="1" ht="15.75">
      <c r="A387" s="287"/>
      <c r="B387" s="294"/>
      <c r="E387" s="229"/>
      <c r="F387" s="213"/>
      <c r="G387" s="286"/>
      <c r="H387" s="286"/>
      <c r="I387" s="296"/>
      <c r="J387" s="286"/>
      <c r="K387" s="296"/>
      <c r="L387" s="286"/>
      <c r="M387" s="285"/>
      <c r="N387" s="292"/>
      <c r="O387" s="292"/>
      <c r="P387" s="292"/>
      <c r="Q387" s="292"/>
      <c r="R387" s="292"/>
      <c r="S387" s="292"/>
      <c r="T387" s="292"/>
      <c r="U387" s="292"/>
      <c r="V387" s="292"/>
      <c r="W387" s="292"/>
    </row>
    <row r="388" spans="1:23" s="295" customFormat="1" ht="15.75">
      <c r="A388" s="287"/>
      <c r="B388" s="294"/>
      <c r="E388" s="229"/>
      <c r="F388" s="213"/>
      <c r="G388" s="286"/>
      <c r="H388" s="286"/>
      <c r="I388" s="296"/>
      <c r="J388" s="286"/>
      <c r="K388" s="296"/>
      <c r="L388" s="286"/>
      <c r="M388" s="285"/>
      <c r="N388" s="292"/>
      <c r="O388" s="292"/>
      <c r="P388" s="292"/>
      <c r="Q388" s="292"/>
      <c r="R388" s="292"/>
      <c r="S388" s="292"/>
      <c r="T388" s="292"/>
      <c r="U388" s="292"/>
      <c r="V388" s="292"/>
      <c r="W388" s="292"/>
    </row>
    <row r="389" spans="1:23" s="295" customFormat="1" ht="15.75">
      <c r="A389" s="287"/>
      <c r="B389" s="294"/>
      <c r="E389" s="229"/>
      <c r="F389" s="213"/>
      <c r="G389" s="286"/>
      <c r="H389" s="286"/>
      <c r="I389" s="296"/>
      <c r="J389" s="286"/>
      <c r="K389" s="296"/>
      <c r="L389" s="286"/>
      <c r="M389" s="285"/>
      <c r="N389" s="292"/>
      <c r="O389" s="292"/>
      <c r="P389" s="292"/>
      <c r="Q389" s="292"/>
      <c r="R389" s="292"/>
      <c r="S389" s="292"/>
      <c r="T389" s="292"/>
      <c r="U389" s="292"/>
      <c r="V389" s="292"/>
      <c r="W389" s="292"/>
    </row>
    <row r="390" spans="1:23" s="295" customFormat="1" ht="15.75">
      <c r="A390" s="287"/>
      <c r="B390" s="294"/>
      <c r="E390" s="229"/>
      <c r="F390" s="213"/>
      <c r="G390" s="286"/>
      <c r="H390" s="286"/>
      <c r="I390" s="296"/>
      <c r="J390" s="286"/>
      <c r="K390" s="296"/>
      <c r="L390" s="286"/>
      <c r="M390" s="285"/>
      <c r="N390" s="292"/>
      <c r="O390" s="292"/>
      <c r="P390" s="292"/>
      <c r="Q390" s="292"/>
      <c r="R390" s="292"/>
      <c r="S390" s="292"/>
      <c r="T390" s="292"/>
      <c r="U390" s="292"/>
      <c r="V390" s="292"/>
      <c r="W390" s="292"/>
    </row>
    <row r="391" spans="1:23" s="295" customFormat="1" ht="15.75">
      <c r="A391" s="287"/>
      <c r="B391" s="294"/>
      <c r="E391" s="229"/>
      <c r="F391" s="213"/>
      <c r="G391" s="286"/>
      <c r="H391" s="286"/>
      <c r="I391" s="296"/>
      <c r="J391" s="286"/>
      <c r="K391" s="296"/>
      <c r="L391" s="286"/>
      <c r="M391" s="285"/>
      <c r="N391" s="292"/>
      <c r="O391" s="292"/>
      <c r="P391" s="292"/>
      <c r="Q391" s="292"/>
      <c r="R391" s="292"/>
      <c r="S391" s="292"/>
      <c r="T391" s="292"/>
      <c r="U391" s="292"/>
      <c r="V391" s="292"/>
      <c r="W391" s="292"/>
    </row>
    <row r="392" spans="1:23" s="295" customFormat="1" ht="15.75">
      <c r="A392" s="287"/>
      <c r="B392" s="294"/>
      <c r="E392" s="229"/>
      <c r="F392" s="213"/>
      <c r="G392" s="286"/>
      <c r="H392" s="286"/>
      <c r="I392" s="296"/>
      <c r="J392" s="286"/>
      <c r="K392" s="296"/>
      <c r="L392" s="286"/>
      <c r="M392" s="285"/>
      <c r="N392" s="292"/>
      <c r="O392" s="292"/>
      <c r="P392" s="292"/>
      <c r="Q392" s="292"/>
      <c r="R392" s="292"/>
      <c r="S392" s="292"/>
      <c r="T392" s="292"/>
      <c r="U392" s="292"/>
      <c r="V392" s="292"/>
      <c r="W392" s="292"/>
    </row>
    <row r="393" spans="1:23" s="295" customFormat="1" ht="15.75">
      <c r="A393" s="287"/>
      <c r="B393" s="294"/>
      <c r="E393" s="229"/>
      <c r="F393" s="213"/>
      <c r="G393" s="286"/>
      <c r="H393" s="286"/>
      <c r="I393" s="296"/>
      <c r="J393" s="286"/>
      <c r="K393" s="296"/>
      <c r="L393" s="286"/>
      <c r="M393" s="285"/>
      <c r="N393" s="292"/>
      <c r="O393" s="292"/>
      <c r="P393" s="292"/>
      <c r="Q393" s="292"/>
      <c r="R393" s="292"/>
      <c r="S393" s="292"/>
      <c r="T393" s="292"/>
      <c r="U393" s="292"/>
      <c r="V393" s="292"/>
      <c r="W393" s="292"/>
    </row>
    <row r="394" spans="1:23" s="295" customFormat="1" ht="15.75">
      <c r="A394" s="287"/>
      <c r="B394" s="294"/>
      <c r="E394" s="229"/>
      <c r="F394" s="213"/>
      <c r="G394" s="286"/>
      <c r="H394" s="286"/>
      <c r="I394" s="296"/>
      <c r="J394" s="286"/>
      <c r="K394" s="296"/>
      <c r="L394" s="286"/>
      <c r="M394" s="285"/>
      <c r="N394" s="292"/>
      <c r="O394" s="292"/>
      <c r="P394" s="292"/>
      <c r="Q394" s="292"/>
      <c r="R394" s="292"/>
      <c r="S394" s="292"/>
      <c r="T394" s="292"/>
      <c r="U394" s="292"/>
      <c r="V394" s="292"/>
      <c r="W394" s="292"/>
    </row>
    <row r="395" spans="1:23" s="295" customFormat="1" ht="15.75">
      <c r="A395" s="287"/>
      <c r="B395" s="294"/>
      <c r="E395" s="229"/>
      <c r="F395" s="213"/>
      <c r="G395" s="286"/>
      <c r="H395" s="286"/>
      <c r="I395" s="296"/>
      <c r="J395" s="286"/>
      <c r="K395" s="296"/>
      <c r="L395" s="286"/>
      <c r="M395" s="285"/>
      <c r="N395" s="292"/>
      <c r="O395" s="292"/>
      <c r="P395" s="292"/>
      <c r="Q395" s="292"/>
      <c r="R395" s="292"/>
      <c r="S395" s="292"/>
      <c r="T395" s="292"/>
      <c r="U395" s="292"/>
      <c r="V395" s="292"/>
      <c r="W395" s="292"/>
    </row>
    <row r="396" spans="1:23" s="295" customFormat="1" ht="15.75">
      <c r="A396" s="287"/>
      <c r="B396" s="294"/>
      <c r="E396" s="229"/>
      <c r="F396" s="213"/>
      <c r="G396" s="286"/>
      <c r="H396" s="286"/>
      <c r="I396" s="296"/>
      <c r="J396" s="286"/>
      <c r="K396" s="296"/>
      <c r="L396" s="286"/>
      <c r="M396" s="285"/>
      <c r="N396" s="292"/>
      <c r="O396" s="292"/>
      <c r="P396" s="292"/>
      <c r="Q396" s="292"/>
      <c r="R396" s="292"/>
      <c r="S396" s="292"/>
      <c r="T396" s="292"/>
      <c r="U396" s="292"/>
      <c r="V396" s="292"/>
      <c r="W396" s="292"/>
    </row>
    <row r="397" spans="1:23" s="295" customFormat="1" ht="15.75">
      <c r="A397" s="287"/>
      <c r="B397" s="294"/>
      <c r="E397" s="229"/>
      <c r="F397" s="213"/>
      <c r="G397" s="286"/>
      <c r="H397" s="286"/>
      <c r="I397" s="296"/>
      <c r="J397" s="286"/>
      <c r="K397" s="296"/>
      <c r="L397" s="286"/>
      <c r="M397" s="285"/>
      <c r="N397" s="292"/>
      <c r="O397" s="292"/>
      <c r="P397" s="292"/>
      <c r="Q397" s="292"/>
      <c r="R397" s="292"/>
      <c r="S397" s="292"/>
      <c r="T397" s="292"/>
      <c r="U397" s="292"/>
      <c r="V397" s="292"/>
      <c r="W397" s="292"/>
    </row>
    <row r="398" spans="1:23" s="295" customFormat="1" ht="15.75">
      <c r="A398" s="287"/>
      <c r="B398" s="294"/>
      <c r="E398" s="229"/>
      <c r="F398" s="213"/>
      <c r="G398" s="286"/>
      <c r="H398" s="286"/>
      <c r="I398" s="296"/>
      <c r="J398" s="286"/>
      <c r="K398" s="296"/>
      <c r="L398" s="286"/>
      <c r="M398" s="285"/>
      <c r="N398" s="292"/>
      <c r="O398" s="292"/>
      <c r="P398" s="292"/>
      <c r="Q398" s="292"/>
      <c r="R398" s="292"/>
      <c r="S398" s="292"/>
      <c r="T398" s="292"/>
      <c r="U398" s="292"/>
      <c r="V398" s="292"/>
      <c r="W398" s="292"/>
    </row>
    <row r="399" spans="1:23" s="295" customFormat="1" ht="15.75">
      <c r="A399" s="287"/>
      <c r="B399" s="294"/>
      <c r="E399" s="229"/>
      <c r="F399" s="213"/>
      <c r="G399" s="286"/>
      <c r="H399" s="286"/>
      <c r="I399" s="296"/>
      <c r="J399" s="286"/>
      <c r="K399" s="296"/>
      <c r="L399" s="286"/>
      <c r="M399" s="285"/>
      <c r="N399" s="292"/>
      <c r="O399" s="292"/>
      <c r="P399" s="292"/>
      <c r="Q399" s="292"/>
      <c r="R399" s="292"/>
      <c r="S399" s="292"/>
      <c r="T399" s="292"/>
      <c r="U399" s="292"/>
      <c r="V399" s="292"/>
      <c r="W399" s="292"/>
    </row>
    <row r="400" spans="1:23" s="295" customFormat="1" ht="15.75">
      <c r="A400" s="287"/>
      <c r="B400" s="294"/>
      <c r="E400" s="229"/>
      <c r="F400" s="213"/>
      <c r="G400" s="286"/>
      <c r="H400" s="286"/>
      <c r="I400" s="296"/>
      <c r="J400" s="286"/>
      <c r="K400" s="296"/>
      <c r="L400" s="286"/>
      <c r="M400" s="285"/>
      <c r="N400" s="292"/>
      <c r="O400" s="292"/>
      <c r="P400" s="292"/>
      <c r="Q400" s="292"/>
      <c r="R400" s="292"/>
      <c r="S400" s="292"/>
      <c r="T400" s="292"/>
      <c r="U400" s="292"/>
      <c r="V400" s="292"/>
      <c r="W400" s="292"/>
    </row>
    <row r="401" spans="1:23" s="295" customFormat="1" ht="15.75">
      <c r="A401" s="287"/>
      <c r="B401" s="294"/>
      <c r="E401" s="229"/>
      <c r="F401" s="213"/>
      <c r="G401" s="286"/>
      <c r="H401" s="286"/>
      <c r="I401" s="296"/>
      <c r="J401" s="286"/>
      <c r="K401" s="296"/>
      <c r="L401" s="286"/>
      <c r="M401" s="285"/>
      <c r="N401" s="292"/>
      <c r="O401" s="292"/>
      <c r="P401" s="292"/>
      <c r="Q401" s="292"/>
      <c r="R401" s="292"/>
      <c r="S401" s="292"/>
      <c r="T401" s="292"/>
      <c r="U401" s="292"/>
      <c r="V401" s="292"/>
      <c r="W401" s="292"/>
    </row>
    <row r="402" spans="1:23" s="295" customFormat="1" ht="15.75">
      <c r="A402" s="287"/>
      <c r="B402" s="294"/>
      <c r="E402" s="229"/>
      <c r="F402" s="213"/>
      <c r="G402" s="286"/>
      <c r="H402" s="286"/>
      <c r="I402" s="296"/>
      <c r="J402" s="286"/>
      <c r="K402" s="296"/>
      <c r="L402" s="286"/>
      <c r="M402" s="285"/>
      <c r="N402" s="292"/>
      <c r="O402" s="292"/>
      <c r="P402" s="292"/>
      <c r="Q402" s="292"/>
      <c r="R402" s="292"/>
      <c r="S402" s="292"/>
      <c r="T402" s="292"/>
      <c r="U402" s="292"/>
      <c r="V402" s="292"/>
      <c r="W402" s="292"/>
    </row>
    <row r="403" spans="1:23" s="295" customFormat="1" ht="15.75">
      <c r="A403" s="287"/>
      <c r="B403" s="294"/>
      <c r="E403" s="229"/>
      <c r="F403" s="213"/>
      <c r="G403" s="286"/>
      <c r="H403" s="286"/>
      <c r="I403" s="296"/>
      <c r="J403" s="286"/>
      <c r="K403" s="296"/>
      <c r="L403" s="286"/>
      <c r="M403" s="285"/>
      <c r="N403" s="292"/>
      <c r="O403" s="292"/>
      <c r="P403" s="292"/>
      <c r="Q403" s="292"/>
      <c r="R403" s="292"/>
      <c r="S403" s="292"/>
      <c r="T403" s="292"/>
      <c r="U403" s="292"/>
      <c r="V403" s="292"/>
      <c r="W403" s="292"/>
    </row>
    <row r="404" spans="1:23" s="295" customFormat="1" ht="15.75">
      <c r="A404" s="287"/>
      <c r="B404" s="294"/>
      <c r="E404" s="229"/>
      <c r="F404" s="213"/>
      <c r="G404" s="286"/>
      <c r="H404" s="286"/>
      <c r="I404" s="296"/>
      <c r="J404" s="286"/>
      <c r="K404" s="296"/>
      <c r="L404" s="286"/>
      <c r="M404" s="285"/>
      <c r="N404" s="292"/>
      <c r="O404" s="292"/>
      <c r="P404" s="292"/>
      <c r="Q404" s="292"/>
      <c r="R404" s="292"/>
      <c r="S404" s="292"/>
      <c r="T404" s="292"/>
      <c r="U404" s="292"/>
      <c r="V404" s="292"/>
      <c r="W404" s="292"/>
    </row>
    <row r="405" spans="1:23" s="295" customFormat="1" ht="15.75">
      <c r="A405" s="287"/>
      <c r="B405" s="294"/>
      <c r="E405" s="229"/>
      <c r="F405" s="213"/>
      <c r="G405" s="286"/>
      <c r="H405" s="286"/>
      <c r="I405" s="296"/>
      <c r="J405" s="286"/>
      <c r="K405" s="296"/>
      <c r="L405" s="286"/>
      <c r="M405" s="285"/>
      <c r="N405" s="292"/>
      <c r="O405" s="292"/>
      <c r="P405" s="292"/>
      <c r="Q405" s="292"/>
      <c r="R405" s="292"/>
      <c r="S405" s="292"/>
      <c r="T405" s="292"/>
      <c r="U405" s="292"/>
      <c r="V405" s="292"/>
      <c r="W405" s="292"/>
    </row>
    <row r="406" spans="1:23" s="295" customFormat="1" ht="15.75">
      <c r="A406" s="287"/>
      <c r="B406" s="294"/>
      <c r="E406" s="229"/>
      <c r="F406" s="213"/>
      <c r="G406" s="286"/>
      <c r="H406" s="286"/>
      <c r="I406" s="296"/>
      <c r="J406" s="286"/>
      <c r="K406" s="296"/>
      <c r="L406" s="286"/>
      <c r="M406" s="285"/>
      <c r="N406" s="292"/>
      <c r="O406" s="292"/>
      <c r="P406" s="292"/>
      <c r="Q406" s="292"/>
      <c r="R406" s="292"/>
      <c r="S406" s="292"/>
      <c r="T406" s="292"/>
      <c r="U406" s="292"/>
      <c r="V406" s="292"/>
      <c r="W406" s="292"/>
    </row>
    <row r="407" spans="1:23" s="295" customFormat="1" ht="15.75">
      <c r="A407" s="287"/>
      <c r="B407" s="294"/>
      <c r="E407" s="229"/>
      <c r="F407" s="213"/>
      <c r="G407" s="286"/>
      <c r="H407" s="286"/>
      <c r="I407" s="296"/>
      <c r="J407" s="286"/>
      <c r="K407" s="296"/>
      <c r="L407" s="286"/>
      <c r="M407" s="285"/>
      <c r="N407" s="292"/>
      <c r="O407" s="292"/>
      <c r="P407" s="292"/>
      <c r="Q407" s="292"/>
      <c r="R407" s="292"/>
      <c r="S407" s="292"/>
      <c r="T407" s="292"/>
      <c r="U407" s="292"/>
      <c r="V407" s="292"/>
      <c r="W407" s="292"/>
    </row>
    <row r="408" spans="1:23" s="295" customFormat="1" ht="15.75">
      <c r="A408" s="287"/>
      <c r="B408" s="294"/>
      <c r="E408" s="229"/>
      <c r="F408" s="213"/>
      <c r="G408" s="286"/>
      <c r="H408" s="286"/>
      <c r="I408" s="296"/>
      <c r="J408" s="286"/>
      <c r="K408" s="296"/>
      <c r="L408" s="286"/>
      <c r="M408" s="285"/>
      <c r="N408" s="292"/>
      <c r="O408" s="292"/>
      <c r="P408" s="292"/>
      <c r="Q408" s="292"/>
      <c r="R408" s="292"/>
      <c r="S408" s="292"/>
      <c r="T408" s="292"/>
      <c r="U408" s="292"/>
      <c r="V408" s="292"/>
      <c r="W408" s="292"/>
    </row>
    <row r="409" spans="1:23" s="295" customFormat="1" ht="15.75">
      <c r="A409" s="287"/>
      <c r="B409" s="294"/>
      <c r="E409" s="229"/>
      <c r="F409" s="213"/>
      <c r="G409" s="286"/>
      <c r="H409" s="286"/>
      <c r="I409" s="296"/>
      <c r="J409" s="286"/>
      <c r="K409" s="296"/>
      <c r="L409" s="286"/>
      <c r="M409" s="285"/>
      <c r="N409" s="292"/>
      <c r="O409" s="292"/>
      <c r="P409" s="292"/>
      <c r="Q409" s="292"/>
      <c r="R409" s="292"/>
      <c r="S409" s="292"/>
      <c r="T409" s="292"/>
      <c r="U409" s="292"/>
      <c r="V409" s="292"/>
      <c r="W409" s="292"/>
    </row>
    <row r="410" spans="1:23" s="295" customFormat="1" ht="15.75">
      <c r="A410" s="287"/>
      <c r="B410" s="294"/>
      <c r="E410" s="229"/>
      <c r="F410" s="213"/>
      <c r="G410" s="286"/>
      <c r="H410" s="286"/>
      <c r="I410" s="296"/>
      <c r="J410" s="286"/>
      <c r="K410" s="296"/>
      <c r="L410" s="286"/>
      <c r="M410" s="285"/>
      <c r="N410" s="292"/>
      <c r="O410" s="292"/>
      <c r="P410" s="292"/>
      <c r="Q410" s="292"/>
      <c r="R410" s="292"/>
      <c r="S410" s="292"/>
      <c r="T410" s="292"/>
      <c r="U410" s="292"/>
      <c r="V410" s="292"/>
      <c r="W410" s="292"/>
    </row>
    <row r="411" spans="1:23" s="295" customFormat="1" ht="15.75">
      <c r="A411" s="287"/>
      <c r="B411" s="294"/>
      <c r="E411" s="229"/>
      <c r="F411" s="213"/>
      <c r="G411" s="286"/>
      <c r="H411" s="286"/>
      <c r="I411" s="296"/>
      <c r="J411" s="286"/>
      <c r="K411" s="296"/>
      <c r="L411" s="286"/>
      <c r="M411" s="285"/>
      <c r="N411" s="292"/>
      <c r="O411" s="292"/>
      <c r="P411" s="292"/>
      <c r="Q411" s="292"/>
      <c r="R411" s="292"/>
      <c r="S411" s="292"/>
      <c r="T411" s="292"/>
      <c r="U411" s="292"/>
      <c r="V411" s="292"/>
      <c r="W411" s="292"/>
    </row>
    <row r="412" spans="1:23" s="295" customFormat="1" ht="15.75">
      <c r="A412" s="287"/>
      <c r="B412" s="294"/>
      <c r="E412" s="229"/>
      <c r="F412" s="213"/>
      <c r="G412" s="286"/>
      <c r="H412" s="286"/>
      <c r="I412" s="296"/>
      <c r="J412" s="286"/>
      <c r="K412" s="296"/>
      <c r="L412" s="286"/>
      <c r="M412" s="285"/>
      <c r="N412" s="292"/>
      <c r="O412" s="292"/>
      <c r="P412" s="292"/>
      <c r="Q412" s="292"/>
      <c r="R412" s="292"/>
      <c r="S412" s="292"/>
      <c r="T412" s="292"/>
      <c r="U412" s="292"/>
      <c r="V412" s="292"/>
      <c r="W412" s="292"/>
    </row>
    <row r="413" spans="1:23" s="295" customFormat="1" ht="15.75">
      <c r="A413" s="287"/>
      <c r="B413" s="294"/>
      <c r="E413" s="229"/>
      <c r="F413" s="213"/>
      <c r="G413" s="286"/>
      <c r="H413" s="286"/>
      <c r="I413" s="296"/>
      <c r="J413" s="286"/>
      <c r="K413" s="296"/>
      <c r="L413" s="286"/>
      <c r="M413" s="285"/>
      <c r="N413" s="292"/>
      <c r="O413" s="292"/>
      <c r="P413" s="292"/>
      <c r="Q413" s="292"/>
      <c r="R413" s="292"/>
      <c r="S413" s="292"/>
      <c r="T413" s="292"/>
      <c r="U413" s="292"/>
      <c r="V413" s="292"/>
      <c r="W413" s="292"/>
    </row>
    <row r="414" spans="1:23" s="295" customFormat="1" ht="15.75">
      <c r="A414" s="287"/>
      <c r="B414" s="294"/>
      <c r="E414" s="229"/>
      <c r="F414" s="213"/>
      <c r="G414" s="286"/>
      <c r="H414" s="286"/>
      <c r="I414" s="296"/>
      <c r="J414" s="286"/>
      <c r="K414" s="296"/>
      <c r="L414" s="286"/>
      <c r="M414" s="285"/>
      <c r="N414" s="292"/>
      <c r="O414" s="292"/>
      <c r="P414" s="292"/>
      <c r="Q414" s="292"/>
      <c r="R414" s="292"/>
      <c r="S414" s="292"/>
      <c r="T414" s="292"/>
      <c r="U414" s="292"/>
      <c r="V414" s="292"/>
      <c r="W414" s="292"/>
    </row>
    <row r="415" spans="1:23" s="295" customFormat="1" ht="15.75">
      <c r="A415" s="287"/>
      <c r="B415" s="294"/>
      <c r="E415" s="229"/>
      <c r="F415" s="213"/>
      <c r="G415" s="286"/>
      <c r="H415" s="286"/>
      <c r="I415" s="296"/>
      <c r="J415" s="286"/>
      <c r="K415" s="296"/>
      <c r="L415" s="286"/>
      <c r="M415" s="285"/>
      <c r="N415" s="292"/>
      <c r="O415" s="292"/>
      <c r="P415" s="292"/>
      <c r="Q415" s="292"/>
      <c r="R415" s="292"/>
      <c r="S415" s="292"/>
      <c r="T415" s="292"/>
      <c r="U415" s="292"/>
      <c r="V415" s="292"/>
      <c r="W415" s="292"/>
    </row>
    <row r="416" spans="1:23" s="295" customFormat="1" ht="15.75">
      <c r="A416" s="287"/>
      <c r="B416" s="294"/>
      <c r="E416" s="229"/>
      <c r="F416" s="213"/>
      <c r="G416" s="286"/>
      <c r="H416" s="286"/>
      <c r="I416" s="296"/>
      <c r="J416" s="286"/>
      <c r="K416" s="296"/>
      <c r="L416" s="286"/>
      <c r="M416" s="285"/>
      <c r="N416" s="292"/>
      <c r="O416" s="292"/>
      <c r="P416" s="292"/>
      <c r="Q416" s="292"/>
      <c r="R416" s="292"/>
      <c r="S416" s="292"/>
      <c r="T416" s="292"/>
      <c r="U416" s="292"/>
      <c r="V416" s="292"/>
      <c r="W416" s="292"/>
    </row>
    <row r="417" spans="1:23" s="295" customFormat="1" ht="15.75">
      <c r="A417" s="287"/>
      <c r="B417" s="294"/>
      <c r="E417" s="229"/>
      <c r="F417" s="213"/>
      <c r="G417" s="286"/>
      <c r="H417" s="286"/>
      <c r="I417" s="296"/>
      <c r="J417" s="286"/>
      <c r="K417" s="296"/>
      <c r="L417" s="286"/>
      <c r="M417" s="285"/>
      <c r="N417" s="292"/>
      <c r="O417" s="292"/>
      <c r="P417" s="292"/>
      <c r="Q417" s="292"/>
      <c r="R417" s="292"/>
      <c r="S417" s="292"/>
      <c r="T417" s="292"/>
      <c r="U417" s="292"/>
      <c r="V417" s="292"/>
      <c r="W417" s="292"/>
    </row>
    <row r="418" spans="1:23" s="295" customFormat="1" ht="15.75">
      <c r="A418" s="287"/>
      <c r="B418" s="294"/>
      <c r="E418" s="229"/>
      <c r="F418" s="213"/>
      <c r="G418" s="286"/>
      <c r="H418" s="286"/>
      <c r="I418" s="296"/>
      <c r="J418" s="286"/>
      <c r="K418" s="296"/>
      <c r="L418" s="286"/>
      <c r="M418" s="285"/>
      <c r="N418" s="292"/>
      <c r="O418" s="292"/>
      <c r="P418" s="292"/>
      <c r="Q418" s="292"/>
      <c r="R418" s="292"/>
      <c r="S418" s="292"/>
      <c r="T418" s="292"/>
      <c r="U418" s="292"/>
      <c r="V418" s="292"/>
      <c r="W418" s="292"/>
    </row>
    <row r="419" spans="1:23" s="295" customFormat="1" ht="15.75">
      <c r="A419" s="287"/>
      <c r="B419" s="294"/>
      <c r="E419" s="229"/>
      <c r="F419" s="213"/>
      <c r="G419" s="286"/>
      <c r="H419" s="286"/>
      <c r="I419" s="296"/>
      <c r="J419" s="286"/>
      <c r="K419" s="296"/>
      <c r="L419" s="286"/>
      <c r="M419" s="285"/>
      <c r="N419" s="292"/>
      <c r="O419" s="292"/>
      <c r="P419" s="292"/>
      <c r="Q419" s="292"/>
      <c r="R419" s="292"/>
      <c r="S419" s="292"/>
      <c r="T419" s="292"/>
      <c r="U419" s="292"/>
      <c r="V419" s="292"/>
      <c r="W419" s="292"/>
    </row>
    <row r="420" spans="1:23" s="295" customFormat="1" ht="15.75">
      <c r="A420" s="287"/>
      <c r="B420" s="294"/>
      <c r="E420" s="229"/>
      <c r="F420" s="213"/>
      <c r="G420" s="286"/>
      <c r="H420" s="286"/>
      <c r="I420" s="296"/>
      <c r="J420" s="286"/>
      <c r="K420" s="296"/>
      <c r="L420" s="286"/>
      <c r="M420" s="285"/>
      <c r="N420" s="292"/>
      <c r="O420" s="292"/>
      <c r="P420" s="292"/>
      <c r="Q420" s="292"/>
      <c r="R420" s="292"/>
      <c r="S420" s="292"/>
      <c r="T420" s="292"/>
      <c r="U420" s="292"/>
      <c r="V420" s="292"/>
      <c r="W420" s="292"/>
    </row>
    <row r="421" spans="1:23" s="295" customFormat="1" ht="15.75">
      <c r="A421" s="287"/>
      <c r="B421" s="294"/>
      <c r="E421" s="229"/>
      <c r="F421" s="213"/>
      <c r="G421" s="286"/>
      <c r="H421" s="286"/>
      <c r="I421" s="296"/>
      <c r="J421" s="286"/>
      <c r="K421" s="296"/>
      <c r="L421" s="286"/>
      <c r="M421" s="285"/>
      <c r="N421" s="292"/>
      <c r="O421" s="292"/>
      <c r="P421" s="292"/>
      <c r="Q421" s="292"/>
      <c r="R421" s="292"/>
      <c r="S421" s="292"/>
      <c r="T421" s="292"/>
      <c r="U421" s="292"/>
      <c r="V421" s="292"/>
      <c r="W421" s="292"/>
    </row>
    <row r="422" spans="1:23" s="295" customFormat="1" ht="15.75">
      <c r="A422" s="287"/>
      <c r="B422" s="294"/>
      <c r="E422" s="229"/>
      <c r="F422" s="213"/>
      <c r="G422" s="286"/>
      <c r="H422" s="286"/>
      <c r="I422" s="296"/>
      <c r="J422" s="286"/>
      <c r="K422" s="296"/>
      <c r="L422" s="286"/>
      <c r="M422" s="285"/>
      <c r="N422" s="292"/>
      <c r="O422" s="292"/>
      <c r="P422" s="292"/>
      <c r="Q422" s="292"/>
      <c r="R422" s="292"/>
      <c r="S422" s="292"/>
      <c r="T422" s="292"/>
      <c r="U422" s="292"/>
      <c r="V422" s="292"/>
      <c r="W422" s="292"/>
    </row>
    <row r="423" spans="1:23" s="295" customFormat="1" ht="15.75">
      <c r="A423" s="287"/>
      <c r="B423" s="294"/>
      <c r="E423" s="229"/>
      <c r="F423" s="213"/>
      <c r="G423" s="286"/>
      <c r="H423" s="286"/>
      <c r="I423" s="296"/>
      <c r="J423" s="286"/>
      <c r="K423" s="296"/>
      <c r="L423" s="286"/>
      <c r="M423" s="285"/>
      <c r="N423" s="292"/>
      <c r="O423" s="292"/>
      <c r="P423" s="292"/>
      <c r="Q423" s="292"/>
      <c r="R423" s="292"/>
      <c r="S423" s="292"/>
      <c r="T423" s="292"/>
      <c r="U423" s="292"/>
      <c r="V423" s="292"/>
      <c r="W423" s="292"/>
    </row>
    <row r="424" spans="1:23" s="295" customFormat="1" ht="15.75">
      <c r="A424" s="287"/>
      <c r="B424" s="294"/>
      <c r="E424" s="229"/>
      <c r="F424" s="213"/>
      <c r="G424" s="286"/>
      <c r="H424" s="286"/>
      <c r="I424" s="296"/>
      <c r="J424" s="286"/>
      <c r="K424" s="296"/>
      <c r="L424" s="286"/>
      <c r="M424" s="285"/>
      <c r="N424" s="292"/>
      <c r="O424" s="292"/>
      <c r="P424" s="292"/>
      <c r="Q424" s="292"/>
      <c r="R424" s="292"/>
      <c r="S424" s="292"/>
      <c r="T424" s="292"/>
      <c r="U424" s="292"/>
      <c r="V424" s="292"/>
      <c r="W424" s="292"/>
    </row>
    <row r="425" spans="1:23" s="295" customFormat="1" ht="15.75">
      <c r="A425" s="287"/>
      <c r="B425" s="294"/>
      <c r="E425" s="229"/>
      <c r="F425" s="213"/>
      <c r="G425" s="286"/>
      <c r="H425" s="286"/>
      <c r="I425" s="296"/>
      <c r="J425" s="286"/>
      <c r="K425" s="296"/>
      <c r="L425" s="286"/>
      <c r="M425" s="285"/>
      <c r="N425" s="292"/>
      <c r="O425" s="292"/>
      <c r="P425" s="292"/>
      <c r="Q425" s="292"/>
      <c r="R425" s="292"/>
      <c r="S425" s="292"/>
      <c r="T425" s="292"/>
      <c r="U425" s="292"/>
      <c r="V425" s="292"/>
      <c r="W425" s="292"/>
    </row>
    <row r="426" spans="1:23" s="295" customFormat="1" ht="15.75">
      <c r="A426" s="287"/>
      <c r="B426" s="294"/>
      <c r="E426" s="229"/>
      <c r="F426" s="213"/>
      <c r="G426" s="286"/>
      <c r="H426" s="286"/>
      <c r="I426" s="296"/>
      <c r="J426" s="286"/>
      <c r="K426" s="296"/>
      <c r="L426" s="286"/>
      <c r="M426" s="285"/>
      <c r="N426" s="292"/>
      <c r="O426" s="292"/>
      <c r="P426" s="292"/>
      <c r="Q426" s="292"/>
      <c r="R426" s="292"/>
      <c r="S426" s="292"/>
      <c r="T426" s="292"/>
      <c r="U426" s="292"/>
      <c r="V426" s="292"/>
      <c r="W426" s="292"/>
    </row>
    <row r="427" spans="1:23" s="295" customFormat="1" ht="15.75">
      <c r="A427" s="287"/>
      <c r="B427" s="294"/>
      <c r="E427" s="229"/>
      <c r="F427" s="213"/>
      <c r="G427" s="286"/>
      <c r="H427" s="286"/>
      <c r="I427" s="296"/>
      <c r="J427" s="286"/>
      <c r="K427" s="296"/>
      <c r="L427" s="286"/>
      <c r="M427" s="285"/>
      <c r="N427" s="292"/>
      <c r="O427" s="292"/>
      <c r="P427" s="292"/>
      <c r="Q427" s="292"/>
      <c r="R427" s="292"/>
      <c r="S427" s="292"/>
      <c r="T427" s="292"/>
      <c r="U427" s="292"/>
      <c r="V427" s="292"/>
      <c r="W427" s="292"/>
    </row>
    <row r="428" spans="1:23" s="295" customFormat="1" ht="15.75">
      <c r="A428" s="287"/>
      <c r="B428" s="294"/>
      <c r="E428" s="229"/>
      <c r="F428" s="213"/>
      <c r="G428" s="286"/>
      <c r="H428" s="286"/>
      <c r="I428" s="296"/>
      <c r="J428" s="286"/>
      <c r="K428" s="296"/>
      <c r="L428" s="286"/>
      <c r="M428" s="285"/>
      <c r="N428" s="292"/>
      <c r="O428" s="292"/>
      <c r="P428" s="292"/>
      <c r="Q428" s="292"/>
      <c r="R428" s="292"/>
      <c r="S428" s="292"/>
      <c r="T428" s="292"/>
      <c r="U428" s="292"/>
      <c r="V428" s="292"/>
      <c r="W428" s="292"/>
    </row>
    <row r="429" spans="1:23" s="295" customFormat="1" ht="15.75">
      <c r="A429" s="287"/>
      <c r="B429" s="294"/>
      <c r="E429" s="229"/>
      <c r="F429" s="213"/>
      <c r="G429" s="286"/>
      <c r="H429" s="286"/>
      <c r="I429" s="296"/>
      <c r="J429" s="286"/>
      <c r="K429" s="296"/>
      <c r="L429" s="286"/>
      <c r="M429" s="285"/>
      <c r="N429" s="292"/>
      <c r="O429" s="292"/>
      <c r="P429" s="292"/>
      <c r="Q429" s="292"/>
      <c r="R429" s="292"/>
      <c r="S429" s="292"/>
      <c r="T429" s="292"/>
      <c r="U429" s="292"/>
      <c r="V429" s="292"/>
      <c r="W429" s="292"/>
    </row>
    <row r="430" spans="1:23" s="295" customFormat="1" ht="15.75">
      <c r="A430" s="287"/>
      <c r="B430" s="294"/>
      <c r="E430" s="229"/>
      <c r="F430" s="213"/>
      <c r="G430" s="286"/>
      <c r="H430" s="286"/>
      <c r="I430" s="296"/>
      <c r="J430" s="286"/>
      <c r="K430" s="296"/>
      <c r="L430" s="286"/>
      <c r="M430" s="285"/>
      <c r="N430" s="292"/>
      <c r="O430" s="292"/>
      <c r="P430" s="292"/>
      <c r="Q430" s="292"/>
      <c r="R430" s="292"/>
      <c r="S430" s="292"/>
      <c r="T430" s="292"/>
      <c r="U430" s="292"/>
      <c r="V430" s="292"/>
      <c r="W430" s="292"/>
    </row>
    <row r="431" spans="1:23" s="295" customFormat="1" ht="15.75">
      <c r="A431" s="287"/>
      <c r="B431" s="294"/>
      <c r="E431" s="229"/>
      <c r="F431" s="213"/>
      <c r="G431" s="286"/>
      <c r="H431" s="286"/>
      <c r="I431" s="296"/>
      <c r="J431" s="286"/>
      <c r="K431" s="296"/>
      <c r="L431" s="286"/>
      <c r="M431" s="285"/>
      <c r="N431" s="292"/>
      <c r="O431" s="292"/>
      <c r="P431" s="292"/>
      <c r="Q431" s="292"/>
      <c r="R431" s="292"/>
      <c r="S431" s="292"/>
      <c r="T431" s="292"/>
      <c r="U431" s="292"/>
      <c r="V431" s="292"/>
      <c r="W431" s="292"/>
    </row>
    <row r="432" spans="1:23" s="295" customFormat="1" ht="15.75">
      <c r="A432" s="287"/>
      <c r="B432" s="294"/>
      <c r="E432" s="229"/>
      <c r="F432" s="213"/>
      <c r="G432" s="286"/>
      <c r="H432" s="286"/>
      <c r="I432" s="296"/>
      <c r="J432" s="286"/>
      <c r="K432" s="296"/>
      <c r="L432" s="286"/>
      <c r="M432" s="285"/>
      <c r="N432" s="292"/>
      <c r="O432" s="292"/>
      <c r="P432" s="292"/>
      <c r="Q432" s="292"/>
      <c r="R432" s="292"/>
      <c r="S432" s="292"/>
      <c r="T432" s="292"/>
      <c r="U432" s="292"/>
      <c r="V432" s="292"/>
      <c r="W432" s="292"/>
    </row>
    <row r="433" spans="1:23" s="295" customFormat="1" ht="15.75">
      <c r="A433" s="287"/>
      <c r="B433" s="294"/>
      <c r="E433" s="229"/>
      <c r="F433" s="213"/>
      <c r="G433" s="286"/>
      <c r="H433" s="286"/>
      <c r="I433" s="296"/>
      <c r="J433" s="286"/>
      <c r="K433" s="296"/>
      <c r="L433" s="286"/>
      <c r="M433" s="285"/>
      <c r="N433" s="292"/>
      <c r="O433" s="292"/>
      <c r="P433" s="292"/>
      <c r="Q433" s="292"/>
      <c r="R433" s="292"/>
      <c r="S433" s="292"/>
      <c r="T433" s="292"/>
      <c r="U433" s="292"/>
      <c r="V433" s="292"/>
      <c r="W433" s="292"/>
    </row>
    <row r="434" spans="1:23" s="295" customFormat="1" ht="15.75">
      <c r="A434" s="287"/>
      <c r="B434" s="294"/>
      <c r="E434" s="229"/>
      <c r="F434" s="213"/>
      <c r="G434" s="286"/>
      <c r="H434" s="286"/>
      <c r="I434" s="296"/>
      <c r="J434" s="286"/>
      <c r="K434" s="296"/>
      <c r="L434" s="286"/>
      <c r="M434" s="285"/>
      <c r="N434" s="292"/>
      <c r="O434" s="292"/>
      <c r="P434" s="292"/>
      <c r="Q434" s="292"/>
      <c r="R434" s="292"/>
      <c r="S434" s="292"/>
      <c r="T434" s="292"/>
      <c r="U434" s="292"/>
      <c r="V434" s="292"/>
      <c r="W434" s="292"/>
    </row>
    <row r="435" spans="1:23" s="295" customFormat="1" ht="15.75">
      <c r="A435" s="287"/>
      <c r="B435" s="294"/>
      <c r="E435" s="229"/>
      <c r="F435" s="213"/>
      <c r="G435" s="286"/>
      <c r="H435" s="286"/>
      <c r="I435" s="296"/>
      <c r="J435" s="286"/>
      <c r="K435" s="296"/>
      <c r="L435" s="286"/>
      <c r="M435" s="285"/>
      <c r="N435" s="292"/>
      <c r="O435" s="292"/>
      <c r="P435" s="292"/>
      <c r="Q435" s="292"/>
      <c r="R435" s="292"/>
      <c r="S435" s="292"/>
      <c r="T435" s="292"/>
      <c r="U435" s="292"/>
      <c r="V435" s="292"/>
      <c r="W435" s="292"/>
    </row>
    <row r="436" spans="1:23" s="295" customFormat="1" ht="15.75">
      <c r="A436" s="287"/>
      <c r="B436" s="294"/>
      <c r="E436" s="229"/>
      <c r="F436" s="213"/>
      <c r="G436" s="286"/>
      <c r="H436" s="286"/>
      <c r="I436" s="296"/>
      <c r="J436" s="286"/>
      <c r="K436" s="296"/>
      <c r="L436" s="286"/>
      <c r="M436" s="285"/>
      <c r="N436" s="292"/>
      <c r="O436" s="292"/>
      <c r="P436" s="292"/>
      <c r="Q436" s="292"/>
      <c r="R436" s="292"/>
      <c r="S436" s="292"/>
      <c r="T436" s="292"/>
      <c r="U436" s="292"/>
      <c r="V436" s="292"/>
      <c r="W436" s="292"/>
    </row>
    <row r="437" spans="1:23" s="295" customFormat="1" ht="15.75">
      <c r="A437" s="287"/>
      <c r="B437" s="294"/>
      <c r="E437" s="229"/>
      <c r="F437" s="213"/>
      <c r="G437" s="286"/>
      <c r="H437" s="286"/>
      <c r="I437" s="296"/>
      <c r="J437" s="286"/>
      <c r="K437" s="296"/>
      <c r="L437" s="286"/>
      <c r="M437" s="285"/>
      <c r="N437" s="292"/>
      <c r="O437" s="292"/>
      <c r="P437" s="292"/>
      <c r="Q437" s="292"/>
      <c r="R437" s="292"/>
      <c r="S437" s="292"/>
      <c r="T437" s="292"/>
      <c r="U437" s="292"/>
      <c r="V437" s="292"/>
      <c r="W437" s="292"/>
    </row>
    <row r="438" spans="1:23" s="295" customFormat="1" ht="15.75">
      <c r="A438" s="287"/>
      <c r="B438" s="294"/>
      <c r="E438" s="229"/>
      <c r="F438" s="213"/>
      <c r="G438" s="286"/>
      <c r="H438" s="286"/>
      <c r="I438" s="296"/>
      <c r="J438" s="286"/>
      <c r="K438" s="296"/>
      <c r="L438" s="286"/>
      <c r="M438" s="285"/>
      <c r="N438" s="292"/>
      <c r="O438" s="292"/>
      <c r="P438" s="292"/>
      <c r="Q438" s="292"/>
      <c r="R438" s="292"/>
      <c r="S438" s="292"/>
      <c r="T438" s="292"/>
      <c r="U438" s="292"/>
      <c r="V438" s="292"/>
      <c r="W438" s="292"/>
    </row>
    <row r="439" spans="1:23" s="295" customFormat="1" ht="15.75">
      <c r="A439" s="287"/>
      <c r="B439" s="294"/>
      <c r="E439" s="229"/>
      <c r="F439" s="213"/>
      <c r="G439" s="286"/>
      <c r="H439" s="286"/>
      <c r="I439" s="296"/>
      <c r="J439" s="286"/>
      <c r="K439" s="296"/>
      <c r="L439" s="286"/>
      <c r="M439" s="285"/>
      <c r="N439" s="292"/>
      <c r="O439" s="292"/>
      <c r="P439" s="292"/>
      <c r="Q439" s="292"/>
      <c r="R439" s="292"/>
      <c r="S439" s="292"/>
      <c r="T439" s="292"/>
      <c r="U439" s="292"/>
      <c r="V439" s="292"/>
      <c r="W439" s="292"/>
    </row>
    <row r="440" spans="1:23" s="295" customFormat="1" ht="15.75">
      <c r="A440" s="287"/>
      <c r="B440" s="294"/>
      <c r="E440" s="229"/>
      <c r="F440" s="213"/>
      <c r="G440" s="286"/>
      <c r="H440" s="286"/>
      <c r="I440" s="296"/>
      <c r="J440" s="286"/>
      <c r="K440" s="296"/>
      <c r="L440" s="286"/>
      <c r="M440" s="285"/>
      <c r="N440" s="292"/>
      <c r="O440" s="292"/>
      <c r="P440" s="292"/>
      <c r="Q440" s="292"/>
      <c r="R440" s="292"/>
      <c r="S440" s="292"/>
      <c r="T440" s="292"/>
      <c r="U440" s="292"/>
      <c r="V440" s="292"/>
      <c r="W440" s="292"/>
    </row>
    <row r="441" spans="1:23" s="295" customFormat="1" ht="15.75">
      <c r="A441" s="287"/>
      <c r="B441" s="294"/>
      <c r="E441" s="229"/>
      <c r="F441" s="213"/>
      <c r="G441" s="286"/>
      <c r="H441" s="286"/>
      <c r="I441" s="296"/>
      <c r="J441" s="286"/>
      <c r="K441" s="296"/>
      <c r="L441" s="286"/>
      <c r="M441" s="285"/>
      <c r="N441" s="292"/>
      <c r="O441" s="292"/>
      <c r="P441" s="292"/>
      <c r="Q441" s="292"/>
      <c r="R441" s="292"/>
      <c r="S441" s="292"/>
      <c r="T441" s="292"/>
      <c r="U441" s="292"/>
      <c r="V441" s="292"/>
      <c r="W441" s="292"/>
    </row>
    <row r="442" spans="1:23" s="295" customFormat="1" ht="15.75">
      <c r="A442" s="287"/>
      <c r="B442" s="294"/>
      <c r="E442" s="229"/>
      <c r="F442" s="213"/>
      <c r="G442" s="286"/>
      <c r="H442" s="286"/>
      <c r="I442" s="296"/>
      <c r="J442" s="286"/>
      <c r="K442" s="296"/>
      <c r="L442" s="286"/>
      <c r="M442" s="285"/>
      <c r="N442" s="292"/>
      <c r="O442" s="292"/>
      <c r="P442" s="292"/>
      <c r="Q442" s="292"/>
      <c r="R442" s="292"/>
      <c r="S442" s="292"/>
      <c r="T442" s="292"/>
      <c r="U442" s="292"/>
      <c r="V442" s="292"/>
      <c r="W442" s="292"/>
    </row>
    <row r="443" spans="1:23" s="295" customFormat="1" ht="15.75">
      <c r="A443" s="287"/>
      <c r="B443" s="294"/>
      <c r="E443" s="229"/>
      <c r="F443" s="213"/>
      <c r="G443" s="286"/>
      <c r="H443" s="286"/>
      <c r="I443" s="296"/>
      <c r="J443" s="286"/>
      <c r="K443" s="296"/>
      <c r="L443" s="286"/>
      <c r="M443" s="285"/>
      <c r="N443" s="292"/>
      <c r="O443" s="292"/>
      <c r="P443" s="292"/>
      <c r="Q443" s="292"/>
      <c r="R443" s="292"/>
      <c r="S443" s="292"/>
      <c r="T443" s="292"/>
      <c r="U443" s="292"/>
      <c r="V443" s="292"/>
      <c r="W443" s="292"/>
    </row>
    <row r="444" spans="1:23" s="295" customFormat="1" ht="15.75">
      <c r="A444" s="287"/>
      <c r="B444" s="294"/>
      <c r="E444" s="229"/>
      <c r="F444" s="213"/>
      <c r="G444" s="286"/>
      <c r="H444" s="286"/>
      <c r="I444" s="296"/>
      <c r="J444" s="286"/>
      <c r="K444" s="296"/>
      <c r="L444" s="286"/>
      <c r="M444" s="285"/>
      <c r="N444" s="292"/>
      <c r="O444" s="292"/>
      <c r="P444" s="292"/>
      <c r="Q444" s="292"/>
      <c r="R444" s="292"/>
      <c r="S444" s="292"/>
      <c r="T444" s="292"/>
      <c r="U444" s="292"/>
      <c r="V444" s="292"/>
      <c r="W444" s="292"/>
    </row>
    <row r="445" spans="1:23" s="295" customFormat="1" ht="15.75">
      <c r="A445" s="287"/>
      <c r="B445" s="294"/>
      <c r="E445" s="229"/>
      <c r="F445" s="213"/>
      <c r="G445" s="286"/>
      <c r="H445" s="286"/>
      <c r="I445" s="296"/>
      <c r="J445" s="286"/>
      <c r="K445" s="296"/>
      <c r="L445" s="286"/>
      <c r="M445" s="285"/>
      <c r="N445" s="292"/>
      <c r="O445" s="292"/>
      <c r="P445" s="292"/>
      <c r="Q445" s="292"/>
      <c r="R445" s="292"/>
      <c r="S445" s="292"/>
      <c r="T445" s="292"/>
      <c r="U445" s="292"/>
      <c r="V445" s="292"/>
      <c r="W445" s="292"/>
    </row>
    <row r="446" spans="1:23" s="295" customFormat="1" ht="15.75">
      <c r="A446" s="287"/>
      <c r="B446" s="294"/>
      <c r="E446" s="229"/>
      <c r="F446" s="213"/>
      <c r="G446" s="286"/>
      <c r="H446" s="286"/>
      <c r="I446" s="296"/>
      <c r="J446" s="286"/>
      <c r="K446" s="296"/>
      <c r="L446" s="286"/>
      <c r="M446" s="285"/>
      <c r="N446" s="292"/>
      <c r="O446" s="292"/>
      <c r="P446" s="292"/>
      <c r="Q446" s="292"/>
      <c r="R446" s="292"/>
      <c r="S446" s="292"/>
      <c r="T446" s="292"/>
      <c r="U446" s="292"/>
      <c r="V446" s="292"/>
      <c r="W446" s="292"/>
    </row>
    <row r="447" spans="1:23" s="295" customFormat="1" ht="15.75">
      <c r="A447" s="287"/>
      <c r="B447" s="294"/>
      <c r="E447" s="229"/>
      <c r="F447" s="213"/>
      <c r="G447" s="286"/>
      <c r="H447" s="286"/>
      <c r="I447" s="296"/>
      <c r="J447" s="286"/>
      <c r="K447" s="296"/>
      <c r="L447" s="286"/>
      <c r="M447" s="285"/>
      <c r="N447" s="292"/>
      <c r="O447" s="292"/>
      <c r="P447" s="292"/>
      <c r="Q447" s="292"/>
      <c r="R447" s="292"/>
      <c r="S447" s="292"/>
      <c r="T447" s="292"/>
      <c r="U447" s="292"/>
      <c r="V447" s="292"/>
      <c r="W447" s="292"/>
    </row>
    <row r="448" spans="1:23" s="295" customFormat="1" ht="15.75">
      <c r="A448" s="287"/>
      <c r="B448" s="294"/>
      <c r="E448" s="229"/>
      <c r="F448" s="213"/>
      <c r="G448" s="286"/>
      <c r="H448" s="286"/>
      <c r="I448" s="296"/>
      <c r="J448" s="286"/>
      <c r="K448" s="296"/>
      <c r="L448" s="286"/>
      <c r="M448" s="285"/>
      <c r="N448" s="292"/>
      <c r="O448" s="292"/>
      <c r="P448" s="292"/>
      <c r="Q448" s="292"/>
      <c r="R448" s="292"/>
      <c r="S448" s="292"/>
      <c r="T448" s="292"/>
      <c r="U448" s="292"/>
      <c r="V448" s="292"/>
      <c r="W448" s="292"/>
    </row>
    <row r="449" spans="1:23" s="295" customFormat="1" ht="15.75">
      <c r="A449" s="287"/>
      <c r="B449" s="294"/>
      <c r="E449" s="229"/>
      <c r="F449" s="213"/>
      <c r="G449" s="286"/>
      <c r="H449" s="286"/>
      <c r="I449" s="296"/>
      <c r="J449" s="286"/>
      <c r="K449" s="296"/>
      <c r="L449" s="286"/>
      <c r="M449" s="285"/>
      <c r="N449" s="292"/>
      <c r="O449" s="292"/>
      <c r="P449" s="292"/>
      <c r="Q449" s="292"/>
      <c r="R449" s="292"/>
      <c r="S449" s="292"/>
      <c r="T449" s="292"/>
      <c r="U449" s="292"/>
      <c r="V449" s="292"/>
      <c r="W449" s="292"/>
    </row>
    <row r="450" spans="1:23" s="295" customFormat="1" ht="15.75">
      <c r="A450" s="287"/>
      <c r="B450" s="294"/>
      <c r="E450" s="229"/>
      <c r="F450" s="213"/>
      <c r="G450" s="286"/>
      <c r="H450" s="286"/>
      <c r="I450" s="296"/>
      <c r="J450" s="286"/>
      <c r="K450" s="296"/>
      <c r="L450" s="286"/>
      <c r="M450" s="285"/>
      <c r="N450" s="292"/>
      <c r="O450" s="292"/>
      <c r="P450" s="292"/>
      <c r="Q450" s="292"/>
      <c r="R450" s="292"/>
      <c r="S450" s="292"/>
      <c r="T450" s="292"/>
      <c r="U450" s="292"/>
      <c r="V450" s="292"/>
      <c r="W450" s="292"/>
    </row>
    <row r="451" spans="1:23" s="295" customFormat="1" ht="15.75">
      <c r="A451" s="287"/>
      <c r="B451" s="294"/>
      <c r="E451" s="229"/>
      <c r="F451" s="213"/>
      <c r="G451" s="286"/>
      <c r="H451" s="286"/>
      <c r="I451" s="296"/>
      <c r="J451" s="286"/>
      <c r="K451" s="296"/>
      <c r="L451" s="286"/>
      <c r="M451" s="285"/>
      <c r="N451" s="292"/>
      <c r="O451" s="292"/>
      <c r="P451" s="292"/>
      <c r="Q451" s="292"/>
      <c r="R451" s="292"/>
      <c r="S451" s="292"/>
      <c r="T451" s="292"/>
      <c r="U451" s="292"/>
      <c r="V451" s="292"/>
      <c r="W451" s="292"/>
    </row>
    <row r="452" spans="1:23" s="295" customFormat="1" ht="15.75">
      <c r="A452" s="287"/>
      <c r="B452" s="294"/>
      <c r="E452" s="229"/>
      <c r="F452" s="213"/>
      <c r="G452" s="286"/>
      <c r="H452" s="286"/>
      <c r="I452" s="296"/>
      <c r="J452" s="286"/>
      <c r="K452" s="296"/>
      <c r="L452" s="286"/>
      <c r="M452" s="285"/>
      <c r="N452" s="292"/>
      <c r="O452" s="292"/>
      <c r="P452" s="292"/>
      <c r="Q452" s="292"/>
      <c r="R452" s="292"/>
      <c r="S452" s="292"/>
      <c r="T452" s="292"/>
      <c r="U452" s="292"/>
      <c r="V452" s="292"/>
      <c r="W452" s="292"/>
    </row>
    <row r="453" spans="1:23" s="295" customFormat="1" ht="15.75">
      <c r="A453" s="287"/>
      <c r="B453" s="294"/>
      <c r="E453" s="229"/>
      <c r="F453" s="213"/>
      <c r="G453" s="286"/>
      <c r="H453" s="286"/>
      <c r="I453" s="296"/>
      <c r="J453" s="286"/>
      <c r="K453" s="296"/>
      <c r="L453" s="286"/>
      <c r="M453" s="285"/>
      <c r="N453" s="292"/>
      <c r="O453" s="292"/>
      <c r="P453" s="292"/>
      <c r="Q453" s="292"/>
      <c r="R453" s="292"/>
      <c r="S453" s="292"/>
      <c r="T453" s="292"/>
      <c r="U453" s="292"/>
      <c r="V453" s="292"/>
      <c r="W453" s="292"/>
    </row>
    <row r="454" spans="1:23" s="295" customFormat="1" ht="15.75">
      <c r="A454" s="287"/>
      <c r="B454" s="294"/>
      <c r="E454" s="229"/>
      <c r="F454" s="213"/>
      <c r="G454" s="286"/>
      <c r="H454" s="286"/>
      <c r="I454" s="296"/>
      <c r="J454" s="286"/>
      <c r="K454" s="296"/>
      <c r="L454" s="286"/>
      <c r="M454" s="285"/>
      <c r="N454" s="292"/>
      <c r="O454" s="292"/>
      <c r="P454" s="292"/>
      <c r="Q454" s="292"/>
      <c r="R454" s="292"/>
      <c r="S454" s="292"/>
      <c r="T454" s="292"/>
      <c r="U454" s="292"/>
      <c r="V454" s="292"/>
      <c r="W454" s="292"/>
    </row>
    <row r="455" spans="1:23" s="295" customFormat="1" ht="15.75">
      <c r="A455" s="287"/>
      <c r="B455" s="294"/>
      <c r="E455" s="229"/>
      <c r="F455" s="213"/>
      <c r="G455" s="286"/>
      <c r="H455" s="286"/>
      <c r="I455" s="296"/>
      <c r="J455" s="286"/>
      <c r="K455" s="296"/>
      <c r="L455" s="286"/>
      <c r="M455" s="285"/>
      <c r="N455" s="292"/>
      <c r="O455" s="292"/>
      <c r="P455" s="292"/>
      <c r="Q455" s="292"/>
      <c r="R455" s="292"/>
      <c r="S455" s="292"/>
      <c r="T455" s="292"/>
      <c r="U455" s="292"/>
      <c r="V455" s="292"/>
      <c r="W455" s="292"/>
    </row>
    <row r="456" spans="1:23" s="295" customFormat="1" ht="15.75">
      <c r="A456" s="287"/>
      <c r="B456" s="294"/>
      <c r="E456" s="229"/>
      <c r="F456" s="213"/>
      <c r="G456" s="286"/>
      <c r="H456" s="286"/>
      <c r="I456" s="296"/>
      <c r="J456" s="286"/>
      <c r="K456" s="296"/>
      <c r="L456" s="286"/>
      <c r="M456" s="285"/>
      <c r="N456" s="292"/>
      <c r="O456" s="292"/>
      <c r="P456" s="292"/>
      <c r="Q456" s="292"/>
      <c r="R456" s="292"/>
      <c r="S456" s="292"/>
      <c r="T456" s="292"/>
      <c r="U456" s="292"/>
      <c r="V456" s="292"/>
      <c r="W456" s="292"/>
    </row>
    <row r="457" spans="1:23" s="295" customFormat="1" ht="15.75">
      <c r="A457" s="287"/>
      <c r="B457" s="294"/>
      <c r="E457" s="229"/>
      <c r="F457" s="213"/>
      <c r="G457" s="286"/>
      <c r="H457" s="286"/>
      <c r="I457" s="296"/>
      <c r="J457" s="286"/>
      <c r="K457" s="296"/>
      <c r="L457" s="286"/>
      <c r="M457" s="285"/>
      <c r="N457" s="292"/>
      <c r="O457" s="292"/>
      <c r="P457" s="292"/>
      <c r="Q457" s="292"/>
      <c r="R457" s="292"/>
      <c r="S457" s="292"/>
      <c r="T457" s="292"/>
      <c r="U457" s="292"/>
      <c r="V457" s="292"/>
      <c r="W457" s="292"/>
    </row>
    <row r="458" spans="1:23" s="295" customFormat="1" ht="15.75">
      <c r="A458" s="287"/>
      <c r="B458" s="294"/>
      <c r="E458" s="229"/>
      <c r="F458" s="213"/>
      <c r="G458" s="286"/>
      <c r="H458" s="286"/>
      <c r="I458" s="296"/>
      <c r="J458" s="286"/>
      <c r="K458" s="296"/>
      <c r="L458" s="286"/>
      <c r="M458" s="285"/>
      <c r="N458" s="292"/>
      <c r="O458" s="292"/>
      <c r="P458" s="292"/>
      <c r="Q458" s="292"/>
      <c r="R458" s="292"/>
      <c r="S458" s="292"/>
      <c r="T458" s="292"/>
      <c r="U458" s="292"/>
      <c r="V458" s="292"/>
      <c r="W458" s="292"/>
    </row>
    <row r="459" spans="1:23" s="295" customFormat="1" ht="15.75">
      <c r="A459" s="287"/>
      <c r="B459" s="294"/>
      <c r="E459" s="229"/>
      <c r="F459" s="213"/>
      <c r="G459" s="286"/>
      <c r="H459" s="286"/>
      <c r="I459" s="296"/>
      <c r="J459" s="286"/>
      <c r="K459" s="296"/>
      <c r="L459" s="286"/>
      <c r="M459" s="285"/>
      <c r="N459" s="292"/>
      <c r="O459" s="292"/>
      <c r="P459" s="292"/>
      <c r="Q459" s="292"/>
      <c r="R459" s="292"/>
      <c r="S459" s="292"/>
      <c r="T459" s="292"/>
      <c r="U459" s="292"/>
      <c r="V459" s="292"/>
      <c r="W459" s="292"/>
    </row>
    <row r="460" spans="1:23" s="295" customFormat="1" ht="15.75">
      <c r="A460" s="287"/>
      <c r="B460" s="294"/>
      <c r="E460" s="229"/>
      <c r="F460" s="213"/>
      <c r="G460" s="286"/>
      <c r="H460" s="286"/>
      <c r="I460" s="296"/>
      <c r="J460" s="286"/>
      <c r="K460" s="296"/>
      <c r="L460" s="286"/>
      <c r="M460" s="285"/>
      <c r="N460" s="292"/>
      <c r="O460" s="292"/>
      <c r="P460" s="292"/>
      <c r="Q460" s="292"/>
      <c r="R460" s="292"/>
      <c r="S460" s="292"/>
      <c r="T460" s="292"/>
      <c r="U460" s="292"/>
      <c r="V460" s="292"/>
      <c r="W460" s="292"/>
    </row>
    <row r="461" spans="1:23" s="295" customFormat="1" ht="15.75">
      <c r="A461" s="287"/>
      <c r="B461" s="294"/>
      <c r="E461" s="229"/>
      <c r="F461" s="213"/>
      <c r="G461" s="286"/>
      <c r="H461" s="286"/>
      <c r="I461" s="296"/>
      <c r="J461" s="286"/>
      <c r="K461" s="296"/>
      <c r="L461" s="286"/>
      <c r="M461" s="285"/>
      <c r="N461" s="292"/>
      <c r="O461" s="292"/>
      <c r="P461" s="292"/>
      <c r="Q461" s="292"/>
      <c r="R461" s="292"/>
      <c r="S461" s="292"/>
      <c r="T461" s="292"/>
      <c r="U461" s="292"/>
      <c r="V461" s="292"/>
      <c r="W461" s="292"/>
    </row>
    <row r="462" spans="1:23" s="295" customFormat="1" ht="15.75">
      <c r="A462" s="287"/>
      <c r="B462" s="294"/>
      <c r="E462" s="229"/>
      <c r="F462" s="213"/>
      <c r="G462" s="286"/>
      <c r="H462" s="286"/>
      <c r="I462" s="296"/>
      <c r="J462" s="286"/>
      <c r="K462" s="296"/>
      <c r="L462" s="286"/>
      <c r="M462" s="285"/>
      <c r="N462" s="292"/>
      <c r="O462" s="292"/>
      <c r="P462" s="292"/>
      <c r="Q462" s="292"/>
      <c r="R462" s="292"/>
      <c r="S462" s="292"/>
      <c r="T462" s="292"/>
      <c r="U462" s="292"/>
      <c r="V462" s="292"/>
      <c r="W462" s="292"/>
    </row>
    <row r="463" spans="1:23" s="295" customFormat="1" ht="15.75">
      <c r="A463" s="287"/>
      <c r="B463" s="294"/>
      <c r="E463" s="229"/>
      <c r="F463" s="213"/>
      <c r="G463" s="286"/>
      <c r="H463" s="286"/>
      <c r="I463" s="296"/>
      <c r="J463" s="286"/>
      <c r="K463" s="296"/>
      <c r="L463" s="286"/>
      <c r="M463" s="285"/>
      <c r="N463" s="292"/>
      <c r="O463" s="292"/>
      <c r="P463" s="292"/>
      <c r="Q463" s="292"/>
      <c r="R463" s="292"/>
      <c r="S463" s="292"/>
      <c r="T463" s="292"/>
      <c r="U463" s="292"/>
      <c r="V463" s="292"/>
      <c r="W463" s="292"/>
    </row>
    <row r="464" spans="1:23" s="295" customFormat="1" ht="15.75">
      <c r="A464" s="287"/>
      <c r="B464" s="294"/>
      <c r="E464" s="229"/>
      <c r="F464" s="213"/>
      <c r="G464" s="286"/>
      <c r="H464" s="286"/>
      <c r="I464" s="296"/>
      <c r="J464" s="286"/>
      <c r="K464" s="296"/>
      <c r="L464" s="286"/>
      <c r="M464" s="285"/>
      <c r="N464" s="292"/>
      <c r="O464" s="292"/>
      <c r="P464" s="292"/>
      <c r="Q464" s="292"/>
      <c r="R464" s="292"/>
      <c r="S464" s="292"/>
      <c r="T464" s="292"/>
      <c r="U464" s="292"/>
      <c r="V464" s="292"/>
      <c r="W464" s="292"/>
    </row>
    <row r="465" spans="1:23" s="295" customFormat="1" ht="15.75">
      <c r="A465" s="287"/>
      <c r="B465" s="294"/>
      <c r="E465" s="229"/>
      <c r="F465" s="213"/>
      <c r="G465" s="286"/>
      <c r="H465" s="286"/>
      <c r="I465" s="296"/>
      <c r="J465" s="286"/>
      <c r="K465" s="296"/>
      <c r="L465" s="286"/>
      <c r="M465" s="285"/>
      <c r="N465" s="292"/>
      <c r="O465" s="292"/>
      <c r="P465" s="292"/>
      <c r="Q465" s="292"/>
      <c r="R465" s="292"/>
      <c r="S465" s="292"/>
      <c r="T465" s="292"/>
      <c r="U465" s="292"/>
      <c r="V465" s="292"/>
      <c r="W465" s="292"/>
    </row>
    <row r="466" spans="1:23" s="295" customFormat="1" ht="15.75">
      <c r="A466" s="287"/>
      <c r="B466" s="294"/>
      <c r="E466" s="229"/>
      <c r="F466" s="213"/>
      <c r="G466" s="286"/>
      <c r="H466" s="286"/>
      <c r="I466" s="296"/>
      <c r="J466" s="286"/>
      <c r="K466" s="296"/>
      <c r="L466" s="286"/>
      <c r="M466" s="285"/>
      <c r="N466" s="292"/>
      <c r="O466" s="292"/>
      <c r="P466" s="292"/>
      <c r="Q466" s="292"/>
      <c r="R466" s="292"/>
      <c r="S466" s="292"/>
      <c r="T466" s="292"/>
      <c r="U466" s="292"/>
      <c r="V466" s="292"/>
      <c r="W466" s="292"/>
    </row>
    <row r="467" spans="1:23" s="295" customFormat="1" ht="15.75">
      <c r="A467" s="287"/>
      <c r="B467" s="294"/>
      <c r="E467" s="229"/>
      <c r="F467" s="213"/>
      <c r="G467" s="286"/>
      <c r="H467" s="286"/>
      <c r="I467" s="296"/>
      <c r="J467" s="286"/>
      <c r="K467" s="296"/>
      <c r="L467" s="286"/>
      <c r="M467" s="285"/>
      <c r="N467" s="292"/>
      <c r="O467" s="292"/>
      <c r="P467" s="292"/>
      <c r="Q467" s="292"/>
      <c r="R467" s="292"/>
      <c r="S467" s="292"/>
      <c r="T467" s="292"/>
      <c r="U467" s="292"/>
      <c r="V467" s="292"/>
      <c r="W467" s="292"/>
    </row>
    <row r="468" spans="1:23" s="295" customFormat="1" ht="15.75">
      <c r="A468" s="287"/>
      <c r="B468" s="294"/>
      <c r="E468" s="229"/>
      <c r="F468" s="213"/>
      <c r="G468" s="286"/>
      <c r="H468" s="286"/>
      <c r="I468" s="296"/>
      <c r="J468" s="286"/>
      <c r="K468" s="296"/>
      <c r="L468" s="286"/>
      <c r="M468" s="285"/>
      <c r="N468" s="292"/>
      <c r="O468" s="292"/>
      <c r="P468" s="292"/>
      <c r="Q468" s="292"/>
      <c r="R468" s="292"/>
      <c r="S468" s="292"/>
      <c r="T468" s="292"/>
      <c r="U468" s="292"/>
      <c r="V468" s="292"/>
      <c r="W468" s="292"/>
    </row>
    <row r="469" spans="1:23" s="295" customFormat="1" ht="15.75">
      <c r="A469" s="287"/>
      <c r="B469" s="294"/>
      <c r="E469" s="229"/>
      <c r="F469" s="213"/>
      <c r="G469" s="286"/>
      <c r="H469" s="286"/>
      <c r="I469" s="296"/>
      <c r="J469" s="286"/>
      <c r="K469" s="296"/>
      <c r="L469" s="286"/>
      <c r="M469" s="285"/>
      <c r="N469" s="292"/>
      <c r="O469" s="292"/>
      <c r="P469" s="292"/>
      <c r="Q469" s="292"/>
      <c r="R469" s="292"/>
      <c r="S469" s="292"/>
      <c r="T469" s="292"/>
      <c r="U469" s="292"/>
      <c r="V469" s="292"/>
      <c r="W469" s="292"/>
    </row>
    <row r="470" spans="1:23" s="295" customFormat="1" ht="15.75">
      <c r="A470" s="287"/>
      <c r="B470" s="294"/>
      <c r="E470" s="229"/>
      <c r="F470" s="213"/>
      <c r="G470" s="286"/>
      <c r="H470" s="286"/>
      <c r="I470" s="296"/>
      <c r="J470" s="286"/>
      <c r="K470" s="296"/>
      <c r="L470" s="286"/>
      <c r="M470" s="285"/>
      <c r="N470" s="292"/>
      <c r="O470" s="292"/>
      <c r="P470" s="292"/>
      <c r="Q470" s="292"/>
      <c r="R470" s="292"/>
      <c r="S470" s="292"/>
      <c r="T470" s="292"/>
      <c r="U470" s="292"/>
      <c r="V470" s="292"/>
      <c r="W470" s="292"/>
    </row>
    <row r="471" spans="1:23" s="295" customFormat="1" ht="15.75">
      <c r="A471" s="287"/>
      <c r="B471" s="294"/>
      <c r="E471" s="229"/>
      <c r="F471" s="213"/>
      <c r="G471" s="286"/>
      <c r="H471" s="286"/>
      <c r="I471" s="296"/>
      <c r="J471" s="286"/>
      <c r="K471" s="296"/>
      <c r="L471" s="286"/>
      <c r="M471" s="285"/>
      <c r="N471" s="292"/>
      <c r="O471" s="292"/>
      <c r="P471" s="292"/>
      <c r="Q471" s="292"/>
      <c r="R471" s="292"/>
      <c r="S471" s="292"/>
      <c r="T471" s="292"/>
      <c r="U471" s="292"/>
      <c r="V471" s="292"/>
      <c r="W471" s="292"/>
    </row>
    <row r="472" spans="1:23" s="295" customFormat="1" ht="15.75">
      <c r="A472" s="287"/>
      <c r="B472" s="294"/>
      <c r="E472" s="229"/>
      <c r="F472" s="213"/>
      <c r="G472" s="286"/>
      <c r="H472" s="286"/>
      <c r="I472" s="296"/>
      <c r="J472" s="286"/>
      <c r="K472" s="296"/>
      <c r="L472" s="286"/>
      <c r="M472" s="285"/>
      <c r="N472" s="292"/>
      <c r="O472" s="292"/>
      <c r="P472" s="292"/>
      <c r="Q472" s="292"/>
      <c r="R472" s="292"/>
      <c r="S472" s="292"/>
      <c r="T472" s="292"/>
      <c r="U472" s="292"/>
      <c r="V472" s="292"/>
      <c r="W472" s="292"/>
    </row>
    <row r="473" spans="1:23" s="295" customFormat="1" ht="15.75">
      <c r="A473" s="287"/>
      <c r="B473" s="294"/>
      <c r="E473" s="229"/>
      <c r="F473" s="213"/>
      <c r="G473" s="286"/>
      <c r="H473" s="286"/>
      <c r="I473" s="296"/>
      <c r="J473" s="286"/>
      <c r="K473" s="296"/>
      <c r="L473" s="286"/>
      <c r="M473" s="285"/>
      <c r="N473" s="292"/>
      <c r="O473" s="292"/>
      <c r="P473" s="292"/>
      <c r="Q473" s="292"/>
      <c r="R473" s="292"/>
      <c r="S473" s="292"/>
      <c r="T473" s="292"/>
      <c r="U473" s="292"/>
      <c r="V473" s="292"/>
      <c r="W473" s="292"/>
    </row>
    <row r="474" spans="1:23" s="295" customFormat="1" ht="15.75">
      <c r="A474" s="287"/>
      <c r="B474" s="294"/>
      <c r="E474" s="229"/>
      <c r="F474" s="213"/>
      <c r="G474" s="286"/>
      <c r="H474" s="286"/>
      <c r="I474" s="296"/>
      <c r="J474" s="286"/>
      <c r="K474" s="296"/>
      <c r="L474" s="286"/>
      <c r="M474" s="285"/>
      <c r="N474" s="292"/>
      <c r="O474" s="292"/>
      <c r="P474" s="292"/>
      <c r="Q474" s="292"/>
      <c r="R474" s="292"/>
      <c r="S474" s="292"/>
      <c r="T474" s="292"/>
      <c r="U474" s="292"/>
      <c r="V474" s="292"/>
      <c r="W474" s="292"/>
    </row>
    <row r="475" spans="1:23" s="295" customFormat="1" ht="15.75">
      <c r="A475" s="287"/>
      <c r="B475" s="294"/>
      <c r="E475" s="229"/>
      <c r="F475" s="213"/>
      <c r="G475" s="286"/>
      <c r="H475" s="286"/>
      <c r="I475" s="296"/>
      <c r="J475" s="286"/>
      <c r="K475" s="296"/>
      <c r="L475" s="286"/>
      <c r="M475" s="285"/>
      <c r="N475" s="292"/>
      <c r="O475" s="292"/>
      <c r="P475" s="292"/>
      <c r="Q475" s="292"/>
      <c r="R475" s="292"/>
      <c r="S475" s="292"/>
      <c r="T475" s="292"/>
      <c r="U475" s="292"/>
      <c r="V475" s="292"/>
      <c r="W475" s="292"/>
    </row>
    <row r="476" spans="1:23" s="295" customFormat="1" ht="15.75">
      <c r="A476" s="287"/>
      <c r="B476" s="294"/>
      <c r="E476" s="229"/>
      <c r="F476" s="213"/>
      <c r="G476" s="286"/>
      <c r="H476" s="286"/>
      <c r="I476" s="296"/>
      <c r="J476" s="286"/>
      <c r="K476" s="296"/>
      <c r="L476" s="286"/>
      <c r="M476" s="285"/>
      <c r="N476" s="292"/>
      <c r="O476" s="292"/>
      <c r="P476" s="292"/>
      <c r="Q476" s="292"/>
      <c r="R476" s="292"/>
      <c r="S476" s="292"/>
      <c r="T476" s="292"/>
      <c r="U476" s="292"/>
      <c r="V476" s="292"/>
      <c r="W476" s="292"/>
    </row>
    <row r="477" spans="1:23" s="295" customFormat="1" ht="15.75">
      <c r="A477" s="287"/>
      <c r="B477" s="294"/>
      <c r="E477" s="229"/>
      <c r="F477" s="213"/>
      <c r="G477" s="286"/>
      <c r="H477" s="286"/>
      <c r="I477" s="296"/>
      <c r="J477" s="286"/>
      <c r="K477" s="296"/>
      <c r="L477" s="286"/>
      <c r="M477" s="285"/>
      <c r="N477" s="292"/>
      <c r="O477" s="292"/>
      <c r="P477" s="292"/>
      <c r="Q477" s="292"/>
      <c r="R477" s="292"/>
      <c r="S477" s="292"/>
      <c r="T477" s="292"/>
      <c r="U477" s="292"/>
      <c r="V477" s="292"/>
      <c r="W477" s="292"/>
    </row>
    <row r="478" spans="1:23" s="295" customFormat="1" ht="15.75">
      <c r="A478" s="287"/>
      <c r="B478" s="294"/>
      <c r="E478" s="229"/>
      <c r="F478" s="213"/>
      <c r="G478" s="286"/>
      <c r="H478" s="286"/>
      <c r="I478" s="296"/>
      <c r="J478" s="286"/>
      <c r="K478" s="296"/>
      <c r="L478" s="286"/>
      <c r="M478" s="285"/>
      <c r="N478" s="292"/>
      <c r="O478" s="292"/>
      <c r="P478" s="292"/>
      <c r="Q478" s="292"/>
      <c r="R478" s="292"/>
      <c r="S478" s="292"/>
      <c r="T478" s="292"/>
      <c r="U478" s="292"/>
      <c r="V478" s="292"/>
      <c r="W478" s="292"/>
    </row>
    <row r="479" spans="1:23" s="295" customFormat="1" ht="15.75">
      <c r="A479" s="287"/>
      <c r="B479" s="294"/>
      <c r="E479" s="229"/>
      <c r="F479" s="213"/>
      <c r="G479" s="286"/>
      <c r="H479" s="286"/>
      <c r="I479" s="296"/>
      <c r="J479" s="286"/>
      <c r="K479" s="296"/>
      <c r="L479" s="286"/>
      <c r="M479" s="285"/>
      <c r="N479" s="292"/>
      <c r="O479" s="292"/>
      <c r="P479" s="292"/>
      <c r="Q479" s="292"/>
      <c r="R479" s="292"/>
      <c r="S479" s="292"/>
      <c r="T479" s="292"/>
      <c r="U479" s="292"/>
      <c r="V479" s="292"/>
      <c r="W479" s="292"/>
    </row>
    <row r="480" spans="1:23" s="295" customFormat="1" ht="15.75">
      <c r="A480" s="287"/>
      <c r="B480" s="294"/>
      <c r="E480" s="229"/>
      <c r="F480" s="213"/>
      <c r="G480" s="286"/>
      <c r="H480" s="286"/>
      <c r="I480" s="296"/>
      <c r="J480" s="286"/>
      <c r="K480" s="296"/>
      <c r="L480" s="286"/>
      <c r="M480" s="285"/>
      <c r="N480" s="292"/>
      <c r="O480" s="292"/>
      <c r="P480" s="292"/>
      <c r="Q480" s="292"/>
      <c r="R480" s="292"/>
      <c r="S480" s="292"/>
      <c r="T480" s="292"/>
      <c r="U480" s="292"/>
      <c r="V480" s="292"/>
      <c r="W480" s="292"/>
    </row>
    <row r="481" spans="1:23" s="295" customFormat="1" ht="15.75">
      <c r="A481" s="287"/>
      <c r="B481" s="294"/>
      <c r="E481" s="229"/>
      <c r="F481" s="213"/>
      <c r="G481" s="286"/>
      <c r="H481" s="286"/>
      <c r="I481" s="296"/>
      <c r="J481" s="286"/>
      <c r="K481" s="296"/>
      <c r="L481" s="286"/>
      <c r="M481" s="285"/>
      <c r="N481" s="292"/>
      <c r="O481" s="292"/>
      <c r="P481" s="292"/>
      <c r="Q481" s="292"/>
      <c r="R481" s="292"/>
      <c r="S481" s="292"/>
      <c r="T481" s="292"/>
      <c r="U481" s="292"/>
      <c r="V481" s="292"/>
      <c r="W481" s="292"/>
    </row>
    <row r="482" spans="1:23" s="295" customFormat="1" ht="15.75">
      <c r="A482" s="287"/>
      <c r="B482" s="294"/>
      <c r="E482" s="229"/>
      <c r="F482" s="213"/>
      <c r="G482" s="286"/>
      <c r="H482" s="286"/>
      <c r="I482" s="296"/>
      <c r="J482" s="286"/>
      <c r="K482" s="296"/>
      <c r="L482" s="286"/>
      <c r="M482" s="285"/>
      <c r="N482" s="292"/>
      <c r="O482" s="292"/>
      <c r="P482" s="292"/>
      <c r="Q482" s="292"/>
      <c r="R482" s="292"/>
      <c r="S482" s="292"/>
      <c r="T482" s="292"/>
      <c r="U482" s="292"/>
      <c r="V482" s="292"/>
      <c r="W482" s="292"/>
    </row>
    <row r="483" spans="1:23" s="295" customFormat="1" ht="15.75">
      <c r="A483" s="287"/>
      <c r="B483" s="294"/>
      <c r="E483" s="229"/>
      <c r="F483" s="213"/>
      <c r="G483" s="286"/>
      <c r="H483" s="286"/>
      <c r="I483" s="296"/>
      <c r="J483" s="286"/>
      <c r="K483" s="296"/>
      <c r="L483" s="286"/>
      <c r="M483" s="285"/>
      <c r="N483" s="292"/>
      <c r="O483" s="292"/>
      <c r="P483" s="292"/>
      <c r="Q483" s="292"/>
      <c r="R483" s="292"/>
      <c r="S483" s="292"/>
      <c r="T483" s="292"/>
      <c r="U483" s="292"/>
      <c r="V483" s="292"/>
      <c r="W483" s="292"/>
    </row>
    <row r="484" spans="1:23" s="295" customFormat="1" ht="15.75">
      <c r="A484" s="287"/>
      <c r="B484" s="294"/>
      <c r="E484" s="229"/>
      <c r="F484" s="213"/>
      <c r="G484" s="286"/>
      <c r="H484" s="286"/>
      <c r="I484" s="296"/>
      <c r="J484" s="286"/>
      <c r="K484" s="296"/>
      <c r="L484" s="286"/>
      <c r="M484" s="285"/>
      <c r="N484" s="292"/>
      <c r="O484" s="292"/>
      <c r="P484" s="292"/>
      <c r="Q484" s="292"/>
      <c r="R484" s="292"/>
      <c r="S484" s="292"/>
      <c r="T484" s="292"/>
      <c r="U484" s="292"/>
      <c r="V484" s="292"/>
      <c r="W484" s="292"/>
    </row>
    <row r="485" spans="1:23" s="295" customFormat="1" ht="15.75">
      <c r="A485" s="287"/>
      <c r="B485" s="294"/>
      <c r="E485" s="229"/>
      <c r="F485" s="213"/>
      <c r="G485" s="286"/>
      <c r="H485" s="286"/>
      <c r="I485" s="296"/>
      <c r="J485" s="286"/>
      <c r="K485" s="296"/>
      <c r="L485" s="286"/>
      <c r="M485" s="285"/>
      <c r="N485" s="292"/>
      <c r="O485" s="292"/>
      <c r="P485" s="292"/>
      <c r="Q485" s="292"/>
      <c r="R485" s="292"/>
      <c r="S485" s="292"/>
      <c r="T485" s="292"/>
      <c r="U485" s="292"/>
      <c r="V485" s="292"/>
      <c r="W485" s="292"/>
    </row>
    <row r="486" spans="1:23" s="295" customFormat="1" ht="15.75">
      <c r="A486" s="287"/>
      <c r="B486" s="294"/>
      <c r="E486" s="229"/>
      <c r="F486" s="213"/>
      <c r="G486" s="286"/>
      <c r="H486" s="286"/>
      <c r="I486" s="296"/>
      <c r="J486" s="286"/>
      <c r="K486" s="296"/>
      <c r="L486" s="286"/>
      <c r="M486" s="285"/>
      <c r="N486" s="292"/>
      <c r="O486" s="292"/>
      <c r="P486" s="292"/>
      <c r="Q486" s="292"/>
      <c r="R486" s="292"/>
      <c r="S486" s="292"/>
      <c r="T486" s="292"/>
      <c r="U486" s="292"/>
      <c r="V486" s="292"/>
      <c r="W486" s="292"/>
    </row>
    <row r="487" spans="1:23" s="295" customFormat="1" ht="15.75">
      <c r="A487" s="287"/>
      <c r="B487" s="294"/>
      <c r="E487" s="229"/>
      <c r="F487" s="213"/>
      <c r="G487" s="286"/>
      <c r="H487" s="286"/>
      <c r="I487" s="296"/>
      <c r="J487" s="286"/>
      <c r="K487" s="296"/>
      <c r="L487" s="286"/>
      <c r="M487" s="285"/>
      <c r="N487" s="292"/>
      <c r="O487" s="292"/>
      <c r="P487" s="292"/>
      <c r="Q487" s="292"/>
      <c r="R487" s="292"/>
      <c r="S487" s="292"/>
      <c r="T487" s="292"/>
      <c r="U487" s="292"/>
      <c r="V487" s="292"/>
      <c r="W487" s="292"/>
    </row>
    <row r="488" spans="1:23" s="295" customFormat="1" ht="15.75">
      <c r="A488" s="287"/>
      <c r="B488" s="294"/>
      <c r="E488" s="229"/>
      <c r="F488" s="213"/>
      <c r="G488" s="286"/>
      <c r="H488" s="286"/>
      <c r="I488" s="296"/>
      <c r="J488" s="286"/>
      <c r="K488" s="296"/>
      <c r="L488" s="286"/>
      <c r="M488" s="285"/>
      <c r="N488" s="292"/>
      <c r="O488" s="292"/>
      <c r="P488" s="292"/>
      <c r="Q488" s="292"/>
      <c r="R488" s="292"/>
      <c r="S488" s="292"/>
      <c r="T488" s="292"/>
      <c r="U488" s="292"/>
      <c r="V488" s="292"/>
      <c r="W488" s="292"/>
    </row>
    <row r="489" spans="1:23" s="295" customFormat="1" ht="15.75">
      <c r="A489" s="287"/>
      <c r="B489" s="294"/>
      <c r="E489" s="229"/>
      <c r="F489" s="213"/>
      <c r="G489" s="286"/>
      <c r="H489" s="286"/>
      <c r="I489" s="296"/>
      <c r="J489" s="286"/>
      <c r="K489" s="296"/>
      <c r="L489" s="286"/>
      <c r="M489" s="285"/>
      <c r="N489" s="292"/>
      <c r="O489" s="292"/>
      <c r="P489" s="292"/>
      <c r="Q489" s="292"/>
      <c r="R489" s="292"/>
      <c r="S489" s="292"/>
      <c r="T489" s="292"/>
      <c r="U489" s="292"/>
      <c r="V489" s="292"/>
      <c r="W489" s="292"/>
    </row>
    <row r="490" spans="1:23" s="295" customFormat="1" ht="15.75">
      <c r="A490" s="287"/>
      <c r="B490" s="294"/>
      <c r="E490" s="229"/>
      <c r="F490" s="213"/>
      <c r="G490" s="286"/>
      <c r="H490" s="286"/>
      <c r="I490" s="296"/>
      <c r="J490" s="286"/>
      <c r="K490" s="296"/>
      <c r="L490" s="286"/>
      <c r="M490" s="285"/>
      <c r="N490" s="292"/>
      <c r="O490" s="292"/>
      <c r="P490" s="292"/>
      <c r="Q490" s="292"/>
      <c r="R490" s="292"/>
      <c r="S490" s="292"/>
      <c r="T490" s="292"/>
      <c r="U490" s="292"/>
      <c r="V490" s="292"/>
      <c r="W490" s="292"/>
    </row>
    <row r="491" spans="1:23" s="295" customFormat="1" ht="15.75">
      <c r="A491" s="287"/>
      <c r="B491" s="294"/>
      <c r="E491" s="229"/>
      <c r="F491" s="213"/>
      <c r="G491" s="286"/>
      <c r="H491" s="286"/>
      <c r="I491" s="296"/>
      <c r="J491" s="286"/>
      <c r="K491" s="296"/>
      <c r="L491" s="286"/>
      <c r="M491" s="285"/>
      <c r="N491" s="292"/>
      <c r="O491" s="292"/>
      <c r="P491" s="292"/>
      <c r="Q491" s="292"/>
      <c r="R491" s="292"/>
      <c r="S491" s="292"/>
      <c r="T491" s="292"/>
      <c r="U491" s="292"/>
      <c r="V491" s="292"/>
      <c r="W491" s="292"/>
    </row>
    <row r="492" spans="1:23" s="295" customFormat="1" ht="15.75">
      <c r="A492" s="287"/>
      <c r="B492" s="294"/>
      <c r="E492" s="229"/>
      <c r="F492" s="213"/>
      <c r="G492" s="286"/>
      <c r="H492" s="286"/>
      <c r="I492" s="296"/>
      <c r="J492" s="286"/>
      <c r="K492" s="296"/>
      <c r="L492" s="286"/>
      <c r="M492" s="285"/>
      <c r="N492" s="292"/>
      <c r="O492" s="292"/>
      <c r="P492" s="292"/>
      <c r="Q492" s="292"/>
      <c r="R492" s="292"/>
      <c r="S492" s="292"/>
      <c r="T492" s="292"/>
      <c r="U492" s="292"/>
      <c r="V492" s="292"/>
      <c r="W492" s="292"/>
    </row>
    <row r="493" spans="1:23" s="295" customFormat="1" ht="15.75">
      <c r="A493" s="287"/>
      <c r="B493" s="294"/>
      <c r="E493" s="229"/>
      <c r="F493" s="213"/>
      <c r="G493" s="286"/>
      <c r="H493" s="286"/>
      <c r="I493" s="296"/>
      <c r="J493" s="286"/>
      <c r="K493" s="296"/>
      <c r="L493" s="286"/>
      <c r="M493" s="285"/>
      <c r="N493" s="292"/>
      <c r="O493" s="292"/>
      <c r="P493" s="292"/>
      <c r="Q493" s="292"/>
      <c r="R493" s="292"/>
      <c r="S493" s="292"/>
      <c r="T493" s="292"/>
      <c r="U493" s="292"/>
      <c r="V493" s="292"/>
      <c r="W493" s="292"/>
    </row>
    <row r="494" spans="1:23" s="295" customFormat="1" ht="15.75">
      <c r="A494" s="287"/>
      <c r="B494" s="294"/>
      <c r="E494" s="229"/>
      <c r="F494" s="213"/>
      <c r="G494" s="286"/>
      <c r="H494" s="286"/>
      <c r="I494" s="296"/>
      <c r="J494" s="286"/>
      <c r="K494" s="296"/>
      <c r="L494" s="286"/>
      <c r="M494" s="285"/>
      <c r="N494" s="292"/>
      <c r="O494" s="292"/>
      <c r="P494" s="292"/>
      <c r="Q494" s="292"/>
      <c r="R494" s="292"/>
      <c r="S494" s="292"/>
      <c r="T494" s="292"/>
      <c r="U494" s="292"/>
      <c r="V494" s="292"/>
      <c r="W494" s="292"/>
    </row>
    <row r="495" spans="1:23" s="295" customFormat="1" ht="15.75">
      <c r="A495" s="287"/>
      <c r="B495" s="294"/>
      <c r="E495" s="229"/>
      <c r="F495" s="213"/>
      <c r="G495" s="286"/>
      <c r="H495" s="286"/>
      <c r="I495" s="296"/>
      <c r="J495" s="286"/>
      <c r="K495" s="296"/>
      <c r="L495" s="286"/>
      <c r="M495" s="285"/>
      <c r="N495" s="292"/>
      <c r="O495" s="292"/>
      <c r="P495" s="292"/>
      <c r="Q495" s="292"/>
      <c r="R495" s="292"/>
      <c r="S495" s="292"/>
      <c r="T495" s="292"/>
      <c r="U495" s="292"/>
      <c r="V495" s="292"/>
      <c r="W495" s="292"/>
    </row>
    <row r="496" spans="1:23" s="295" customFormat="1" ht="15.75">
      <c r="A496" s="287"/>
      <c r="B496" s="294"/>
      <c r="E496" s="229"/>
      <c r="F496" s="213"/>
      <c r="G496" s="286"/>
      <c r="H496" s="286"/>
      <c r="I496" s="296"/>
      <c r="J496" s="286"/>
      <c r="K496" s="296"/>
      <c r="L496" s="286"/>
      <c r="M496" s="285"/>
      <c r="N496" s="292"/>
      <c r="O496" s="292"/>
      <c r="P496" s="292"/>
      <c r="Q496" s="292"/>
      <c r="R496" s="292"/>
      <c r="S496" s="292"/>
      <c r="T496" s="292"/>
      <c r="U496" s="292"/>
      <c r="V496" s="292"/>
      <c r="W496" s="292"/>
    </row>
    <row r="497" spans="1:23" s="295" customFormat="1" ht="15.75">
      <c r="A497" s="287"/>
      <c r="B497" s="294"/>
      <c r="E497" s="229"/>
      <c r="F497" s="213"/>
      <c r="G497" s="286"/>
      <c r="H497" s="286"/>
      <c r="I497" s="296"/>
      <c r="J497" s="286"/>
      <c r="K497" s="296"/>
      <c r="L497" s="286"/>
      <c r="M497" s="285"/>
      <c r="N497" s="292"/>
      <c r="O497" s="292"/>
      <c r="P497" s="292"/>
      <c r="Q497" s="292"/>
      <c r="R497" s="292"/>
      <c r="S497" s="292"/>
      <c r="T497" s="292"/>
      <c r="U497" s="292"/>
      <c r="V497" s="292"/>
      <c r="W497" s="292"/>
    </row>
    <row r="498" spans="1:23" s="295" customFormat="1" ht="15.75">
      <c r="A498" s="287"/>
      <c r="B498" s="294"/>
      <c r="E498" s="229"/>
      <c r="F498" s="213"/>
      <c r="G498" s="286"/>
      <c r="H498" s="286"/>
      <c r="I498" s="296"/>
      <c r="J498" s="286"/>
      <c r="K498" s="296"/>
      <c r="L498" s="286"/>
      <c r="M498" s="285"/>
      <c r="N498" s="292"/>
      <c r="O498" s="292"/>
      <c r="P498" s="292"/>
      <c r="Q498" s="292"/>
      <c r="R498" s="292"/>
      <c r="S498" s="292"/>
      <c r="T498" s="292"/>
      <c r="U498" s="292"/>
      <c r="V498" s="292"/>
      <c r="W498" s="292"/>
    </row>
    <row r="499" spans="1:23" s="295" customFormat="1" ht="15.75">
      <c r="A499" s="287"/>
      <c r="B499" s="294"/>
      <c r="E499" s="229"/>
      <c r="F499" s="213"/>
      <c r="G499" s="286"/>
      <c r="H499" s="286"/>
      <c r="I499" s="296"/>
      <c r="J499" s="286"/>
      <c r="K499" s="296"/>
      <c r="L499" s="286"/>
      <c r="M499" s="285"/>
      <c r="N499" s="292"/>
      <c r="O499" s="292"/>
      <c r="P499" s="292"/>
      <c r="Q499" s="292"/>
      <c r="R499" s="292"/>
      <c r="S499" s="292"/>
      <c r="T499" s="292"/>
      <c r="U499" s="292"/>
      <c r="V499" s="292"/>
      <c r="W499" s="292"/>
    </row>
    <row r="500" spans="1:23" s="295" customFormat="1" ht="15.75">
      <c r="A500" s="287"/>
      <c r="B500" s="294"/>
      <c r="E500" s="229"/>
      <c r="F500" s="213"/>
      <c r="G500" s="286"/>
      <c r="H500" s="286"/>
      <c r="I500" s="296"/>
      <c r="J500" s="286"/>
      <c r="K500" s="296"/>
      <c r="L500" s="286"/>
      <c r="M500" s="285"/>
      <c r="N500" s="292"/>
      <c r="O500" s="292"/>
      <c r="P500" s="292"/>
      <c r="Q500" s="292"/>
      <c r="R500" s="292"/>
      <c r="S500" s="292"/>
      <c r="T500" s="292"/>
      <c r="U500" s="292"/>
      <c r="V500" s="292"/>
      <c r="W500" s="292"/>
    </row>
    <row r="501" spans="1:23" s="295" customFormat="1" ht="15.75">
      <c r="A501" s="287"/>
      <c r="B501" s="294"/>
      <c r="E501" s="229"/>
      <c r="F501" s="213"/>
      <c r="G501" s="286"/>
      <c r="H501" s="286"/>
      <c r="I501" s="296"/>
      <c r="J501" s="286"/>
      <c r="K501" s="296"/>
      <c r="L501" s="286"/>
      <c r="M501" s="285"/>
      <c r="N501" s="292"/>
      <c r="O501" s="292"/>
      <c r="P501" s="292"/>
      <c r="Q501" s="292"/>
      <c r="R501" s="292"/>
      <c r="S501" s="292"/>
      <c r="T501" s="292"/>
      <c r="U501" s="292"/>
      <c r="V501" s="292"/>
      <c r="W501" s="292"/>
    </row>
    <row r="502" spans="1:23" s="295" customFormat="1" ht="15.75">
      <c r="A502" s="287"/>
      <c r="B502" s="294"/>
      <c r="E502" s="229"/>
      <c r="F502" s="213"/>
      <c r="G502" s="286"/>
      <c r="H502" s="286"/>
      <c r="I502" s="296"/>
      <c r="J502" s="286"/>
      <c r="K502" s="296"/>
      <c r="L502" s="286"/>
      <c r="M502" s="285"/>
      <c r="N502" s="292"/>
      <c r="O502" s="292"/>
      <c r="P502" s="292"/>
      <c r="Q502" s="292"/>
      <c r="R502" s="292"/>
      <c r="S502" s="292"/>
      <c r="T502" s="292"/>
      <c r="U502" s="292"/>
      <c r="V502" s="292"/>
      <c r="W502" s="292"/>
    </row>
    <row r="503" spans="1:23" s="295" customFormat="1" ht="15.75">
      <c r="A503" s="287"/>
      <c r="B503" s="294"/>
      <c r="E503" s="229"/>
      <c r="F503" s="213"/>
      <c r="G503" s="286"/>
      <c r="H503" s="286"/>
      <c r="I503" s="296"/>
      <c r="J503" s="286"/>
      <c r="K503" s="296"/>
      <c r="L503" s="286"/>
      <c r="M503" s="285"/>
      <c r="N503" s="292"/>
      <c r="O503" s="292"/>
      <c r="P503" s="292"/>
      <c r="Q503" s="292"/>
      <c r="R503" s="292"/>
      <c r="S503" s="292"/>
      <c r="T503" s="292"/>
      <c r="U503" s="292"/>
      <c r="V503" s="292"/>
      <c r="W503" s="292"/>
    </row>
    <row r="504" spans="1:23" s="295" customFormat="1" ht="15.75">
      <c r="A504" s="287"/>
      <c r="B504" s="294"/>
      <c r="E504" s="229"/>
      <c r="F504" s="213"/>
      <c r="G504" s="286"/>
      <c r="H504" s="286"/>
      <c r="I504" s="296"/>
      <c r="J504" s="286"/>
      <c r="K504" s="296"/>
      <c r="L504" s="286"/>
      <c r="M504" s="285"/>
      <c r="N504" s="292"/>
      <c r="O504" s="292"/>
      <c r="P504" s="292"/>
      <c r="Q504" s="292"/>
      <c r="R504" s="292"/>
      <c r="S504" s="292"/>
      <c r="T504" s="292"/>
      <c r="U504" s="292"/>
      <c r="V504" s="292"/>
      <c r="W504" s="292"/>
    </row>
    <row r="505" spans="1:23" s="295" customFormat="1" ht="15.75">
      <c r="A505" s="287"/>
      <c r="B505" s="294"/>
      <c r="E505" s="229"/>
      <c r="F505" s="213"/>
      <c r="G505" s="286"/>
      <c r="H505" s="286"/>
      <c r="I505" s="296"/>
      <c r="J505" s="286"/>
      <c r="K505" s="296"/>
      <c r="L505" s="286"/>
      <c r="M505" s="285"/>
      <c r="N505" s="292"/>
      <c r="O505" s="292"/>
      <c r="P505" s="292"/>
      <c r="Q505" s="292"/>
      <c r="R505" s="292"/>
      <c r="S505" s="292"/>
      <c r="T505" s="292"/>
      <c r="U505" s="292"/>
      <c r="V505" s="292"/>
      <c r="W505" s="292"/>
    </row>
    <row r="506" spans="1:23" s="295" customFormat="1" ht="15.75">
      <c r="A506" s="287"/>
      <c r="B506" s="294"/>
      <c r="E506" s="229"/>
      <c r="F506" s="213"/>
      <c r="G506" s="286"/>
      <c r="H506" s="286"/>
      <c r="I506" s="296"/>
      <c r="J506" s="286"/>
      <c r="K506" s="296"/>
      <c r="L506" s="286"/>
      <c r="M506" s="285"/>
      <c r="N506" s="292"/>
      <c r="O506" s="292"/>
      <c r="P506" s="292"/>
      <c r="Q506" s="292"/>
      <c r="R506" s="292"/>
      <c r="S506" s="292"/>
      <c r="T506" s="292"/>
      <c r="U506" s="292"/>
      <c r="V506" s="292"/>
      <c r="W506" s="292"/>
    </row>
    <row r="507" spans="1:23" s="295" customFormat="1" ht="15.75">
      <c r="A507" s="287"/>
      <c r="B507" s="294"/>
      <c r="E507" s="229"/>
      <c r="F507" s="213"/>
      <c r="G507" s="286"/>
      <c r="H507" s="286"/>
      <c r="I507" s="296"/>
      <c r="J507" s="286"/>
      <c r="K507" s="296"/>
      <c r="L507" s="286"/>
      <c r="M507" s="285"/>
      <c r="N507" s="292"/>
      <c r="O507" s="292"/>
      <c r="P507" s="292"/>
      <c r="Q507" s="292"/>
      <c r="R507" s="292"/>
      <c r="S507" s="292"/>
      <c r="T507" s="292"/>
      <c r="U507" s="292"/>
      <c r="V507" s="292"/>
      <c r="W507" s="292"/>
    </row>
    <row r="508" spans="1:23" s="295" customFormat="1" ht="15.75">
      <c r="A508" s="287"/>
      <c r="B508" s="294"/>
      <c r="E508" s="229"/>
      <c r="F508" s="213"/>
      <c r="G508" s="286"/>
      <c r="H508" s="286"/>
      <c r="I508" s="296"/>
      <c r="J508" s="286"/>
      <c r="K508" s="296"/>
      <c r="L508" s="286"/>
      <c r="M508" s="285"/>
      <c r="N508" s="292"/>
      <c r="O508" s="292"/>
      <c r="P508" s="292"/>
      <c r="Q508" s="292"/>
      <c r="R508" s="292"/>
      <c r="S508" s="292"/>
      <c r="T508" s="292"/>
      <c r="U508" s="292"/>
      <c r="V508" s="292"/>
      <c r="W508" s="292"/>
    </row>
    <row r="509" spans="1:23" s="295" customFormat="1" ht="15.75">
      <c r="A509" s="287"/>
      <c r="B509" s="294"/>
      <c r="E509" s="229"/>
      <c r="F509" s="213"/>
      <c r="G509" s="286"/>
      <c r="H509" s="286"/>
      <c r="I509" s="296"/>
      <c r="J509" s="286"/>
      <c r="K509" s="296"/>
      <c r="L509" s="286"/>
      <c r="M509" s="285"/>
      <c r="N509" s="292"/>
      <c r="O509" s="292"/>
      <c r="P509" s="292"/>
      <c r="Q509" s="292"/>
      <c r="R509" s="292"/>
      <c r="S509" s="292"/>
      <c r="T509" s="292"/>
      <c r="U509" s="292"/>
      <c r="V509" s="292"/>
      <c r="W509" s="292"/>
    </row>
    <row r="510" spans="1:23" s="295" customFormat="1" ht="15.75">
      <c r="A510" s="287"/>
      <c r="B510" s="294"/>
      <c r="E510" s="229"/>
      <c r="F510" s="213"/>
      <c r="G510" s="286"/>
      <c r="H510" s="286"/>
      <c r="I510" s="296"/>
      <c r="J510" s="286"/>
      <c r="K510" s="296"/>
      <c r="L510" s="286"/>
      <c r="M510" s="285"/>
      <c r="N510" s="292"/>
      <c r="O510" s="292"/>
      <c r="P510" s="292"/>
      <c r="Q510" s="292"/>
      <c r="R510" s="292"/>
      <c r="S510" s="292"/>
      <c r="T510" s="292"/>
      <c r="U510" s="292"/>
      <c r="V510" s="292"/>
      <c r="W510" s="292"/>
    </row>
    <row r="511" spans="1:23" s="295" customFormat="1" ht="15.75">
      <c r="A511" s="287"/>
      <c r="B511" s="294"/>
      <c r="E511" s="229"/>
      <c r="F511" s="213"/>
      <c r="G511" s="286"/>
      <c r="H511" s="286"/>
      <c r="I511" s="296"/>
      <c r="J511" s="286"/>
      <c r="K511" s="296"/>
      <c r="L511" s="286"/>
      <c r="M511" s="285"/>
      <c r="N511" s="292"/>
      <c r="O511" s="292"/>
      <c r="P511" s="292"/>
      <c r="Q511" s="292"/>
      <c r="R511" s="292"/>
      <c r="S511" s="292"/>
      <c r="T511" s="292"/>
      <c r="U511" s="292"/>
      <c r="V511" s="292"/>
      <c r="W511" s="292"/>
    </row>
    <row r="512" spans="1:23" s="295" customFormat="1" ht="15.75">
      <c r="A512" s="287"/>
      <c r="B512" s="294"/>
      <c r="E512" s="229"/>
      <c r="F512" s="213"/>
      <c r="G512" s="286"/>
      <c r="H512" s="286"/>
      <c r="I512" s="296"/>
      <c r="J512" s="286"/>
      <c r="K512" s="296"/>
      <c r="L512" s="286"/>
      <c r="M512" s="285"/>
      <c r="N512" s="292"/>
      <c r="O512" s="292"/>
      <c r="P512" s="292"/>
      <c r="Q512" s="292"/>
      <c r="R512" s="292"/>
      <c r="S512" s="292"/>
      <c r="T512" s="292"/>
      <c r="U512" s="292"/>
      <c r="V512" s="292"/>
      <c r="W512" s="292"/>
    </row>
    <row r="513" spans="1:23" s="295" customFormat="1" ht="15.75">
      <c r="A513" s="287"/>
      <c r="B513" s="294"/>
      <c r="E513" s="229"/>
      <c r="F513" s="213"/>
      <c r="G513" s="286"/>
      <c r="H513" s="286"/>
      <c r="I513" s="296"/>
      <c r="J513" s="286"/>
      <c r="K513" s="296"/>
      <c r="L513" s="286"/>
      <c r="M513" s="285"/>
      <c r="N513" s="292"/>
      <c r="O513" s="292"/>
      <c r="P513" s="292"/>
      <c r="Q513" s="292"/>
      <c r="R513" s="292"/>
      <c r="S513" s="292"/>
      <c r="T513" s="292"/>
      <c r="U513" s="292"/>
      <c r="V513" s="292"/>
      <c r="W513" s="292"/>
    </row>
    <row r="514" spans="1:23" s="295" customFormat="1" ht="15.75">
      <c r="A514" s="287"/>
      <c r="B514" s="294"/>
      <c r="E514" s="229"/>
      <c r="F514" s="213"/>
      <c r="G514" s="286"/>
      <c r="H514" s="286"/>
      <c r="I514" s="296"/>
      <c r="J514" s="286"/>
      <c r="K514" s="296"/>
      <c r="L514" s="286"/>
      <c r="M514" s="285"/>
      <c r="N514" s="292"/>
      <c r="O514" s="292"/>
      <c r="P514" s="292"/>
      <c r="Q514" s="292"/>
      <c r="R514" s="292"/>
      <c r="S514" s="292"/>
      <c r="T514" s="292"/>
      <c r="U514" s="292"/>
      <c r="V514" s="292"/>
      <c r="W514" s="292"/>
    </row>
    <row r="515" spans="1:23" s="295" customFormat="1" ht="15.75">
      <c r="A515" s="287"/>
      <c r="B515" s="294"/>
      <c r="E515" s="229"/>
      <c r="F515" s="213"/>
      <c r="G515" s="286"/>
      <c r="H515" s="286"/>
      <c r="I515" s="296"/>
      <c r="J515" s="286"/>
      <c r="K515" s="296"/>
      <c r="L515" s="286"/>
      <c r="M515" s="285"/>
      <c r="N515" s="292"/>
      <c r="O515" s="292"/>
      <c r="P515" s="292"/>
      <c r="Q515" s="292"/>
      <c r="R515" s="292"/>
      <c r="S515" s="292"/>
      <c r="T515" s="292"/>
      <c r="U515" s="292"/>
      <c r="V515" s="292"/>
      <c r="W515" s="292"/>
    </row>
    <row r="516" spans="1:23" s="295" customFormat="1" ht="15.75">
      <c r="A516" s="287"/>
      <c r="B516" s="294"/>
      <c r="E516" s="229"/>
      <c r="F516" s="213"/>
      <c r="G516" s="286"/>
      <c r="H516" s="286"/>
      <c r="I516" s="296"/>
      <c r="J516" s="286"/>
      <c r="K516" s="296"/>
      <c r="L516" s="286"/>
      <c r="M516" s="285"/>
      <c r="N516" s="292"/>
      <c r="O516" s="292"/>
      <c r="P516" s="292"/>
      <c r="Q516" s="292"/>
      <c r="R516" s="292"/>
      <c r="S516" s="292"/>
      <c r="T516" s="292"/>
      <c r="U516" s="292"/>
      <c r="V516" s="292"/>
      <c r="W516" s="292"/>
    </row>
    <row r="517" spans="1:23" s="295" customFormat="1" ht="15.75">
      <c r="A517" s="287"/>
      <c r="B517" s="294"/>
      <c r="E517" s="229"/>
      <c r="F517" s="213"/>
      <c r="G517" s="286"/>
      <c r="H517" s="286"/>
      <c r="I517" s="296"/>
      <c r="J517" s="286"/>
      <c r="K517" s="296"/>
      <c r="L517" s="286"/>
      <c r="M517" s="285"/>
      <c r="N517" s="292"/>
      <c r="O517" s="292"/>
      <c r="P517" s="292"/>
      <c r="Q517" s="292"/>
      <c r="R517" s="292"/>
      <c r="S517" s="292"/>
      <c r="T517" s="292"/>
      <c r="U517" s="292"/>
      <c r="V517" s="292"/>
      <c r="W517" s="292"/>
    </row>
    <row r="518" spans="1:23" s="295" customFormat="1" ht="15.75">
      <c r="A518" s="287"/>
      <c r="B518" s="294"/>
      <c r="E518" s="229"/>
      <c r="F518" s="213"/>
      <c r="G518" s="286"/>
      <c r="H518" s="286"/>
      <c r="I518" s="296"/>
      <c r="J518" s="286"/>
      <c r="K518" s="296"/>
      <c r="L518" s="286"/>
      <c r="M518" s="285"/>
      <c r="N518" s="292"/>
      <c r="O518" s="292"/>
      <c r="P518" s="292"/>
      <c r="Q518" s="292"/>
      <c r="R518" s="292"/>
      <c r="S518" s="292"/>
      <c r="T518" s="292"/>
      <c r="U518" s="292"/>
      <c r="V518" s="292"/>
      <c r="W518" s="292"/>
    </row>
    <row r="519" spans="1:23" s="295" customFormat="1" ht="15.75">
      <c r="A519" s="287"/>
      <c r="B519" s="294"/>
      <c r="E519" s="229"/>
      <c r="F519" s="213"/>
      <c r="G519" s="286"/>
      <c r="H519" s="286"/>
      <c r="I519" s="296"/>
      <c r="J519" s="286"/>
      <c r="K519" s="296"/>
      <c r="L519" s="286"/>
      <c r="M519" s="285"/>
      <c r="N519" s="292"/>
      <c r="O519" s="292"/>
      <c r="P519" s="292"/>
      <c r="Q519" s="292"/>
      <c r="R519" s="292"/>
      <c r="S519" s="292"/>
      <c r="T519" s="292"/>
      <c r="U519" s="292"/>
      <c r="V519" s="292"/>
      <c r="W519" s="292"/>
    </row>
    <row r="520" spans="1:23" s="295" customFormat="1" ht="15.75">
      <c r="A520" s="287"/>
      <c r="B520" s="294"/>
      <c r="E520" s="229"/>
      <c r="F520" s="213"/>
      <c r="G520" s="286"/>
      <c r="H520" s="286"/>
      <c r="I520" s="296"/>
      <c r="J520" s="286"/>
      <c r="K520" s="296"/>
      <c r="L520" s="286"/>
      <c r="M520" s="285"/>
      <c r="N520" s="292"/>
      <c r="O520" s="292"/>
      <c r="P520" s="292"/>
      <c r="Q520" s="292"/>
      <c r="R520" s="292"/>
      <c r="S520" s="292"/>
      <c r="T520" s="292"/>
      <c r="U520" s="292"/>
      <c r="V520" s="292"/>
      <c r="W520" s="292"/>
    </row>
    <row r="521" spans="1:23" s="295" customFormat="1" ht="15.75">
      <c r="A521" s="287"/>
      <c r="B521" s="294"/>
      <c r="E521" s="229"/>
      <c r="F521" s="213"/>
      <c r="G521" s="286"/>
      <c r="H521" s="286"/>
      <c r="I521" s="296"/>
      <c r="J521" s="286"/>
      <c r="K521" s="296"/>
      <c r="L521" s="286"/>
      <c r="M521" s="285"/>
      <c r="N521" s="292"/>
      <c r="O521" s="292"/>
      <c r="P521" s="292"/>
      <c r="Q521" s="292"/>
      <c r="R521" s="292"/>
      <c r="S521" s="292"/>
      <c r="T521" s="292"/>
      <c r="U521" s="292"/>
      <c r="V521" s="292"/>
      <c r="W521" s="292"/>
    </row>
    <row r="522" spans="1:23" s="295" customFormat="1" ht="15.75">
      <c r="A522" s="287"/>
      <c r="B522" s="294"/>
      <c r="E522" s="229"/>
      <c r="F522" s="213"/>
      <c r="G522" s="286"/>
      <c r="H522" s="286"/>
      <c r="I522" s="296"/>
      <c r="J522" s="286"/>
      <c r="K522" s="296"/>
      <c r="L522" s="286"/>
      <c r="M522" s="285"/>
      <c r="N522" s="292"/>
      <c r="O522" s="292"/>
      <c r="P522" s="292"/>
      <c r="Q522" s="292"/>
      <c r="R522" s="292"/>
      <c r="S522" s="292"/>
      <c r="T522" s="292"/>
      <c r="U522" s="292"/>
      <c r="V522" s="292"/>
      <c r="W522" s="292"/>
    </row>
    <row r="523" spans="1:23" s="295" customFormat="1" ht="15.75">
      <c r="A523" s="287"/>
      <c r="B523" s="294"/>
      <c r="E523" s="229"/>
      <c r="F523" s="213"/>
      <c r="G523" s="286"/>
      <c r="H523" s="286"/>
      <c r="I523" s="296"/>
      <c r="J523" s="286"/>
      <c r="K523" s="296"/>
      <c r="L523" s="286"/>
      <c r="M523" s="285"/>
      <c r="N523" s="292"/>
      <c r="O523" s="292"/>
      <c r="P523" s="292"/>
      <c r="Q523" s="292"/>
      <c r="R523" s="292"/>
      <c r="S523" s="292"/>
      <c r="T523" s="292"/>
      <c r="U523" s="292"/>
      <c r="V523" s="292"/>
      <c r="W523" s="292"/>
    </row>
    <row r="524" spans="1:23" s="295" customFormat="1" ht="15.75">
      <c r="A524" s="287"/>
      <c r="B524" s="294"/>
      <c r="E524" s="229"/>
      <c r="F524" s="213"/>
      <c r="G524" s="286"/>
      <c r="H524" s="286"/>
      <c r="I524" s="296"/>
      <c r="J524" s="286"/>
      <c r="K524" s="296"/>
      <c r="L524" s="286"/>
      <c r="M524" s="285"/>
      <c r="N524" s="292"/>
      <c r="O524" s="292"/>
      <c r="P524" s="292"/>
      <c r="Q524" s="292"/>
      <c r="R524" s="292"/>
      <c r="S524" s="292"/>
      <c r="T524" s="292"/>
      <c r="U524" s="292"/>
      <c r="V524" s="292"/>
      <c r="W524" s="292"/>
    </row>
    <row r="525" spans="1:23" s="295" customFormat="1" ht="15.75">
      <c r="A525" s="287"/>
      <c r="B525" s="294"/>
      <c r="E525" s="229"/>
      <c r="F525" s="213"/>
      <c r="G525" s="286"/>
      <c r="H525" s="286"/>
      <c r="I525" s="296"/>
      <c r="J525" s="286"/>
      <c r="K525" s="296"/>
      <c r="L525" s="286"/>
      <c r="M525" s="285"/>
      <c r="N525" s="292"/>
      <c r="O525" s="292"/>
      <c r="P525" s="292"/>
      <c r="Q525" s="292"/>
      <c r="R525" s="292"/>
      <c r="S525" s="292"/>
      <c r="T525" s="292"/>
      <c r="U525" s="292"/>
      <c r="V525" s="292"/>
      <c r="W525" s="292"/>
    </row>
    <row r="526" spans="1:23" s="295" customFormat="1" ht="15.75">
      <c r="A526" s="287"/>
      <c r="B526" s="294"/>
      <c r="E526" s="229"/>
      <c r="F526" s="213"/>
      <c r="G526" s="286"/>
      <c r="H526" s="286"/>
      <c r="I526" s="296"/>
      <c r="J526" s="286"/>
      <c r="K526" s="296"/>
      <c r="L526" s="286"/>
      <c r="M526" s="285"/>
      <c r="N526" s="292"/>
      <c r="O526" s="292"/>
      <c r="P526" s="292"/>
      <c r="Q526" s="292"/>
      <c r="R526" s="292"/>
      <c r="S526" s="292"/>
      <c r="T526" s="292"/>
      <c r="U526" s="292"/>
      <c r="V526" s="292"/>
      <c r="W526" s="292"/>
    </row>
    <row r="527" spans="1:23" s="295" customFormat="1" ht="15.75">
      <c r="A527" s="287"/>
      <c r="B527" s="294"/>
      <c r="E527" s="229"/>
      <c r="F527" s="213"/>
      <c r="G527" s="286"/>
      <c r="H527" s="286"/>
      <c r="I527" s="296"/>
      <c r="J527" s="286"/>
      <c r="K527" s="296"/>
      <c r="L527" s="286"/>
      <c r="M527" s="285"/>
      <c r="N527" s="292"/>
      <c r="O527" s="292"/>
      <c r="P527" s="292"/>
      <c r="Q527" s="292"/>
      <c r="R527" s="292"/>
      <c r="S527" s="292"/>
      <c r="T527" s="292"/>
      <c r="U527" s="292"/>
      <c r="V527" s="292"/>
      <c r="W527" s="292"/>
    </row>
    <row r="528" spans="1:23" s="295" customFormat="1" ht="15.75">
      <c r="A528" s="287"/>
      <c r="B528" s="294"/>
      <c r="E528" s="229"/>
      <c r="F528" s="213"/>
      <c r="G528" s="286"/>
      <c r="H528" s="286"/>
      <c r="I528" s="296"/>
      <c r="J528" s="286"/>
      <c r="K528" s="296"/>
      <c r="L528" s="286"/>
      <c r="M528" s="285"/>
      <c r="N528" s="292"/>
      <c r="O528" s="292"/>
      <c r="P528" s="292"/>
      <c r="Q528" s="292"/>
      <c r="R528" s="292"/>
      <c r="S528" s="292"/>
      <c r="T528" s="292"/>
      <c r="U528" s="292"/>
      <c r="V528" s="292"/>
      <c r="W528" s="292"/>
    </row>
    <row r="529" spans="1:23" s="295" customFormat="1" ht="15.75">
      <c r="A529" s="287"/>
      <c r="B529" s="294"/>
      <c r="E529" s="229"/>
      <c r="F529" s="213"/>
      <c r="G529" s="286"/>
      <c r="H529" s="286"/>
      <c r="I529" s="296"/>
      <c r="J529" s="286"/>
      <c r="K529" s="296"/>
      <c r="L529" s="286"/>
      <c r="M529" s="285"/>
      <c r="N529" s="292"/>
      <c r="O529" s="292"/>
      <c r="P529" s="292"/>
      <c r="Q529" s="292"/>
      <c r="R529" s="292"/>
      <c r="S529" s="292"/>
      <c r="T529" s="292"/>
      <c r="U529" s="292"/>
      <c r="V529" s="292"/>
      <c r="W529" s="292"/>
    </row>
    <row r="530" spans="1:23" s="295" customFormat="1" ht="15.75">
      <c r="A530" s="287"/>
      <c r="B530" s="294"/>
      <c r="E530" s="229"/>
      <c r="F530" s="213"/>
      <c r="G530" s="286"/>
      <c r="H530" s="286"/>
      <c r="I530" s="296"/>
      <c r="J530" s="286"/>
      <c r="K530" s="296"/>
      <c r="L530" s="286"/>
      <c r="M530" s="285"/>
      <c r="N530" s="292"/>
      <c r="O530" s="292"/>
      <c r="P530" s="292"/>
      <c r="Q530" s="292"/>
      <c r="R530" s="292"/>
      <c r="S530" s="292"/>
      <c r="T530" s="292"/>
      <c r="U530" s="292"/>
      <c r="V530" s="292"/>
      <c r="W530" s="292"/>
    </row>
    <row r="531" spans="1:23" s="295" customFormat="1" ht="15.75">
      <c r="A531" s="287"/>
      <c r="B531" s="294"/>
      <c r="E531" s="229"/>
      <c r="F531" s="213"/>
      <c r="G531" s="286"/>
      <c r="H531" s="286"/>
      <c r="I531" s="296"/>
      <c r="J531" s="286"/>
      <c r="K531" s="296"/>
      <c r="L531" s="286"/>
      <c r="M531" s="285"/>
      <c r="N531" s="292"/>
      <c r="O531" s="292"/>
      <c r="P531" s="292"/>
      <c r="Q531" s="292"/>
      <c r="R531" s="292"/>
      <c r="S531" s="292"/>
      <c r="T531" s="292"/>
      <c r="U531" s="292"/>
      <c r="V531" s="292"/>
      <c r="W531" s="292"/>
    </row>
    <row r="532" spans="1:23" s="295" customFormat="1" ht="15.75">
      <c r="A532" s="287"/>
      <c r="B532" s="294"/>
      <c r="E532" s="229"/>
      <c r="F532" s="213"/>
      <c r="G532" s="286"/>
      <c r="H532" s="286"/>
      <c r="I532" s="296"/>
      <c r="J532" s="286"/>
      <c r="K532" s="296"/>
      <c r="L532" s="286"/>
      <c r="M532" s="285"/>
      <c r="N532" s="292"/>
      <c r="O532" s="292"/>
      <c r="P532" s="292"/>
      <c r="Q532" s="292"/>
      <c r="R532" s="292"/>
      <c r="S532" s="292"/>
      <c r="T532" s="292"/>
      <c r="U532" s="292"/>
      <c r="V532" s="292"/>
      <c r="W532" s="292"/>
    </row>
    <row r="533" spans="1:23" s="295" customFormat="1" ht="15.75">
      <c r="A533" s="287"/>
      <c r="B533" s="294"/>
      <c r="E533" s="229"/>
      <c r="F533" s="213"/>
      <c r="G533" s="286"/>
      <c r="H533" s="286"/>
      <c r="I533" s="296"/>
      <c r="J533" s="286"/>
      <c r="K533" s="296"/>
      <c r="L533" s="286"/>
      <c r="M533" s="285"/>
      <c r="N533" s="292"/>
      <c r="O533" s="292"/>
      <c r="P533" s="292"/>
      <c r="Q533" s="292"/>
      <c r="R533" s="292"/>
      <c r="S533" s="292"/>
      <c r="T533" s="292"/>
      <c r="U533" s="292"/>
      <c r="V533" s="292"/>
      <c r="W533" s="292"/>
    </row>
    <row r="534" spans="1:23" s="295" customFormat="1" ht="15.75">
      <c r="A534" s="287"/>
      <c r="B534" s="294"/>
      <c r="E534" s="229"/>
      <c r="F534" s="213"/>
      <c r="G534" s="286"/>
      <c r="H534" s="286"/>
      <c r="I534" s="296"/>
      <c r="J534" s="286"/>
      <c r="K534" s="296"/>
      <c r="L534" s="286"/>
      <c r="M534" s="285"/>
      <c r="N534" s="292"/>
      <c r="O534" s="292"/>
      <c r="P534" s="292"/>
      <c r="Q534" s="292"/>
      <c r="R534" s="292"/>
      <c r="S534" s="292"/>
      <c r="T534" s="292"/>
      <c r="U534" s="292"/>
      <c r="V534" s="292"/>
      <c r="W534" s="292"/>
    </row>
    <row r="535" spans="1:23" s="295" customFormat="1" ht="15.75">
      <c r="A535" s="287"/>
      <c r="B535" s="294"/>
      <c r="E535" s="229"/>
      <c r="F535" s="213"/>
      <c r="G535" s="286"/>
      <c r="H535" s="286"/>
      <c r="I535" s="296"/>
      <c r="J535" s="286"/>
      <c r="K535" s="296"/>
      <c r="L535" s="286"/>
      <c r="M535" s="285"/>
      <c r="N535" s="292"/>
      <c r="O535" s="292"/>
      <c r="P535" s="292"/>
      <c r="Q535" s="292"/>
      <c r="R535" s="292"/>
      <c r="S535" s="292"/>
      <c r="T535" s="292"/>
      <c r="U535" s="292"/>
      <c r="V535" s="292"/>
      <c r="W535" s="292"/>
    </row>
    <row r="536" spans="1:23" s="295" customFormat="1" ht="15.75">
      <c r="A536" s="287"/>
      <c r="B536" s="294"/>
      <c r="E536" s="229"/>
      <c r="F536" s="213"/>
      <c r="G536" s="286"/>
      <c r="H536" s="286"/>
      <c r="I536" s="296"/>
      <c r="J536" s="286"/>
      <c r="K536" s="296"/>
      <c r="L536" s="286"/>
      <c r="M536" s="285"/>
      <c r="N536" s="292"/>
      <c r="O536" s="292"/>
      <c r="P536" s="292"/>
      <c r="Q536" s="292"/>
      <c r="R536" s="292"/>
      <c r="S536" s="292"/>
      <c r="T536" s="292"/>
      <c r="U536" s="292"/>
      <c r="V536" s="292"/>
      <c r="W536" s="292"/>
    </row>
    <row r="537" spans="1:23" s="295" customFormat="1" ht="15.75">
      <c r="A537" s="287"/>
      <c r="B537" s="294"/>
      <c r="E537" s="229"/>
      <c r="F537" s="213"/>
      <c r="G537" s="286"/>
      <c r="H537" s="286"/>
      <c r="I537" s="296"/>
      <c r="J537" s="286"/>
      <c r="K537" s="296"/>
      <c r="L537" s="286"/>
      <c r="M537" s="285"/>
      <c r="N537" s="292"/>
      <c r="O537" s="292"/>
      <c r="P537" s="292"/>
      <c r="Q537" s="292"/>
      <c r="R537" s="292"/>
      <c r="S537" s="292"/>
      <c r="T537" s="292"/>
      <c r="U537" s="292"/>
      <c r="V537" s="292"/>
      <c r="W537" s="292"/>
    </row>
    <row r="538" spans="1:23" s="295" customFormat="1" ht="15.75">
      <c r="A538" s="287"/>
      <c r="B538" s="294"/>
      <c r="E538" s="229"/>
      <c r="F538" s="213"/>
      <c r="G538" s="286"/>
      <c r="H538" s="286"/>
      <c r="I538" s="296"/>
      <c r="J538" s="286"/>
      <c r="K538" s="296"/>
      <c r="L538" s="286"/>
      <c r="M538" s="285"/>
      <c r="N538" s="292"/>
      <c r="O538" s="292"/>
      <c r="P538" s="292"/>
      <c r="Q538" s="292"/>
      <c r="R538" s="292"/>
      <c r="S538" s="292"/>
      <c r="T538" s="292"/>
      <c r="U538" s="292"/>
      <c r="V538" s="292"/>
      <c r="W538" s="292"/>
    </row>
    <row r="539" spans="1:23" s="295" customFormat="1" ht="15.75">
      <c r="A539" s="287"/>
      <c r="B539" s="294"/>
      <c r="E539" s="229"/>
      <c r="F539" s="213"/>
      <c r="G539" s="286"/>
      <c r="H539" s="286"/>
      <c r="I539" s="296"/>
      <c r="J539" s="286"/>
      <c r="K539" s="296"/>
      <c r="L539" s="286"/>
      <c r="M539" s="285"/>
      <c r="N539" s="292"/>
      <c r="O539" s="292"/>
      <c r="P539" s="292"/>
      <c r="Q539" s="292"/>
      <c r="R539" s="292"/>
      <c r="S539" s="292"/>
      <c r="T539" s="292"/>
      <c r="U539" s="292"/>
      <c r="V539" s="292"/>
      <c r="W539" s="292"/>
    </row>
    <row r="540" spans="1:23" s="295" customFormat="1" ht="15.75">
      <c r="A540" s="287"/>
      <c r="B540" s="294"/>
      <c r="E540" s="229"/>
      <c r="F540" s="213"/>
      <c r="G540" s="286"/>
      <c r="H540" s="286"/>
      <c r="I540" s="296"/>
      <c r="J540" s="286"/>
      <c r="K540" s="296"/>
      <c r="L540" s="286"/>
      <c r="M540" s="285"/>
      <c r="N540" s="292"/>
      <c r="O540" s="292"/>
      <c r="P540" s="292"/>
      <c r="Q540" s="292"/>
      <c r="R540" s="292"/>
      <c r="S540" s="292"/>
      <c r="T540" s="292"/>
      <c r="U540" s="292"/>
      <c r="V540" s="292"/>
      <c r="W540" s="292"/>
    </row>
    <row r="541" spans="1:23" s="295" customFormat="1" ht="15.75">
      <c r="A541" s="287"/>
      <c r="B541" s="294"/>
      <c r="E541" s="229"/>
      <c r="F541" s="213"/>
      <c r="G541" s="286"/>
      <c r="H541" s="286"/>
      <c r="I541" s="296"/>
      <c r="J541" s="286"/>
      <c r="K541" s="296"/>
      <c r="L541" s="286"/>
      <c r="M541" s="285"/>
      <c r="N541" s="292"/>
      <c r="O541" s="292"/>
      <c r="P541" s="292"/>
      <c r="Q541" s="292"/>
      <c r="R541" s="292"/>
      <c r="S541" s="292"/>
      <c r="T541" s="292"/>
      <c r="U541" s="292"/>
      <c r="V541" s="292"/>
      <c r="W541" s="292"/>
    </row>
    <row r="542" spans="1:23" s="295" customFormat="1" ht="15.75">
      <c r="A542" s="287"/>
      <c r="B542" s="294"/>
      <c r="E542" s="229"/>
      <c r="F542" s="213"/>
      <c r="G542" s="286"/>
      <c r="H542" s="286"/>
      <c r="I542" s="296"/>
      <c r="J542" s="286"/>
      <c r="K542" s="296"/>
      <c r="L542" s="286"/>
      <c r="M542" s="285"/>
      <c r="N542" s="292"/>
      <c r="O542" s="292"/>
      <c r="P542" s="292"/>
      <c r="Q542" s="292"/>
      <c r="R542" s="292"/>
      <c r="S542" s="292"/>
      <c r="T542" s="292"/>
      <c r="U542" s="292"/>
      <c r="V542" s="292"/>
      <c r="W542" s="292"/>
    </row>
    <row r="543" spans="1:23" s="295" customFormat="1" ht="15.75">
      <c r="A543" s="287"/>
      <c r="B543" s="294"/>
      <c r="E543" s="229"/>
      <c r="F543" s="213"/>
      <c r="G543" s="286"/>
      <c r="H543" s="286"/>
      <c r="I543" s="296"/>
      <c r="J543" s="286"/>
      <c r="K543" s="296"/>
      <c r="L543" s="286"/>
      <c r="M543" s="285"/>
      <c r="N543" s="292"/>
      <c r="O543" s="292"/>
      <c r="P543" s="292"/>
      <c r="Q543" s="292"/>
      <c r="R543" s="292"/>
      <c r="S543" s="292"/>
      <c r="T543" s="292"/>
      <c r="U543" s="292"/>
      <c r="V543" s="292"/>
      <c r="W543" s="292"/>
    </row>
    <row r="544" spans="1:23" s="295" customFormat="1" ht="15.75">
      <c r="A544" s="287"/>
      <c r="B544" s="294"/>
      <c r="E544" s="229"/>
      <c r="F544" s="213"/>
      <c r="G544" s="286"/>
      <c r="H544" s="286"/>
      <c r="I544" s="296"/>
      <c r="J544" s="286"/>
      <c r="K544" s="296"/>
      <c r="L544" s="286"/>
      <c r="M544" s="285"/>
      <c r="N544" s="292"/>
      <c r="O544" s="292"/>
      <c r="P544" s="292"/>
      <c r="Q544" s="292"/>
      <c r="R544" s="292"/>
      <c r="S544" s="292"/>
      <c r="T544" s="292"/>
      <c r="U544" s="292"/>
      <c r="V544" s="292"/>
      <c r="W544" s="292"/>
    </row>
    <row r="545" spans="1:23" s="295" customFormat="1" ht="15.75">
      <c r="A545" s="287"/>
      <c r="B545" s="294"/>
      <c r="E545" s="229"/>
      <c r="F545" s="213"/>
      <c r="G545" s="286"/>
      <c r="H545" s="286"/>
      <c r="I545" s="296"/>
      <c r="J545" s="286"/>
      <c r="K545" s="296"/>
      <c r="L545" s="286"/>
      <c r="M545" s="285"/>
      <c r="N545" s="292"/>
      <c r="O545" s="292"/>
      <c r="P545" s="292"/>
      <c r="Q545" s="292"/>
      <c r="R545" s="292"/>
      <c r="S545" s="292"/>
      <c r="T545" s="292"/>
      <c r="U545" s="292"/>
      <c r="V545" s="292"/>
      <c r="W545" s="292"/>
    </row>
    <row r="546" spans="1:23" s="295" customFormat="1" ht="15.75">
      <c r="A546" s="287"/>
      <c r="B546" s="294"/>
      <c r="E546" s="229"/>
      <c r="F546" s="213"/>
      <c r="G546" s="286"/>
      <c r="H546" s="286"/>
      <c r="I546" s="296"/>
      <c r="J546" s="286"/>
      <c r="K546" s="296"/>
      <c r="L546" s="286"/>
      <c r="M546" s="285"/>
      <c r="N546" s="292"/>
      <c r="O546" s="292"/>
      <c r="P546" s="292"/>
      <c r="Q546" s="292"/>
      <c r="R546" s="292"/>
      <c r="S546" s="292"/>
      <c r="T546" s="292"/>
      <c r="U546" s="292"/>
      <c r="V546" s="292"/>
      <c r="W546" s="292"/>
    </row>
    <row r="547" spans="1:23" s="295" customFormat="1" ht="15.75">
      <c r="A547" s="287"/>
      <c r="B547" s="294"/>
      <c r="E547" s="229"/>
      <c r="F547" s="213"/>
      <c r="G547" s="286"/>
      <c r="H547" s="286"/>
      <c r="I547" s="296"/>
      <c r="J547" s="286"/>
      <c r="K547" s="296"/>
      <c r="L547" s="286"/>
      <c r="M547" s="285"/>
      <c r="N547" s="292"/>
      <c r="O547" s="292"/>
      <c r="P547" s="292"/>
      <c r="Q547" s="292"/>
      <c r="R547" s="292"/>
      <c r="S547" s="292"/>
      <c r="T547" s="292"/>
      <c r="U547" s="292"/>
      <c r="V547" s="292"/>
      <c r="W547" s="292"/>
    </row>
    <row r="548" spans="1:23" s="295" customFormat="1" ht="15.75">
      <c r="A548" s="287"/>
      <c r="B548" s="294"/>
      <c r="E548" s="229"/>
      <c r="F548" s="213"/>
      <c r="G548" s="286"/>
      <c r="H548" s="286"/>
      <c r="I548" s="296"/>
      <c r="J548" s="286"/>
      <c r="K548" s="296"/>
      <c r="L548" s="286"/>
      <c r="M548" s="285"/>
      <c r="N548" s="292"/>
      <c r="O548" s="292"/>
      <c r="P548" s="292"/>
      <c r="Q548" s="292"/>
      <c r="R548" s="292"/>
      <c r="S548" s="292"/>
      <c r="T548" s="292"/>
      <c r="U548" s="292"/>
      <c r="V548" s="292"/>
      <c r="W548" s="292"/>
    </row>
    <row r="549" spans="1:23" s="295" customFormat="1" ht="15.75">
      <c r="A549" s="287"/>
      <c r="B549" s="294"/>
      <c r="E549" s="229"/>
      <c r="F549" s="213"/>
      <c r="G549" s="286"/>
      <c r="H549" s="286"/>
      <c r="I549" s="296"/>
      <c r="J549" s="286"/>
      <c r="K549" s="296"/>
      <c r="L549" s="286"/>
      <c r="M549" s="285"/>
      <c r="N549" s="292"/>
      <c r="O549" s="292"/>
      <c r="P549" s="292"/>
      <c r="Q549" s="292"/>
      <c r="R549" s="292"/>
      <c r="S549" s="292"/>
      <c r="T549" s="292"/>
      <c r="U549" s="292"/>
      <c r="V549" s="292"/>
      <c r="W549" s="292"/>
    </row>
    <row r="550" spans="1:23" s="295" customFormat="1" ht="15.75">
      <c r="A550" s="287"/>
      <c r="B550" s="294"/>
      <c r="E550" s="229"/>
      <c r="F550" s="213"/>
      <c r="G550" s="286"/>
      <c r="H550" s="286"/>
      <c r="I550" s="296"/>
      <c r="J550" s="286"/>
      <c r="K550" s="296"/>
      <c r="L550" s="286"/>
      <c r="M550" s="285"/>
      <c r="N550" s="292"/>
      <c r="O550" s="292"/>
      <c r="P550" s="292"/>
      <c r="Q550" s="292"/>
      <c r="R550" s="292"/>
      <c r="S550" s="292"/>
      <c r="T550" s="292"/>
      <c r="U550" s="292"/>
      <c r="V550" s="292"/>
      <c r="W550" s="292"/>
    </row>
    <row r="551" spans="1:23" s="295" customFormat="1" ht="15.75">
      <c r="A551" s="287"/>
      <c r="B551" s="294"/>
      <c r="E551" s="229"/>
      <c r="F551" s="213"/>
      <c r="G551" s="286"/>
      <c r="H551" s="286"/>
      <c r="I551" s="296"/>
      <c r="J551" s="286"/>
      <c r="K551" s="296"/>
      <c r="L551" s="286"/>
      <c r="M551" s="285"/>
      <c r="N551" s="292"/>
      <c r="O551" s="292"/>
      <c r="P551" s="292"/>
      <c r="Q551" s="292"/>
      <c r="R551" s="292"/>
      <c r="S551" s="292"/>
      <c r="T551" s="292"/>
      <c r="U551" s="292"/>
      <c r="V551" s="292"/>
      <c r="W551" s="292"/>
    </row>
    <row r="552" spans="1:23" s="295" customFormat="1" ht="15.75">
      <c r="A552" s="287"/>
      <c r="B552" s="294"/>
      <c r="E552" s="229"/>
      <c r="F552" s="213"/>
      <c r="G552" s="286"/>
      <c r="H552" s="286"/>
      <c r="I552" s="296"/>
      <c r="J552" s="286"/>
      <c r="K552" s="296"/>
      <c r="L552" s="286"/>
      <c r="M552" s="285"/>
      <c r="N552" s="292"/>
      <c r="O552" s="292"/>
      <c r="P552" s="292"/>
      <c r="Q552" s="292"/>
      <c r="R552" s="292"/>
      <c r="S552" s="292"/>
      <c r="T552" s="292"/>
      <c r="U552" s="292"/>
      <c r="V552" s="292"/>
      <c r="W552" s="292"/>
    </row>
    <row r="553" spans="1:23" s="295" customFormat="1" ht="15.75">
      <c r="A553" s="287"/>
      <c r="B553" s="294"/>
      <c r="E553" s="229"/>
      <c r="F553" s="213"/>
      <c r="G553" s="286"/>
      <c r="H553" s="286"/>
      <c r="I553" s="296"/>
      <c r="J553" s="286"/>
      <c r="K553" s="296"/>
      <c r="L553" s="286"/>
      <c r="M553" s="285"/>
      <c r="N553" s="292"/>
      <c r="O553" s="292"/>
      <c r="P553" s="292"/>
      <c r="Q553" s="292"/>
      <c r="R553" s="292"/>
      <c r="S553" s="292"/>
      <c r="T553" s="292"/>
      <c r="U553" s="292"/>
      <c r="V553" s="292"/>
      <c r="W553" s="292"/>
    </row>
    <row r="554" spans="1:23" s="295" customFormat="1" ht="15.75">
      <c r="A554" s="287"/>
      <c r="B554" s="294"/>
      <c r="E554" s="229"/>
      <c r="F554" s="213"/>
      <c r="G554" s="286"/>
      <c r="H554" s="286"/>
      <c r="I554" s="296"/>
      <c r="J554" s="286"/>
      <c r="K554" s="296"/>
      <c r="L554" s="286"/>
      <c r="M554" s="285"/>
      <c r="N554" s="292"/>
      <c r="O554" s="292"/>
      <c r="P554" s="292"/>
      <c r="Q554" s="292"/>
      <c r="R554" s="292"/>
      <c r="S554" s="292"/>
      <c r="T554" s="292"/>
      <c r="U554" s="292"/>
      <c r="V554" s="292"/>
      <c r="W554" s="292"/>
    </row>
    <row r="555" spans="1:23" s="295" customFormat="1" ht="15.75">
      <c r="A555" s="287"/>
      <c r="B555" s="294"/>
      <c r="E555" s="229"/>
      <c r="F555" s="213"/>
      <c r="G555" s="286"/>
      <c r="H555" s="286"/>
      <c r="I555" s="296"/>
      <c r="J555" s="286"/>
      <c r="K555" s="296"/>
      <c r="L555" s="286"/>
      <c r="M555" s="285"/>
      <c r="N555" s="292"/>
      <c r="O555" s="292"/>
      <c r="P555" s="292"/>
      <c r="Q555" s="292"/>
      <c r="R555" s="292"/>
      <c r="S555" s="292"/>
      <c r="T555" s="292"/>
      <c r="U555" s="292"/>
      <c r="V555" s="292"/>
      <c r="W555" s="292"/>
    </row>
    <row r="556" spans="1:23" s="295" customFormat="1" ht="15.75">
      <c r="A556" s="287"/>
      <c r="B556" s="294"/>
      <c r="E556" s="229"/>
      <c r="F556" s="213"/>
      <c r="G556" s="286"/>
      <c r="H556" s="286"/>
      <c r="I556" s="296"/>
      <c r="J556" s="286"/>
      <c r="K556" s="296"/>
      <c r="L556" s="286"/>
      <c r="M556" s="285"/>
      <c r="N556" s="292"/>
      <c r="O556" s="292"/>
      <c r="P556" s="292"/>
      <c r="Q556" s="292"/>
      <c r="R556" s="292"/>
      <c r="S556" s="292"/>
      <c r="T556" s="292"/>
      <c r="U556" s="292"/>
      <c r="V556" s="292"/>
      <c r="W556" s="292"/>
    </row>
    <row r="557" spans="1:23" s="295" customFormat="1" ht="15.75">
      <c r="A557" s="287"/>
      <c r="B557" s="294"/>
      <c r="E557" s="229"/>
      <c r="F557" s="213"/>
      <c r="G557" s="286"/>
      <c r="H557" s="286"/>
      <c r="I557" s="296"/>
      <c r="J557" s="286"/>
      <c r="K557" s="296"/>
      <c r="L557" s="286"/>
      <c r="M557" s="285"/>
      <c r="N557" s="292"/>
      <c r="O557" s="292"/>
      <c r="P557" s="292"/>
      <c r="Q557" s="292"/>
      <c r="R557" s="292"/>
      <c r="S557" s="292"/>
      <c r="T557" s="292"/>
      <c r="U557" s="292"/>
      <c r="V557" s="292"/>
      <c r="W557" s="292"/>
    </row>
    <row r="558" spans="1:23" s="295" customFormat="1" ht="15.75">
      <c r="A558" s="287"/>
      <c r="B558" s="294"/>
      <c r="E558" s="229"/>
      <c r="F558" s="213"/>
      <c r="G558" s="286"/>
      <c r="H558" s="286"/>
      <c r="I558" s="296"/>
      <c r="J558" s="286"/>
      <c r="K558" s="296"/>
      <c r="L558" s="286"/>
      <c r="M558" s="285"/>
      <c r="N558" s="292"/>
      <c r="O558" s="292"/>
      <c r="P558" s="292"/>
      <c r="Q558" s="292"/>
      <c r="R558" s="292"/>
      <c r="S558" s="292"/>
      <c r="T558" s="292"/>
      <c r="U558" s="292"/>
      <c r="V558" s="292"/>
      <c r="W558" s="292"/>
    </row>
    <row r="559" spans="1:23" s="295" customFormat="1" ht="15.75">
      <c r="A559" s="287"/>
      <c r="B559" s="294"/>
      <c r="E559" s="229"/>
      <c r="F559" s="213"/>
      <c r="G559" s="286"/>
      <c r="H559" s="286"/>
      <c r="I559" s="296"/>
      <c r="J559" s="286"/>
      <c r="K559" s="296"/>
      <c r="L559" s="286"/>
      <c r="M559" s="285"/>
      <c r="N559" s="292"/>
      <c r="O559" s="292"/>
      <c r="P559" s="292"/>
      <c r="Q559" s="292"/>
      <c r="R559" s="292"/>
      <c r="S559" s="292"/>
      <c r="T559" s="292"/>
      <c r="U559" s="292"/>
      <c r="V559" s="292"/>
      <c r="W559" s="292"/>
    </row>
    <row r="560" spans="1:23" s="295" customFormat="1" ht="15.75">
      <c r="A560" s="287"/>
      <c r="B560" s="294"/>
      <c r="E560" s="229"/>
      <c r="F560" s="213"/>
      <c r="G560" s="286"/>
      <c r="H560" s="286"/>
      <c r="I560" s="296"/>
      <c r="J560" s="286"/>
      <c r="K560" s="296"/>
      <c r="L560" s="286"/>
      <c r="M560" s="285"/>
      <c r="N560" s="292"/>
      <c r="O560" s="292"/>
      <c r="P560" s="292"/>
      <c r="Q560" s="292"/>
      <c r="R560" s="292"/>
      <c r="S560" s="292"/>
      <c r="T560" s="292"/>
      <c r="U560" s="292"/>
      <c r="V560" s="292"/>
      <c r="W560" s="292"/>
    </row>
    <row r="561" spans="1:23" s="295" customFormat="1" ht="15.75">
      <c r="A561" s="287"/>
      <c r="B561" s="294"/>
      <c r="E561" s="229"/>
      <c r="F561" s="213"/>
      <c r="G561" s="286"/>
      <c r="H561" s="286"/>
      <c r="I561" s="296"/>
      <c r="J561" s="286"/>
      <c r="K561" s="296"/>
      <c r="L561" s="286"/>
      <c r="M561" s="285"/>
      <c r="N561" s="292"/>
      <c r="O561" s="292"/>
      <c r="P561" s="292"/>
      <c r="Q561" s="292"/>
      <c r="R561" s="292"/>
      <c r="S561" s="292"/>
      <c r="T561" s="292"/>
      <c r="U561" s="292"/>
      <c r="V561" s="292"/>
      <c r="W561" s="292"/>
    </row>
    <row r="562" spans="1:23" s="295" customFormat="1" ht="15.75">
      <c r="A562" s="287"/>
      <c r="B562" s="294"/>
      <c r="E562" s="229"/>
      <c r="F562" s="213"/>
      <c r="G562" s="286"/>
      <c r="H562" s="286"/>
      <c r="I562" s="296"/>
      <c r="J562" s="286"/>
      <c r="K562" s="296"/>
      <c r="L562" s="286"/>
      <c r="M562" s="285"/>
      <c r="N562" s="292"/>
      <c r="O562" s="292"/>
      <c r="P562" s="292"/>
      <c r="Q562" s="292"/>
      <c r="R562" s="292"/>
      <c r="S562" s="292"/>
      <c r="T562" s="292"/>
      <c r="U562" s="292"/>
      <c r="V562" s="292"/>
      <c r="W562" s="292"/>
    </row>
    <row r="563" spans="1:23" s="295" customFormat="1" ht="15.75">
      <c r="A563" s="287"/>
      <c r="B563" s="294"/>
      <c r="E563" s="229"/>
      <c r="F563" s="213"/>
      <c r="G563" s="286"/>
      <c r="H563" s="286"/>
      <c r="I563" s="296"/>
      <c r="J563" s="286"/>
      <c r="K563" s="296"/>
      <c r="L563" s="286"/>
      <c r="M563" s="285"/>
      <c r="N563" s="292"/>
      <c r="O563" s="292"/>
      <c r="P563" s="292"/>
      <c r="Q563" s="292"/>
      <c r="R563" s="292"/>
      <c r="S563" s="292"/>
      <c r="T563" s="292"/>
      <c r="U563" s="292"/>
      <c r="V563" s="292"/>
      <c r="W563" s="292"/>
    </row>
    <row r="564" spans="1:23" s="295" customFormat="1" ht="15.75">
      <c r="A564" s="287"/>
      <c r="B564" s="294"/>
      <c r="E564" s="229"/>
      <c r="F564" s="213"/>
      <c r="G564" s="286"/>
      <c r="H564" s="286"/>
      <c r="I564" s="296"/>
      <c r="J564" s="286"/>
      <c r="K564" s="296"/>
      <c r="L564" s="286"/>
      <c r="M564" s="285"/>
      <c r="N564" s="292"/>
      <c r="O564" s="292"/>
      <c r="P564" s="292"/>
      <c r="Q564" s="292"/>
      <c r="R564" s="292"/>
      <c r="S564" s="292"/>
      <c r="T564" s="292"/>
      <c r="U564" s="292"/>
      <c r="V564" s="292"/>
      <c r="W564" s="292"/>
    </row>
    <row r="565" spans="1:23" s="295" customFormat="1" ht="15.75">
      <c r="A565" s="287"/>
      <c r="B565" s="294"/>
      <c r="E565" s="229"/>
      <c r="F565" s="213"/>
      <c r="G565" s="286"/>
      <c r="H565" s="286"/>
      <c r="I565" s="296"/>
      <c r="J565" s="286"/>
      <c r="K565" s="296"/>
      <c r="L565" s="286"/>
      <c r="M565" s="285"/>
      <c r="N565" s="292"/>
      <c r="O565" s="292"/>
      <c r="P565" s="292"/>
      <c r="Q565" s="292"/>
      <c r="R565" s="292"/>
      <c r="S565" s="292"/>
      <c r="T565" s="292"/>
      <c r="U565" s="292"/>
      <c r="V565" s="292"/>
      <c r="W565" s="292"/>
    </row>
    <row r="566" spans="1:23" s="295" customFormat="1" ht="15.75">
      <c r="A566" s="287"/>
      <c r="B566" s="294"/>
      <c r="E566" s="229"/>
      <c r="F566" s="213"/>
      <c r="G566" s="286"/>
      <c r="H566" s="286"/>
      <c r="I566" s="296"/>
      <c r="J566" s="286"/>
      <c r="K566" s="296"/>
      <c r="L566" s="286"/>
      <c r="M566" s="285"/>
      <c r="N566" s="292"/>
      <c r="O566" s="292"/>
      <c r="P566" s="292"/>
      <c r="Q566" s="292"/>
      <c r="R566" s="292"/>
      <c r="S566" s="292"/>
      <c r="T566" s="292"/>
      <c r="U566" s="292"/>
      <c r="V566" s="292"/>
      <c r="W566" s="292"/>
    </row>
    <row r="567" spans="1:23" s="295" customFormat="1" ht="15.75">
      <c r="A567" s="287"/>
      <c r="B567" s="294"/>
      <c r="E567" s="229"/>
      <c r="F567" s="213"/>
      <c r="G567" s="286"/>
      <c r="H567" s="286"/>
      <c r="I567" s="296"/>
      <c r="J567" s="286"/>
      <c r="K567" s="296"/>
      <c r="L567" s="286"/>
      <c r="M567" s="285"/>
      <c r="N567" s="292"/>
      <c r="O567" s="292"/>
      <c r="P567" s="292"/>
      <c r="Q567" s="292"/>
      <c r="R567" s="292"/>
      <c r="S567" s="292"/>
      <c r="T567" s="292"/>
      <c r="U567" s="292"/>
      <c r="V567" s="292"/>
      <c r="W567" s="292"/>
    </row>
    <row r="568" spans="1:23" s="295" customFormat="1" ht="15.75">
      <c r="A568" s="287"/>
      <c r="B568" s="294"/>
      <c r="E568" s="229"/>
      <c r="F568" s="213"/>
      <c r="G568" s="286"/>
      <c r="H568" s="286"/>
      <c r="I568" s="296"/>
      <c r="J568" s="286"/>
      <c r="K568" s="296"/>
      <c r="L568" s="286"/>
      <c r="M568" s="285"/>
      <c r="N568" s="292"/>
      <c r="O568" s="292"/>
      <c r="P568" s="292"/>
      <c r="Q568" s="292"/>
      <c r="R568" s="292"/>
      <c r="S568" s="292"/>
      <c r="T568" s="292"/>
      <c r="U568" s="292"/>
      <c r="V568" s="292"/>
      <c r="W568" s="292"/>
    </row>
    <row r="569" spans="1:23" s="295" customFormat="1" ht="15.75">
      <c r="A569" s="287"/>
      <c r="B569" s="294"/>
      <c r="E569" s="229"/>
      <c r="F569" s="213"/>
      <c r="G569" s="286"/>
      <c r="H569" s="286"/>
      <c r="I569" s="296"/>
      <c r="J569" s="286"/>
      <c r="K569" s="296"/>
      <c r="L569" s="286"/>
      <c r="M569" s="285"/>
      <c r="N569" s="292"/>
      <c r="O569" s="292"/>
      <c r="P569" s="292"/>
      <c r="Q569" s="292"/>
      <c r="R569" s="292"/>
      <c r="S569" s="292"/>
      <c r="T569" s="292"/>
      <c r="U569" s="292"/>
      <c r="V569" s="292"/>
      <c r="W569" s="292"/>
    </row>
    <row r="570" spans="1:23" s="295" customFormat="1" ht="15.75">
      <c r="A570" s="287"/>
      <c r="B570" s="294"/>
      <c r="E570" s="229"/>
      <c r="F570" s="213"/>
      <c r="G570" s="286"/>
      <c r="H570" s="286"/>
      <c r="I570" s="296"/>
      <c r="J570" s="286"/>
      <c r="K570" s="296"/>
      <c r="L570" s="286"/>
      <c r="M570" s="285"/>
      <c r="N570" s="292"/>
      <c r="O570" s="292"/>
      <c r="P570" s="292"/>
      <c r="Q570" s="292"/>
      <c r="R570" s="292"/>
      <c r="S570" s="292"/>
      <c r="T570" s="292"/>
      <c r="U570" s="292"/>
      <c r="V570" s="292"/>
      <c r="W570" s="292"/>
    </row>
    <row r="571" spans="1:23" s="295" customFormat="1" ht="15.75">
      <c r="A571" s="287"/>
      <c r="B571" s="294"/>
      <c r="E571" s="229"/>
      <c r="F571" s="213"/>
      <c r="G571" s="286"/>
      <c r="H571" s="286"/>
      <c r="I571" s="296"/>
      <c r="J571" s="286"/>
      <c r="K571" s="296"/>
      <c r="L571" s="286"/>
      <c r="M571" s="285"/>
      <c r="N571" s="292"/>
      <c r="O571" s="292"/>
      <c r="P571" s="292"/>
      <c r="Q571" s="292"/>
      <c r="R571" s="292"/>
      <c r="S571" s="292"/>
      <c r="T571" s="292"/>
      <c r="U571" s="292"/>
      <c r="V571" s="292"/>
      <c r="W571" s="292"/>
    </row>
    <row r="572" spans="1:23" s="295" customFormat="1" ht="15.75">
      <c r="A572" s="287"/>
      <c r="B572" s="294"/>
      <c r="E572" s="229"/>
      <c r="F572" s="213"/>
      <c r="G572" s="286"/>
      <c r="H572" s="286"/>
      <c r="I572" s="296"/>
      <c r="J572" s="286"/>
      <c r="K572" s="296"/>
      <c r="L572" s="286"/>
      <c r="M572" s="285"/>
      <c r="N572" s="292"/>
      <c r="O572" s="292"/>
      <c r="P572" s="292"/>
      <c r="Q572" s="292"/>
      <c r="R572" s="292"/>
      <c r="S572" s="292"/>
      <c r="T572" s="292"/>
      <c r="U572" s="292"/>
      <c r="V572" s="292"/>
      <c r="W572" s="292"/>
    </row>
    <row r="573" spans="1:23" s="295" customFormat="1" ht="15.75">
      <c r="A573" s="287"/>
      <c r="B573" s="294"/>
      <c r="E573" s="229"/>
      <c r="F573" s="213"/>
      <c r="G573" s="286"/>
      <c r="H573" s="286"/>
      <c r="I573" s="296"/>
      <c r="J573" s="286"/>
      <c r="K573" s="296"/>
      <c r="L573" s="286"/>
      <c r="M573" s="285"/>
      <c r="N573" s="292"/>
      <c r="O573" s="292"/>
      <c r="P573" s="292"/>
      <c r="Q573" s="292"/>
      <c r="R573" s="292"/>
      <c r="S573" s="292"/>
      <c r="T573" s="292"/>
      <c r="U573" s="292"/>
      <c r="V573" s="292"/>
      <c r="W573" s="292"/>
    </row>
    <row r="574" spans="1:23" s="295" customFormat="1" ht="15.75">
      <c r="A574" s="287"/>
      <c r="B574" s="294"/>
      <c r="E574" s="229"/>
      <c r="F574" s="213"/>
      <c r="G574" s="286"/>
      <c r="H574" s="286"/>
      <c r="I574" s="296"/>
      <c r="J574" s="286"/>
      <c r="K574" s="296"/>
      <c r="L574" s="286"/>
      <c r="M574" s="285"/>
      <c r="N574" s="292"/>
      <c r="O574" s="292"/>
      <c r="P574" s="292"/>
      <c r="Q574" s="292"/>
      <c r="R574" s="292"/>
      <c r="S574" s="292"/>
      <c r="T574" s="292"/>
      <c r="U574" s="292"/>
      <c r="V574" s="292"/>
      <c r="W574" s="292"/>
    </row>
    <row r="575" spans="1:23" s="295" customFormat="1" ht="15.75">
      <c r="A575" s="287"/>
      <c r="B575" s="294"/>
      <c r="E575" s="229"/>
      <c r="F575" s="213"/>
      <c r="G575" s="286"/>
      <c r="H575" s="286"/>
      <c r="I575" s="296"/>
      <c r="J575" s="286"/>
      <c r="K575" s="296"/>
      <c r="L575" s="286"/>
      <c r="M575" s="285"/>
      <c r="N575" s="292"/>
      <c r="O575" s="292"/>
      <c r="P575" s="292"/>
      <c r="Q575" s="292"/>
      <c r="R575" s="292"/>
      <c r="S575" s="292"/>
      <c r="T575" s="292"/>
      <c r="U575" s="292"/>
      <c r="V575" s="292"/>
      <c r="W575" s="292"/>
    </row>
    <row r="576" spans="1:23" s="295" customFormat="1" ht="15.75">
      <c r="A576" s="287"/>
      <c r="B576" s="294"/>
      <c r="E576" s="229"/>
      <c r="F576" s="213"/>
      <c r="G576" s="286"/>
      <c r="H576" s="286"/>
      <c r="I576" s="296"/>
      <c r="J576" s="286"/>
      <c r="K576" s="296"/>
      <c r="L576" s="286"/>
      <c r="M576" s="285"/>
      <c r="N576" s="292"/>
      <c r="O576" s="292"/>
      <c r="P576" s="292"/>
      <c r="Q576" s="292"/>
      <c r="R576" s="292"/>
      <c r="S576" s="292"/>
      <c r="T576" s="292"/>
      <c r="U576" s="292"/>
      <c r="V576" s="292"/>
      <c r="W576" s="292"/>
    </row>
    <row r="577" spans="1:23" s="295" customFormat="1" ht="15.75">
      <c r="A577" s="287"/>
      <c r="B577" s="294"/>
      <c r="E577" s="229"/>
      <c r="F577" s="213"/>
      <c r="G577" s="286"/>
      <c r="H577" s="286"/>
      <c r="I577" s="296"/>
      <c r="J577" s="286"/>
      <c r="K577" s="296"/>
      <c r="L577" s="286"/>
      <c r="M577" s="285"/>
      <c r="N577" s="292"/>
      <c r="O577" s="292"/>
      <c r="P577" s="292"/>
      <c r="Q577" s="292"/>
      <c r="R577" s="292"/>
      <c r="S577" s="292"/>
      <c r="T577" s="292"/>
      <c r="U577" s="292"/>
      <c r="V577" s="292"/>
      <c r="W577" s="292"/>
    </row>
    <row r="578" spans="1:23" s="295" customFormat="1" ht="15.75">
      <c r="A578" s="287"/>
      <c r="B578" s="294"/>
      <c r="E578" s="229"/>
      <c r="F578" s="213"/>
      <c r="G578" s="286"/>
      <c r="H578" s="286"/>
      <c r="I578" s="296"/>
      <c r="J578" s="286"/>
      <c r="K578" s="296"/>
      <c r="L578" s="286"/>
      <c r="M578" s="285"/>
      <c r="N578" s="292"/>
      <c r="O578" s="292"/>
      <c r="P578" s="292"/>
      <c r="Q578" s="292"/>
      <c r="R578" s="292"/>
      <c r="S578" s="292"/>
      <c r="T578" s="292"/>
      <c r="U578" s="292"/>
      <c r="V578" s="292"/>
      <c r="W578" s="292"/>
    </row>
    <row r="579" spans="1:23" s="295" customFormat="1" ht="15.75">
      <c r="A579" s="287"/>
      <c r="B579" s="294"/>
      <c r="E579" s="229"/>
      <c r="F579" s="213"/>
      <c r="G579" s="286"/>
      <c r="H579" s="286"/>
      <c r="I579" s="296"/>
      <c r="J579" s="286"/>
      <c r="K579" s="296"/>
      <c r="L579" s="286"/>
      <c r="M579" s="285"/>
      <c r="N579" s="292"/>
      <c r="O579" s="292"/>
      <c r="P579" s="292"/>
      <c r="Q579" s="292"/>
      <c r="R579" s="292"/>
      <c r="S579" s="292"/>
      <c r="T579" s="292"/>
      <c r="U579" s="292"/>
      <c r="V579" s="292"/>
      <c r="W579" s="292"/>
    </row>
    <row r="580" spans="1:23" s="295" customFormat="1" ht="15.75">
      <c r="A580" s="287"/>
      <c r="B580" s="294"/>
      <c r="E580" s="229"/>
      <c r="F580" s="213"/>
      <c r="G580" s="286"/>
      <c r="H580" s="286"/>
      <c r="I580" s="296"/>
      <c r="J580" s="286"/>
      <c r="K580" s="296"/>
      <c r="L580" s="286"/>
      <c r="M580" s="285"/>
      <c r="N580" s="292"/>
      <c r="O580" s="292"/>
      <c r="P580" s="292"/>
      <c r="Q580" s="292"/>
      <c r="R580" s="292"/>
      <c r="S580" s="292"/>
      <c r="T580" s="292"/>
      <c r="U580" s="292"/>
      <c r="V580" s="292"/>
      <c r="W580" s="292"/>
    </row>
    <row r="581" spans="1:23" s="295" customFormat="1" ht="15.75">
      <c r="A581" s="287"/>
      <c r="B581" s="294"/>
      <c r="E581" s="229"/>
      <c r="F581" s="213"/>
      <c r="G581" s="286"/>
      <c r="H581" s="286"/>
      <c r="I581" s="296"/>
      <c r="J581" s="286"/>
      <c r="K581" s="296"/>
      <c r="L581" s="286"/>
      <c r="M581" s="285"/>
      <c r="N581" s="292"/>
      <c r="O581" s="292"/>
      <c r="P581" s="292"/>
      <c r="Q581" s="292"/>
      <c r="R581" s="292"/>
      <c r="S581" s="292"/>
      <c r="T581" s="292"/>
      <c r="U581" s="292"/>
      <c r="V581" s="292"/>
      <c r="W581" s="292"/>
    </row>
    <row r="582" spans="1:23" s="295" customFormat="1" ht="15.75">
      <c r="A582" s="287"/>
      <c r="B582" s="294"/>
      <c r="E582" s="229"/>
      <c r="F582" s="213"/>
      <c r="G582" s="286"/>
      <c r="H582" s="286"/>
      <c r="I582" s="296"/>
      <c r="J582" s="286"/>
      <c r="K582" s="296"/>
      <c r="L582" s="286"/>
      <c r="M582" s="285"/>
      <c r="N582" s="292"/>
      <c r="O582" s="292"/>
      <c r="P582" s="292"/>
      <c r="Q582" s="292"/>
      <c r="R582" s="292"/>
      <c r="S582" s="292"/>
      <c r="T582" s="292"/>
      <c r="U582" s="292"/>
      <c r="V582" s="292"/>
      <c r="W582" s="292"/>
    </row>
    <row r="583" spans="1:23" s="295" customFormat="1" ht="15.75">
      <c r="A583" s="287"/>
      <c r="B583" s="294"/>
      <c r="E583" s="229"/>
      <c r="F583" s="213"/>
      <c r="G583" s="286"/>
      <c r="H583" s="286"/>
      <c r="I583" s="296"/>
      <c r="J583" s="286"/>
      <c r="K583" s="296"/>
      <c r="L583" s="286"/>
      <c r="M583" s="285"/>
      <c r="N583" s="292"/>
      <c r="O583" s="292"/>
      <c r="P583" s="292"/>
      <c r="Q583" s="292"/>
      <c r="R583" s="292"/>
      <c r="S583" s="292"/>
      <c r="T583" s="292"/>
      <c r="U583" s="292"/>
      <c r="V583" s="292"/>
      <c r="W583" s="292"/>
    </row>
    <row r="584" spans="1:23" s="295" customFormat="1" ht="15.75">
      <c r="A584" s="287"/>
      <c r="B584" s="294"/>
      <c r="E584" s="229"/>
      <c r="F584" s="213"/>
      <c r="G584" s="286"/>
      <c r="H584" s="286"/>
      <c r="I584" s="296"/>
      <c r="J584" s="286"/>
      <c r="K584" s="296"/>
      <c r="L584" s="286"/>
      <c r="M584" s="285"/>
      <c r="N584" s="292"/>
      <c r="O584" s="292"/>
      <c r="P584" s="292"/>
      <c r="Q584" s="292"/>
      <c r="R584" s="292"/>
      <c r="S584" s="292"/>
      <c r="T584" s="292"/>
      <c r="U584" s="292"/>
      <c r="V584" s="292"/>
      <c r="W584" s="292"/>
    </row>
    <row r="585" spans="1:23" s="295" customFormat="1" ht="15.75">
      <c r="A585" s="287"/>
      <c r="B585" s="294"/>
      <c r="E585" s="229"/>
      <c r="F585" s="213"/>
      <c r="G585" s="286"/>
      <c r="H585" s="286"/>
      <c r="I585" s="296"/>
      <c r="J585" s="286"/>
      <c r="K585" s="296"/>
      <c r="L585" s="286"/>
      <c r="M585" s="285"/>
      <c r="N585" s="292"/>
      <c r="O585" s="292"/>
      <c r="P585" s="292"/>
      <c r="Q585" s="292"/>
      <c r="R585" s="292"/>
      <c r="S585" s="292"/>
      <c r="T585" s="292"/>
      <c r="U585" s="292"/>
      <c r="V585" s="292"/>
      <c r="W585" s="292"/>
    </row>
    <row r="586" spans="1:23" s="295" customFormat="1" ht="15.75">
      <c r="A586" s="287"/>
      <c r="B586" s="294"/>
      <c r="E586" s="229"/>
      <c r="F586" s="213"/>
      <c r="G586" s="286"/>
      <c r="H586" s="286"/>
      <c r="I586" s="296"/>
      <c r="J586" s="286"/>
      <c r="K586" s="296"/>
      <c r="L586" s="286"/>
      <c r="M586" s="285"/>
      <c r="N586" s="292"/>
      <c r="O586" s="292"/>
      <c r="P586" s="292"/>
      <c r="Q586" s="292"/>
      <c r="R586" s="292"/>
      <c r="S586" s="292"/>
      <c r="T586" s="292"/>
      <c r="U586" s="292"/>
      <c r="V586" s="292"/>
      <c r="W586" s="292"/>
    </row>
    <row r="587" spans="1:23" s="295" customFormat="1" ht="15.75">
      <c r="A587" s="287"/>
      <c r="B587" s="294"/>
      <c r="E587" s="229"/>
      <c r="F587" s="213"/>
      <c r="G587" s="286"/>
      <c r="H587" s="286"/>
      <c r="I587" s="296"/>
      <c r="J587" s="286"/>
      <c r="K587" s="296"/>
      <c r="L587" s="286"/>
      <c r="M587" s="285"/>
      <c r="N587" s="292"/>
      <c r="O587" s="292"/>
      <c r="P587" s="292"/>
      <c r="Q587" s="292"/>
      <c r="R587" s="292"/>
      <c r="S587" s="292"/>
      <c r="T587" s="292"/>
      <c r="U587" s="292"/>
      <c r="V587" s="292"/>
      <c r="W587" s="292"/>
    </row>
    <row r="588" spans="1:23" s="295" customFormat="1" ht="15.75">
      <c r="A588" s="287"/>
      <c r="B588" s="294"/>
      <c r="E588" s="229"/>
      <c r="F588" s="213"/>
      <c r="G588" s="286"/>
      <c r="H588" s="286"/>
      <c r="I588" s="296"/>
      <c r="J588" s="286"/>
      <c r="K588" s="296"/>
      <c r="L588" s="286"/>
      <c r="M588" s="285"/>
      <c r="N588" s="292"/>
      <c r="O588" s="292"/>
      <c r="P588" s="292"/>
      <c r="Q588" s="292"/>
      <c r="R588" s="292"/>
      <c r="S588" s="292"/>
      <c r="T588" s="292"/>
      <c r="U588" s="292"/>
      <c r="V588" s="292"/>
      <c r="W588" s="292"/>
    </row>
    <row r="589" spans="1:23" s="295" customFormat="1" ht="15.75">
      <c r="A589" s="287"/>
      <c r="B589" s="294"/>
      <c r="E589" s="229"/>
      <c r="F589" s="213"/>
      <c r="G589" s="286"/>
      <c r="H589" s="286"/>
      <c r="I589" s="296"/>
      <c r="J589" s="286"/>
      <c r="K589" s="296"/>
      <c r="L589" s="286"/>
      <c r="M589" s="285"/>
      <c r="N589" s="292"/>
      <c r="O589" s="292"/>
      <c r="P589" s="292"/>
      <c r="Q589" s="292"/>
      <c r="R589" s="292"/>
      <c r="S589" s="292"/>
      <c r="T589" s="292"/>
      <c r="U589" s="292"/>
      <c r="V589" s="292"/>
      <c r="W589" s="292"/>
    </row>
    <row r="590" spans="1:23" s="295" customFormat="1" ht="15.75">
      <c r="A590" s="287"/>
      <c r="B590" s="294"/>
      <c r="E590" s="229"/>
      <c r="F590" s="213"/>
      <c r="G590" s="286"/>
      <c r="H590" s="286"/>
      <c r="I590" s="296"/>
      <c r="J590" s="286"/>
      <c r="K590" s="296"/>
      <c r="L590" s="286"/>
      <c r="M590" s="285"/>
      <c r="N590" s="292"/>
      <c r="O590" s="292"/>
      <c r="P590" s="292"/>
      <c r="Q590" s="292"/>
      <c r="R590" s="292"/>
      <c r="S590" s="292"/>
      <c r="T590" s="292"/>
      <c r="U590" s="292"/>
      <c r="V590" s="292"/>
      <c r="W590" s="292"/>
    </row>
    <row r="591" spans="1:23" s="295" customFormat="1" ht="15.75">
      <c r="A591" s="287"/>
      <c r="B591" s="294"/>
      <c r="E591" s="229"/>
      <c r="F591" s="213"/>
      <c r="G591" s="286"/>
      <c r="H591" s="286"/>
      <c r="I591" s="296"/>
      <c r="J591" s="286"/>
      <c r="K591" s="296"/>
      <c r="L591" s="286"/>
      <c r="M591" s="285"/>
      <c r="N591" s="292"/>
      <c r="O591" s="292"/>
      <c r="P591" s="292"/>
      <c r="Q591" s="292"/>
      <c r="R591" s="292"/>
      <c r="S591" s="292"/>
      <c r="T591" s="292"/>
      <c r="U591" s="292"/>
      <c r="V591" s="292"/>
      <c r="W591" s="292"/>
    </row>
    <row r="592" spans="1:23" s="295" customFormat="1" ht="15.75">
      <c r="A592" s="287"/>
      <c r="B592" s="294"/>
      <c r="E592" s="229"/>
      <c r="F592" s="213"/>
      <c r="G592" s="286"/>
      <c r="H592" s="286"/>
      <c r="I592" s="296"/>
      <c r="J592" s="286"/>
      <c r="K592" s="296"/>
      <c r="L592" s="286"/>
      <c r="M592" s="285"/>
      <c r="N592" s="292"/>
      <c r="O592" s="292"/>
      <c r="P592" s="292"/>
      <c r="Q592" s="292"/>
      <c r="R592" s="292"/>
      <c r="S592" s="292"/>
      <c r="T592" s="292"/>
      <c r="U592" s="292"/>
      <c r="V592" s="292"/>
      <c r="W592" s="292"/>
    </row>
    <row r="593" spans="1:23" s="295" customFormat="1" ht="15.75">
      <c r="A593" s="287"/>
      <c r="B593" s="294"/>
      <c r="E593" s="229"/>
      <c r="F593" s="213"/>
      <c r="G593" s="286"/>
      <c r="H593" s="286"/>
      <c r="I593" s="296"/>
      <c r="J593" s="286"/>
      <c r="K593" s="296"/>
      <c r="L593" s="286"/>
      <c r="M593" s="285"/>
      <c r="N593" s="292"/>
      <c r="O593" s="292"/>
      <c r="P593" s="292"/>
      <c r="Q593" s="292"/>
      <c r="R593" s="292"/>
      <c r="S593" s="292"/>
      <c r="T593" s="292"/>
      <c r="U593" s="292"/>
      <c r="V593" s="292"/>
      <c r="W593" s="292"/>
    </row>
    <row r="594" spans="1:23" s="295" customFormat="1" ht="15.75">
      <c r="A594" s="287"/>
      <c r="B594" s="294"/>
      <c r="E594" s="229"/>
      <c r="F594" s="213"/>
      <c r="G594" s="286"/>
      <c r="H594" s="286"/>
      <c r="I594" s="296"/>
      <c r="J594" s="286"/>
      <c r="K594" s="296"/>
      <c r="L594" s="286"/>
      <c r="M594" s="285"/>
      <c r="N594" s="292"/>
      <c r="O594" s="292"/>
      <c r="P594" s="292"/>
      <c r="Q594" s="292"/>
      <c r="R594" s="292"/>
      <c r="S594" s="292"/>
      <c r="T594" s="292"/>
      <c r="U594" s="292"/>
      <c r="V594" s="292"/>
      <c r="W594" s="292"/>
    </row>
    <row r="595" spans="1:23" s="295" customFormat="1" ht="15.75">
      <c r="A595" s="287"/>
      <c r="B595" s="294"/>
      <c r="E595" s="229"/>
      <c r="F595" s="213"/>
      <c r="G595" s="286"/>
      <c r="H595" s="286"/>
      <c r="I595" s="296"/>
      <c r="J595" s="286"/>
      <c r="K595" s="296"/>
      <c r="L595" s="286"/>
      <c r="M595" s="285"/>
      <c r="N595" s="292"/>
      <c r="O595" s="292"/>
      <c r="P595" s="292"/>
      <c r="Q595" s="292"/>
      <c r="R595" s="292"/>
      <c r="S595" s="292"/>
      <c r="T595" s="292"/>
      <c r="U595" s="292"/>
      <c r="V595" s="292"/>
      <c r="W595" s="292"/>
    </row>
    <row r="596" spans="1:23" s="295" customFormat="1" ht="15.75">
      <c r="A596" s="287"/>
      <c r="B596" s="294"/>
      <c r="E596" s="229"/>
      <c r="F596" s="213"/>
      <c r="G596" s="286"/>
      <c r="H596" s="286"/>
      <c r="I596" s="296"/>
      <c r="J596" s="286"/>
      <c r="K596" s="296"/>
      <c r="L596" s="286"/>
      <c r="M596" s="285"/>
      <c r="N596" s="292"/>
      <c r="O596" s="292"/>
      <c r="P596" s="292"/>
      <c r="Q596" s="292"/>
      <c r="R596" s="292"/>
      <c r="S596" s="292"/>
      <c r="T596" s="292"/>
      <c r="U596" s="292"/>
      <c r="V596" s="292"/>
      <c r="W596" s="292"/>
    </row>
    <row r="597" spans="1:23" s="295" customFormat="1" ht="15.75">
      <c r="A597" s="287"/>
      <c r="B597" s="294"/>
      <c r="E597" s="229"/>
      <c r="F597" s="213"/>
      <c r="G597" s="286"/>
      <c r="H597" s="286"/>
      <c r="I597" s="296"/>
      <c r="J597" s="286"/>
      <c r="K597" s="296"/>
      <c r="L597" s="286"/>
      <c r="M597" s="285"/>
      <c r="N597" s="292"/>
      <c r="O597" s="292"/>
      <c r="P597" s="292"/>
      <c r="Q597" s="292"/>
      <c r="R597" s="292"/>
      <c r="S597" s="292"/>
      <c r="T597" s="292"/>
      <c r="U597" s="292"/>
      <c r="V597" s="292"/>
      <c r="W597" s="292"/>
    </row>
    <row r="598" spans="1:23" s="295" customFormat="1" ht="15.75">
      <c r="A598" s="287"/>
      <c r="B598" s="294"/>
      <c r="E598" s="229"/>
      <c r="F598" s="213"/>
      <c r="G598" s="286"/>
      <c r="H598" s="286"/>
      <c r="I598" s="296"/>
      <c r="J598" s="286"/>
      <c r="K598" s="296"/>
      <c r="L598" s="286"/>
      <c r="M598" s="285"/>
      <c r="N598" s="292"/>
      <c r="O598" s="292"/>
      <c r="P598" s="292"/>
      <c r="Q598" s="292"/>
      <c r="R598" s="292"/>
      <c r="S598" s="292"/>
      <c r="T598" s="292"/>
      <c r="U598" s="292"/>
      <c r="V598" s="292"/>
      <c r="W598" s="292"/>
    </row>
    <row r="599" spans="1:23" s="295" customFormat="1" ht="15.75">
      <c r="A599" s="287"/>
      <c r="B599" s="294"/>
      <c r="E599" s="229"/>
      <c r="F599" s="213"/>
      <c r="G599" s="286"/>
      <c r="H599" s="286"/>
      <c r="I599" s="296"/>
      <c r="J599" s="286"/>
      <c r="K599" s="296"/>
      <c r="L599" s="286"/>
      <c r="M599" s="285"/>
      <c r="N599" s="292"/>
      <c r="O599" s="292"/>
      <c r="P599" s="292"/>
      <c r="Q599" s="292"/>
      <c r="R599" s="292"/>
      <c r="S599" s="292"/>
      <c r="T599" s="292"/>
      <c r="U599" s="292"/>
      <c r="V599" s="292"/>
      <c r="W599" s="292"/>
    </row>
    <row r="600" spans="1:23" s="295" customFormat="1" ht="15.75">
      <c r="A600" s="287"/>
      <c r="B600" s="294"/>
      <c r="E600" s="229"/>
      <c r="F600" s="213"/>
      <c r="G600" s="286"/>
      <c r="H600" s="286"/>
      <c r="I600" s="296"/>
      <c r="J600" s="286"/>
      <c r="K600" s="296"/>
      <c r="L600" s="286"/>
      <c r="M600" s="285"/>
      <c r="N600" s="292"/>
      <c r="O600" s="292"/>
      <c r="P600" s="292"/>
      <c r="Q600" s="292"/>
      <c r="R600" s="292"/>
      <c r="S600" s="292"/>
      <c r="T600" s="292"/>
      <c r="U600" s="292"/>
      <c r="V600" s="292"/>
      <c r="W600" s="292"/>
    </row>
    <row r="601" spans="1:23" s="295" customFormat="1" ht="15.75">
      <c r="A601" s="287"/>
      <c r="B601" s="294"/>
      <c r="E601" s="229"/>
      <c r="F601" s="213"/>
      <c r="G601" s="286"/>
      <c r="H601" s="286"/>
      <c r="I601" s="296"/>
      <c r="J601" s="286"/>
      <c r="K601" s="296"/>
      <c r="L601" s="286"/>
      <c r="M601" s="285"/>
      <c r="N601" s="292"/>
      <c r="O601" s="292"/>
      <c r="P601" s="292"/>
      <c r="Q601" s="292"/>
      <c r="R601" s="292"/>
      <c r="S601" s="292"/>
      <c r="T601" s="292"/>
      <c r="U601" s="292"/>
      <c r="V601" s="292"/>
      <c r="W601" s="292"/>
    </row>
    <row r="602" spans="1:23" s="295" customFormat="1" ht="15.75">
      <c r="A602" s="287"/>
      <c r="B602" s="294"/>
      <c r="E602" s="229"/>
      <c r="F602" s="213"/>
      <c r="G602" s="286"/>
      <c r="H602" s="286"/>
      <c r="I602" s="296"/>
      <c r="J602" s="286"/>
      <c r="K602" s="296"/>
      <c r="L602" s="286"/>
      <c r="M602" s="285"/>
      <c r="N602" s="292"/>
      <c r="O602" s="292"/>
      <c r="P602" s="292"/>
      <c r="Q602" s="292"/>
      <c r="R602" s="292"/>
      <c r="S602" s="292"/>
      <c r="T602" s="292"/>
      <c r="U602" s="292"/>
      <c r="V602" s="292"/>
      <c r="W602" s="292"/>
    </row>
    <row r="603" spans="1:23" s="295" customFormat="1" ht="15.75">
      <c r="A603" s="287"/>
      <c r="B603" s="294"/>
      <c r="E603" s="229"/>
      <c r="F603" s="213"/>
      <c r="G603" s="286"/>
      <c r="H603" s="286"/>
      <c r="I603" s="296"/>
      <c r="J603" s="286"/>
      <c r="K603" s="296"/>
      <c r="L603" s="286"/>
      <c r="M603" s="285"/>
      <c r="N603" s="292"/>
      <c r="O603" s="292"/>
      <c r="P603" s="292"/>
      <c r="Q603" s="292"/>
      <c r="R603" s="292"/>
      <c r="S603" s="292"/>
      <c r="T603" s="292"/>
      <c r="U603" s="292"/>
      <c r="V603" s="292"/>
      <c r="W603" s="292"/>
    </row>
    <row r="604" spans="1:23" s="295" customFormat="1" ht="15.75">
      <c r="A604" s="287"/>
      <c r="B604" s="294"/>
      <c r="E604" s="229"/>
      <c r="F604" s="213"/>
      <c r="G604" s="286"/>
      <c r="H604" s="286"/>
      <c r="I604" s="296"/>
      <c r="J604" s="286"/>
      <c r="K604" s="296"/>
      <c r="L604" s="286"/>
      <c r="M604" s="285"/>
      <c r="N604" s="292"/>
      <c r="O604" s="292"/>
      <c r="P604" s="292"/>
      <c r="Q604" s="292"/>
      <c r="R604" s="292"/>
      <c r="S604" s="292"/>
      <c r="T604" s="292"/>
      <c r="U604" s="292"/>
      <c r="V604" s="292"/>
      <c r="W604" s="292"/>
    </row>
    <row r="605" spans="1:23" s="295" customFormat="1" ht="15.75">
      <c r="A605" s="287"/>
      <c r="B605" s="294"/>
      <c r="E605" s="229"/>
      <c r="F605" s="213"/>
      <c r="G605" s="286"/>
      <c r="H605" s="286"/>
      <c r="I605" s="296"/>
      <c r="J605" s="286"/>
      <c r="K605" s="296"/>
      <c r="L605" s="286"/>
      <c r="M605" s="285"/>
      <c r="N605" s="292"/>
      <c r="O605" s="292"/>
      <c r="P605" s="292"/>
      <c r="Q605" s="292"/>
      <c r="R605" s="292"/>
      <c r="S605" s="292"/>
      <c r="T605" s="292"/>
      <c r="U605" s="292"/>
      <c r="V605" s="292"/>
      <c r="W605" s="292"/>
    </row>
    <row r="606" spans="1:23" s="295" customFormat="1" ht="15.75">
      <c r="A606" s="287"/>
      <c r="B606" s="294"/>
      <c r="E606" s="229"/>
      <c r="F606" s="213"/>
      <c r="G606" s="286"/>
      <c r="H606" s="286"/>
      <c r="I606" s="296"/>
      <c r="J606" s="286"/>
      <c r="K606" s="296"/>
      <c r="L606" s="286"/>
      <c r="M606" s="285"/>
      <c r="N606" s="292"/>
      <c r="O606" s="292"/>
      <c r="P606" s="292"/>
      <c r="Q606" s="292"/>
      <c r="R606" s="292"/>
      <c r="S606" s="292"/>
      <c r="T606" s="292"/>
      <c r="U606" s="292"/>
      <c r="V606" s="292"/>
      <c r="W606" s="292"/>
    </row>
    <row r="607" spans="1:23" s="295" customFormat="1" ht="15.75">
      <c r="A607" s="287"/>
      <c r="B607" s="294"/>
      <c r="E607" s="229"/>
      <c r="F607" s="213"/>
      <c r="G607" s="286"/>
      <c r="H607" s="286"/>
      <c r="I607" s="296"/>
      <c r="J607" s="286"/>
      <c r="K607" s="296"/>
      <c r="L607" s="286"/>
      <c r="M607" s="285"/>
      <c r="N607" s="292"/>
      <c r="O607" s="292"/>
      <c r="P607" s="292"/>
      <c r="Q607" s="292"/>
      <c r="R607" s="292"/>
      <c r="S607" s="292"/>
      <c r="T607" s="292"/>
      <c r="U607" s="292"/>
      <c r="V607" s="292"/>
      <c r="W607" s="292"/>
    </row>
    <row r="608" spans="1:23" s="295" customFormat="1" ht="15.75">
      <c r="A608" s="287"/>
      <c r="B608" s="294"/>
      <c r="E608" s="229"/>
      <c r="F608" s="213"/>
      <c r="G608" s="286"/>
      <c r="H608" s="286"/>
      <c r="I608" s="296"/>
      <c r="J608" s="286"/>
      <c r="K608" s="296"/>
      <c r="L608" s="286"/>
      <c r="M608" s="285"/>
      <c r="N608" s="292"/>
      <c r="O608" s="292"/>
      <c r="P608" s="292"/>
      <c r="Q608" s="292"/>
      <c r="R608" s="292"/>
      <c r="S608" s="292"/>
      <c r="T608" s="292"/>
      <c r="U608" s="292"/>
      <c r="V608" s="292"/>
      <c r="W608" s="292"/>
    </row>
    <row r="609" spans="1:23" s="295" customFormat="1" ht="15.75">
      <c r="A609" s="287"/>
      <c r="B609" s="294"/>
      <c r="E609" s="229"/>
      <c r="F609" s="213"/>
      <c r="G609" s="286"/>
      <c r="H609" s="286"/>
      <c r="I609" s="296"/>
      <c r="J609" s="286"/>
      <c r="K609" s="296"/>
      <c r="L609" s="286"/>
      <c r="M609" s="285"/>
      <c r="N609" s="292"/>
      <c r="O609" s="292"/>
      <c r="P609" s="292"/>
      <c r="Q609" s="292"/>
      <c r="R609" s="292"/>
      <c r="S609" s="292"/>
      <c r="T609" s="292"/>
      <c r="U609" s="292"/>
      <c r="V609" s="292"/>
      <c r="W609" s="292"/>
    </row>
    <row r="610" spans="1:23" s="295" customFormat="1" ht="15.75">
      <c r="A610" s="287"/>
      <c r="B610" s="294"/>
      <c r="E610" s="229"/>
      <c r="F610" s="213"/>
      <c r="G610" s="286"/>
      <c r="H610" s="286"/>
      <c r="I610" s="296"/>
      <c r="J610" s="286"/>
      <c r="K610" s="296"/>
      <c r="L610" s="286"/>
      <c r="M610" s="285"/>
      <c r="N610" s="292"/>
      <c r="O610" s="292"/>
      <c r="P610" s="292"/>
      <c r="Q610" s="292"/>
      <c r="R610" s="292"/>
      <c r="S610" s="292"/>
      <c r="T610" s="292"/>
      <c r="U610" s="292"/>
      <c r="V610" s="292"/>
      <c r="W610" s="292"/>
    </row>
    <row r="611" spans="1:23" s="295" customFormat="1" ht="15.75">
      <c r="A611" s="287"/>
      <c r="B611" s="294"/>
      <c r="E611" s="229"/>
      <c r="F611" s="213"/>
      <c r="G611" s="286"/>
      <c r="H611" s="286"/>
      <c r="I611" s="296"/>
      <c r="J611" s="286"/>
      <c r="K611" s="296"/>
      <c r="L611" s="286"/>
      <c r="M611" s="285"/>
      <c r="N611" s="292"/>
      <c r="O611" s="292"/>
      <c r="P611" s="292"/>
      <c r="Q611" s="292"/>
      <c r="R611" s="292"/>
      <c r="S611" s="292"/>
      <c r="T611" s="292"/>
      <c r="U611" s="292"/>
      <c r="V611" s="292"/>
      <c r="W611" s="292"/>
    </row>
    <row r="612" spans="1:23" s="295" customFormat="1" ht="15.75">
      <c r="A612" s="287"/>
      <c r="B612" s="294"/>
      <c r="E612" s="229"/>
      <c r="F612" s="213"/>
      <c r="G612" s="286"/>
      <c r="H612" s="286"/>
      <c r="I612" s="296"/>
      <c r="J612" s="286"/>
      <c r="K612" s="296"/>
      <c r="L612" s="286"/>
      <c r="M612" s="285"/>
      <c r="N612" s="292"/>
      <c r="O612" s="292"/>
      <c r="P612" s="292"/>
      <c r="Q612" s="292"/>
      <c r="R612" s="292"/>
      <c r="S612" s="292"/>
      <c r="T612" s="292"/>
      <c r="U612" s="292"/>
      <c r="V612" s="292"/>
      <c r="W612" s="292"/>
    </row>
    <row r="613" spans="1:23" s="295" customFormat="1" ht="15.75">
      <c r="A613" s="287"/>
      <c r="B613" s="294"/>
      <c r="E613" s="229"/>
      <c r="F613" s="213"/>
      <c r="G613" s="286"/>
      <c r="H613" s="286"/>
      <c r="I613" s="296"/>
      <c r="J613" s="286"/>
      <c r="K613" s="296"/>
      <c r="L613" s="286"/>
      <c r="M613" s="285"/>
      <c r="N613" s="292"/>
      <c r="O613" s="292"/>
      <c r="P613" s="292"/>
      <c r="Q613" s="292"/>
      <c r="R613" s="292"/>
      <c r="S613" s="292"/>
      <c r="T613" s="292"/>
      <c r="U613" s="292"/>
      <c r="V613" s="292"/>
      <c r="W613" s="292"/>
    </row>
    <row r="614" spans="1:23" s="295" customFormat="1" ht="15.75">
      <c r="A614" s="287"/>
      <c r="B614" s="294"/>
      <c r="E614" s="229"/>
      <c r="F614" s="213"/>
      <c r="G614" s="286"/>
      <c r="H614" s="286"/>
      <c r="I614" s="296"/>
      <c r="J614" s="286"/>
      <c r="K614" s="296"/>
      <c r="L614" s="286"/>
      <c r="M614" s="285"/>
      <c r="N614" s="292"/>
      <c r="O614" s="292"/>
      <c r="P614" s="292"/>
      <c r="Q614" s="292"/>
      <c r="R614" s="292"/>
      <c r="S614" s="292"/>
      <c r="T614" s="292"/>
      <c r="U614" s="292"/>
      <c r="V614" s="292"/>
      <c r="W614" s="292"/>
    </row>
    <row r="615" spans="1:23" s="295" customFormat="1" ht="15.75">
      <c r="A615" s="287"/>
      <c r="B615" s="294"/>
      <c r="E615" s="229"/>
      <c r="F615" s="213"/>
      <c r="G615" s="286"/>
      <c r="H615" s="286"/>
      <c r="I615" s="296"/>
      <c r="J615" s="286"/>
      <c r="K615" s="296"/>
      <c r="L615" s="286"/>
      <c r="M615" s="285"/>
      <c r="N615" s="292"/>
      <c r="O615" s="292"/>
      <c r="P615" s="292"/>
      <c r="Q615" s="292"/>
      <c r="R615" s="292"/>
      <c r="S615" s="292"/>
      <c r="T615" s="292"/>
      <c r="U615" s="292"/>
      <c r="V615" s="292"/>
      <c r="W615" s="292"/>
    </row>
    <row r="616" spans="1:23" s="295" customFormat="1" ht="15.75">
      <c r="A616" s="287"/>
      <c r="B616" s="294"/>
      <c r="E616" s="229"/>
      <c r="F616" s="213"/>
      <c r="G616" s="286"/>
      <c r="H616" s="286"/>
      <c r="I616" s="296"/>
      <c r="J616" s="286"/>
      <c r="K616" s="296"/>
      <c r="L616" s="286"/>
      <c r="M616" s="285"/>
      <c r="N616" s="292"/>
      <c r="O616" s="292"/>
      <c r="P616" s="292"/>
      <c r="Q616" s="292"/>
      <c r="R616" s="292"/>
      <c r="S616" s="292"/>
      <c r="T616" s="292"/>
      <c r="U616" s="292"/>
      <c r="V616" s="292"/>
      <c r="W616" s="292"/>
    </row>
    <row r="617" spans="1:23" s="295" customFormat="1" ht="15.75">
      <c r="A617" s="287"/>
      <c r="B617" s="294"/>
      <c r="E617" s="229"/>
      <c r="F617" s="213"/>
      <c r="G617" s="286"/>
      <c r="H617" s="286"/>
      <c r="I617" s="296"/>
      <c r="J617" s="286"/>
      <c r="K617" s="296"/>
      <c r="L617" s="286"/>
      <c r="M617" s="285"/>
      <c r="N617" s="292"/>
      <c r="O617" s="292"/>
      <c r="P617" s="292"/>
      <c r="Q617" s="292"/>
      <c r="R617" s="292"/>
      <c r="S617" s="292"/>
      <c r="T617" s="292"/>
      <c r="U617" s="292"/>
      <c r="V617" s="292"/>
      <c r="W617" s="292"/>
    </row>
    <row r="618" spans="1:23" s="295" customFormat="1" ht="15.75">
      <c r="A618" s="287"/>
      <c r="B618" s="294"/>
      <c r="E618" s="229"/>
      <c r="F618" s="213"/>
      <c r="G618" s="286"/>
      <c r="H618" s="286"/>
      <c r="I618" s="296"/>
      <c r="J618" s="286"/>
      <c r="K618" s="296"/>
      <c r="L618" s="286"/>
      <c r="M618" s="285"/>
      <c r="N618" s="292"/>
      <c r="O618" s="292"/>
      <c r="P618" s="292"/>
      <c r="Q618" s="292"/>
      <c r="R618" s="292"/>
      <c r="S618" s="292"/>
      <c r="T618" s="292"/>
      <c r="U618" s="292"/>
      <c r="V618" s="292"/>
      <c r="W618" s="292"/>
    </row>
    <row r="619" spans="1:23" s="295" customFormat="1" ht="15.75">
      <c r="A619" s="287"/>
      <c r="B619" s="294"/>
      <c r="E619" s="229"/>
      <c r="F619" s="213"/>
      <c r="G619" s="286"/>
      <c r="H619" s="286"/>
      <c r="I619" s="296"/>
      <c r="J619" s="286"/>
      <c r="K619" s="296"/>
      <c r="L619" s="286"/>
      <c r="M619" s="285"/>
      <c r="N619" s="292"/>
      <c r="O619" s="292"/>
      <c r="P619" s="292"/>
      <c r="Q619" s="292"/>
      <c r="R619" s="292"/>
      <c r="S619" s="292"/>
      <c r="T619" s="292"/>
      <c r="U619" s="292"/>
      <c r="V619" s="292"/>
      <c r="W619" s="292"/>
    </row>
    <row r="620" spans="1:23" s="295" customFormat="1" ht="15.75">
      <c r="A620" s="287"/>
      <c r="B620" s="294"/>
      <c r="E620" s="229"/>
      <c r="F620" s="213"/>
      <c r="G620" s="286"/>
      <c r="H620" s="286"/>
      <c r="I620" s="296"/>
      <c r="J620" s="286"/>
      <c r="K620" s="296"/>
      <c r="L620" s="286"/>
      <c r="M620" s="285"/>
      <c r="N620" s="292"/>
      <c r="O620" s="292"/>
      <c r="P620" s="292"/>
      <c r="Q620" s="292"/>
      <c r="R620" s="292"/>
      <c r="S620" s="292"/>
      <c r="T620" s="292"/>
      <c r="U620" s="292"/>
      <c r="V620" s="292"/>
      <c r="W620" s="292"/>
    </row>
    <row r="621" spans="1:23" s="295" customFormat="1" ht="15.75">
      <c r="A621" s="287"/>
      <c r="B621" s="294"/>
      <c r="E621" s="229"/>
      <c r="F621" s="213"/>
      <c r="G621" s="286"/>
      <c r="H621" s="286"/>
      <c r="I621" s="296"/>
      <c r="J621" s="286"/>
      <c r="K621" s="296"/>
      <c r="L621" s="286"/>
      <c r="M621" s="285"/>
      <c r="N621" s="292"/>
      <c r="O621" s="292"/>
      <c r="P621" s="292"/>
      <c r="Q621" s="292"/>
      <c r="R621" s="292"/>
      <c r="S621" s="292"/>
      <c r="T621" s="292"/>
      <c r="U621" s="292"/>
      <c r="V621" s="292"/>
      <c r="W621" s="292"/>
    </row>
    <row r="622" spans="1:23" s="295" customFormat="1" ht="15.75">
      <c r="A622" s="287"/>
      <c r="B622" s="294"/>
      <c r="E622" s="229"/>
      <c r="F622" s="213"/>
      <c r="G622" s="286"/>
      <c r="H622" s="286"/>
      <c r="I622" s="296"/>
      <c r="J622" s="286"/>
      <c r="K622" s="296"/>
      <c r="L622" s="286"/>
      <c r="M622" s="285"/>
      <c r="N622" s="292"/>
      <c r="O622" s="292"/>
      <c r="P622" s="292"/>
      <c r="Q622" s="292"/>
      <c r="R622" s="292"/>
      <c r="S622" s="292"/>
      <c r="T622" s="292"/>
      <c r="U622" s="292"/>
      <c r="V622" s="292"/>
      <c r="W622" s="292"/>
    </row>
    <row r="623" spans="1:23" s="295" customFormat="1" ht="15.75">
      <c r="A623" s="287"/>
      <c r="B623" s="294"/>
      <c r="E623" s="229"/>
      <c r="F623" s="213"/>
      <c r="G623" s="286"/>
      <c r="H623" s="286"/>
      <c r="I623" s="296"/>
      <c r="J623" s="286"/>
      <c r="K623" s="296"/>
      <c r="L623" s="286"/>
      <c r="M623" s="285"/>
      <c r="N623" s="292"/>
      <c r="O623" s="292"/>
      <c r="P623" s="292"/>
      <c r="Q623" s="292"/>
      <c r="R623" s="292"/>
      <c r="S623" s="292"/>
      <c r="T623" s="292"/>
      <c r="U623" s="292"/>
      <c r="V623" s="292"/>
      <c r="W623" s="292"/>
    </row>
    <row r="624" spans="1:23" s="295" customFormat="1" ht="15.75">
      <c r="A624" s="287"/>
      <c r="B624" s="294"/>
      <c r="E624" s="229"/>
      <c r="F624" s="213"/>
      <c r="G624" s="286"/>
      <c r="H624" s="286"/>
      <c r="I624" s="296"/>
      <c r="J624" s="286"/>
      <c r="K624" s="296"/>
      <c r="L624" s="286"/>
      <c r="M624" s="285"/>
      <c r="N624" s="292"/>
      <c r="O624" s="292"/>
      <c r="P624" s="292"/>
      <c r="Q624" s="292"/>
      <c r="R624" s="292"/>
      <c r="S624" s="292"/>
      <c r="T624" s="292"/>
      <c r="U624" s="292"/>
      <c r="V624" s="292"/>
      <c r="W624" s="292"/>
    </row>
    <row r="625" spans="1:23" s="295" customFormat="1" ht="15.75">
      <c r="A625" s="287"/>
      <c r="B625" s="294"/>
      <c r="E625" s="229"/>
      <c r="F625" s="213"/>
      <c r="G625" s="286"/>
      <c r="H625" s="286"/>
      <c r="I625" s="296"/>
      <c r="J625" s="286"/>
      <c r="K625" s="296"/>
      <c r="L625" s="286"/>
      <c r="M625" s="285"/>
      <c r="N625" s="292"/>
      <c r="O625" s="292"/>
      <c r="P625" s="292"/>
      <c r="Q625" s="292"/>
      <c r="R625" s="292"/>
      <c r="S625" s="292"/>
      <c r="T625" s="292"/>
      <c r="U625" s="292"/>
      <c r="V625" s="292"/>
      <c r="W625" s="292"/>
    </row>
    <row r="626" spans="1:23" s="295" customFormat="1" ht="15.75">
      <c r="A626" s="287"/>
      <c r="B626" s="294"/>
      <c r="E626" s="229"/>
      <c r="F626" s="213"/>
      <c r="G626" s="286"/>
      <c r="H626" s="286"/>
      <c r="I626" s="296"/>
      <c r="J626" s="286"/>
      <c r="K626" s="296"/>
      <c r="L626" s="286"/>
      <c r="M626" s="285"/>
      <c r="N626" s="292"/>
      <c r="O626" s="292"/>
      <c r="P626" s="292"/>
      <c r="Q626" s="292"/>
      <c r="R626" s="292"/>
      <c r="S626" s="292"/>
      <c r="T626" s="292"/>
      <c r="U626" s="292"/>
      <c r="V626" s="292"/>
      <c r="W626" s="292"/>
    </row>
    <row r="627" spans="1:23" s="295" customFormat="1" ht="15.75">
      <c r="A627" s="287"/>
      <c r="B627" s="294"/>
      <c r="E627" s="229"/>
      <c r="F627" s="213"/>
      <c r="G627" s="286"/>
      <c r="H627" s="286"/>
      <c r="I627" s="296"/>
      <c r="J627" s="286"/>
      <c r="K627" s="296"/>
      <c r="L627" s="286"/>
      <c r="M627" s="285"/>
      <c r="N627" s="292"/>
      <c r="O627" s="292"/>
      <c r="P627" s="292"/>
      <c r="Q627" s="292"/>
      <c r="R627" s="292"/>
      <c r="S627" s="292"/>
      <c r="T627" s="292"/>
      <c r="U627" s="292"/>
      <c r="V627" s="292"/>
      <c r="W627" s="292"/>
    </row>
    <row r="628" spans="1:23" s="295" customFormat="1" ht="15.75">
      <c r="A628" s="287"/>
      <c r="B628" s="294"/>
      <c r="E628" s="229"/>
      <c r="F628" s="213"/>
      <c r="G628" s="286"/>
      <c r="H628" s="286"/>
      <c r="I628" s="296"/>
      <c r="J628" s="286"/>
      <c r="K628" s="296"/>
      <c r="L628" s="286"/>
      <c r="M628" s="285"/>
      <c r="N628" s="292"/>
      <c r="O628" s="292"/>
      <c r="P628" s="292"/>
      <c r="Q628" s="292"/>
      <c r="R628" s="292"/>
      <c r="S628" s="292"/>
      <c r="T628" s="292"/>
      <c r="U628" s="292"/>
      <c r="V628" s="292"/>
      <c r="W628" s="292"/>
    </row>
    <row r="629" spans="1:23" s="295" customFormat="1" ht="15.75">
      <c r="A629" s="287"/>
      <c r="B629" s="294"/>
      <c r="E629" s="229"/>
      <c r="F629" s="213"/>
      <c r="G629" s="286"/>
      <c r="H629" s="286"/>
      <c r="I629" s="296"/>
      <c r="J629" s="286"/>
      <c r="K629" s="296"/>
      <c r="L629" s="286"/>
      <c r="M629" s="285"/>
      <c r="N629" s="292"/>
      <c r="O629" s="292"/>
      <c r="P629" s="292"/>
      <c r="Q629" s="292"/>
      <c r="R629" s="292"/>
      <c r="S629" s="292"/>
      <c r="T629" s="292"/>
      <c r="U629" s="292"/>
      <c r="V629" s="292"/>
      <c r="W629" s="292"/>
    </row>
    <row r="630" spans="1:23" s="295" customFormat="1" ht="15.75">
      <c r="A630" s="287"/>
      <c r="B630" s="294"/>
      <c r="E630" s="229"/>
      <c r="F630" s="213"/>
      <c r="G630" s="286"/>
      <c r="H630" s="286"/>
      <c r="I630" s="296"/>
      <c r="J630" s="286"/>
      <c r="K630" s="296"/>
      <c r="L630" s="286"/>
      <c r="M630" s="285"/>
      <c r="N630" s="292"/>
      <c r="O630" s="292"/>
      <c r="P630" s="292"/>
      <c r="Q630" s="292"/>
      <c r="R630" s="292"/>
      <c r="S630" s="292"/>
      <c r="T630" s="292"/>
      <c r="U630" s="292"/>
      <c r="V630" s="292"/>
      <c r="W630" s="292"/>
    </row>
    <row r="631" spans="1:23" s="295" customFormat="1" ht="15.75">
      <c r="A631" s="287"/>
      <c r="B631" s="294"/>
      <c r="E631" s="229"/>
      <c r="F631" s="213"/>
      <c r="G631" s="286"/>
      <c r="H631" s="286"/>
      <c r="I631" s="296"/>
      <c r="J631" s="286"/>
      <c r="K631" s="296"/>
      <c r="L631" s="286"/>
      <c r="M631" s="285"/>
      <c r="N631" s="292"/>
      <c r="O631" s="292"/>
      <c r="P631" s="292"/>
      <c r="Q631" s="292"/>
      <c r="R631" s="292"/>
      <c r="S631" s="292"/>
      <c r="T631" s="292"/>
      <c r="U631" s="292"/>
      <c r="V631" s="292"/>
      <c r="W631" s="292"/>
    </row>
    <row r="632" spans="1:23" s="295" customFormat="1" ht="15.75">
      <c r="A632" s="287"/>
      <c r="B632" s="294"/>
      <c r="E632" s="229"/>
      <c r="F632" s="213"/>
      <c r="G632" s="286"/>
      <c r="H632" s="286"/>
      <c r="I632" s="296"/>
      <c r="J632" s="286"/>
      <c r="K632" s="296"/>
      <c r="L632" s="286"/>
      <c r="M632" s="285"/>
      <c r="N632" s="292"/>
      <c r="O632" s="292"/>
      <c r="P632" s="292"/>
      <c r="Q632" s="292"/>
      <c r="R632" s="292"/>
      <c r="S632" s="292"/>
      <c r="T632" s="292"/>
      <c r="U632" s="292"/>
      <c r="V632" s="292"/>
      <c r="W632" s="292"/>
    </row>
    <row r="633" spans="1:23" s="295" customFormat="1" ht="15.75">
      <c r="A633" s="287"/>
      <c r="B633" s="294"/>
      <c r="E633" s="229"/>
      <c r="F633" s="213"/>
      <c r="G633" s="286"/>
      <c r="H633" s="286"/>
      <c r="I633" s="296"/>
      <c r="J633" s="286"/>
      <c r="K633" s="296"/>
      <c r="L633" s="286"/>
      <c r="M633" s="285"/>
      <c r="N633" s="292"/>
      <c r="O633" s="292"/>
      <c r="P633" s="292"/>
      <c r="Q633" s="292"/>
      <c r="R633" s="292"/>
      <c r="S633" s="292"/>
      <c r="T633" s="292"/>
      <c r="U633" s="292"/>
      <c r="V633" s="292"/>
      <c r="W633" s="292"/>
    </row>
    <row r="634" spans="1:23" s="295" customFormat="1" ht="15.75">
      <c r="A634" s="287"/>
      <c r="B634" s="294"/>
      <c r="E634" s="229"/>
      <c r="F634" s="213"/>
      <c r="G634" s="286"/>
      <c r="H634" s="286"/>
      <c r="I634" s="296"/>
      <c r="J634" s="286"/>
      <c r="K634" s="296"/>
      <c r="L634" s="286"/>
      <c r="M634" s="285"/>
      <c r="N634" s="292"/>
      <c r="O634" s="292"/>
      <c r="P634" s="292"/>
      <c r="Q634" s="292"/>
      <c r="R634" s="292"/>
      <c r="S634" s="292"/>
      <c r="T634" s="292"/>
      <c r="U634" s="292"/>
      <c r="V634" s="292"/>
      <c r="W634" s="292"/>
    </row>
    <row r="635" spans="1:23" s="295" customFormat="1" ht="15.75">
      <c r="A635" s="287"/>
      <c r="B635" s="294"/>
      <c r="E635" s="229"/>
      <c r="F635" s="213"/>
      <c r="G635" s="286"/>
      <c r="H635" s="286"/>
      <c r="I635" s="296"/>
      <c r="J635" s="286"/>
      <c r="K635" s="296"/>
      <c r="L635" s="286"/>
      <c r="M635" s="285"/>
      <c r="N635" s="292"/>
      <c r="O635" s="292"/>
      <c r="P635" s="292"/>
      <c r="Q635" s="292"/>
      <c r="R635" s="292"/>
      <c r="S635" s="292"/>
      <c r="T635" s="292"/>
      <c r="U635" s="292"/>
      <c r="V635" s="292"/>
      <c r="W635" s="292"/>
    </row>
    <row r="636" spans="1:23" s="295" customFormat="1" ht="15.75">
      <c r="A636" s="287"/>
      <c r="B636" s="294"/>
      <c r="E636" s="229"/>
      <c r="F636" s="213"/>
      <c r="G636" s="286"/>
      <c r="H636" s="286"/>
      <c r="I636" s="296"/>
      <c r="J636" s="286"/>
      <c r="K636" s="296"/>
      <c r="L636" s="286"/>
      <c r="M636" s="285"/>
      <c r="N636" s="292"/>
      <c r="O636" s="292"/>
      <c r="P636" s="292"/>
      <c r="Q636" s="292"/>
      <c r="R636" s="292"/>
      <c r="S636" s="292"/>
      <c r="T636" s="292"/>
      <c r="U636" s="292"/>
      <c r="V636" s="292"/>
      <c r="W636" s="292"/>
    </row>
    <row r="637" spans="1:23" s="295" customFormat="1" ht="15.75">
      <c r="A637" s="287"/>
      <c r="B637" s="294"/>
      <c r="E637" s="229"/>
      <c r="F637" s="213"/>
      <c r="G637" s="286"/>
      <c r="H637" s="286"/>
      <c r="I637" s="296"/>
      <c r="J637" s="286"/>
      <c r="K637" s="296"/>
      <c r="L637" s="286"/>
      <c r="M637" s="285"/>
      <c r="N637" s="292"/>
      <c r="O637" s="292"/>
      <c r="P637" s="292"/>
      <c r="Q637" s="292"/>
      <c r="R637" s="292"/>
      <c r="S637" s="292"/>
      <c r="T637" s="292"/>
      <c r="U637" s="292"/>
      <c r="V637" s="292"/>
      <c r="W637" s="292"/>
    </row>
    <row r="638" spans="1:23" s="295" customFormat="1" ht="15.75">
      <c r="A638" s="287"/>
      <c r="B638" s="294"/>
      <c r="E638" s="229"/>
      <c r="F638" s="213"/>
      <c r="G638" s="286"/>
      <c r="H638" s="286"/>
      <c r="I638" s="296"/>
      <c r="J638" s="286"/>
      <c r="K638" s="296"/>
      <c r="L638" s="286"/>
      <c r="M638" s="285"/>
      <c r="N638" s="292"/>
      <c r="O638" s="292"/>
      <c r="P638" s="292"/>
      <c r="Q638" s="292"/>
      <c r="R638" s="292"/>
      <c r="S638" s="292"/>
      <c r="T638" s="292"/>
      <c r="U638" s="292"/>
      <c r="V638" s="292"/>
      <c r="W638" s="292"/>
    </row>
    <row r="639" spans="1:23" s="295" customFormat="1" ht="15.75">
      <c r="A639" s="287"/>
      <c r="B639" s="294"/>
      <c r="E639" s="229"/>
      <c r="F639" s="213"/>
      <c r="G639" s="286"/>
      <c r="H639" s="286"/>
      <c r="I639" s="296"/>
      <c r="J639" s="286"/>
      <c r="K639" s="296"/>
      <c r="L639" s="286"/>
      <c r="M639" s="285"/>
      <c r="N639" s="292"/>
      <c r="O639" s="292"/>
      <c r="P639" s="292"/>
      <c r="Q639" s="292"/>
      <c r="R639" s="292"/>
      <c r="S639" s="292"/>
      <c r="T639" s="292"/>
      <c r="U639" s="292"/>
      <c r="V639" s="292"/>
      <c r="W639" s="292"/>
    </row>
    <row r="640" spans="1:23" s="295" customFormat="1" ht="15.75">
      <c r="A640" s="287"/>
      <c r="B640" s="294"/>
      <c r="E640" s="229"/>
      <c r="F640" s="213"/>
      <c r="G640" s="286"/>
      <c r="H640" s="286"/>
      <c r="I640" s="296"/>
      <c r="J640" s="286"/>
      <c r="K640" s="296"/>
      <c r="L640" s="286"/>
      <c r="M640" s="285"/>
      <c r="N640" s="292"/>
      <c r="O640" s="292"/>
      <c r="P640" s="292"/>
      <c r="Q640" s="292"/>
      <c r="R640" s="292"/>
      <c r="S640" s="292"/>
      <c r="T640" s="292"/>
      <c r="U640" s="292"/>
      <c r="V640" s="292"/>
      <c r="W640" s="292"/>
    </row>
    <row r="641" spans="1:23" s="295" customFormat="1" ht="15.75">
      <c r="A641" s="287"/>
      <c r="B641" s="294"/>
      <c r="E641" s="229"/>
      <c r="F641" s="213"/>
      <c r="G641" s="286"/>
      <c r="H641" s="286"/>
      <c r="I641" s="296"/>
      <c r="J641" s="286"/>
      <c r="K641" s="296"/>
      <c r="L641" s="286"/>
      <c r="M641" s="285"/>
      <c r="N641" s="292"/>
      <c r="O641" s="292"/>
      <c r="P641" s="292"/>
      <c r="Q641" s="292"/>
      <c r="R641" s="292"/>
      <c r="S641" s="292"/>
      <c r="T641" s="292"/>
      <c r="U641" s="292"/>
      <c r="V641" s="292"/>
      <c r="W641" s="292"/>
    </row>
    <row r="642" spans="1:23" s="295" customFormat="1" ht="15.75">
      <c r="A642" s="287"/>
      <c r="B642" s="294"/>
      <c r="E642" s="229"/>
      <c r="F642" s="213"/>
      <c r="G642" s="286"/>
      <c r="H642" s="286"/>
      <c r="I642" s="296"/>
      <c r="J642" s="286"/>
      <c r="K642" s="296"/>
      <c r="L642" s="286"/>
      <c r="M642" s="285"/>
      <c r="N642" s="292"/>
      <c r="O642" s="292"/>
      <c r="P642" s="292"/>
      <c r="Q642" s="292"/>
      <c r="R642" s="292"/>
      <c r="S642" s="292"/>
      <c r="T642" s="292"/>
      <c r="U642" s="292"/>
      <c r="V642" s="292"/>
      <c r="W642" s="292"/>
    </row>
    <row r="643" spans="1:23" s="295" customFormat="1" ht="15.75">
      <c r="A643" s="287"/>
      <c r="B643" s="294"/>
      <c r="E643" s="229"/>
      <c r="F643" s="213"/>
      <c r="G643" s="286"/>
      <c r="H643" s="286"/>
      <c r="I643" s="296"/>
      <c r="J643" s="286"/>
      <c r="K643" s="296"/>
      <c r="L643" s="286"/>
      <c r="M643" s="285"/>
      <c r="N643" s="292"/>
      <c r="O643" s="292"/>
      <c r="P643" s="292"/>
      <c r="Q643" s="292"/>
      <c r="R643" s="292"/>
      <c r="S643" s="292"/>
      <c r="T643" s="292"/>
      <c r="U643" s="292"/>
      <c r="V643" s="292"/>
      <c r="W643" s="292"/>
    </row>
    <row r="644" spans="1:23" s="295" customFormat="1" ht="15.75">
      <c r="A644" s="287"/>
      <c r="B644" s="294"/>
      <c r="E644" s="229"/>
      <c r="F644" s="213"/>
      <c r="G644" s="286"/>
      <c r="H644" s="286"/>
      <c r="I644" s="296"/>
      <c r="J644" s="286"/>
      <c r="K644" s="296"/>
      <c r="L644" s="286"/>
      <c r="M644" s="285"/>
      <c r="N644" s="292"/>
      <c r="O644" s="292"/>
      <c r="P644" s="292"/>
      <c r="Q644" s="292"/>
      <c r="R644" s="292"/>
      <c r="S644" s="292"/>
      <c r="T644" s="292"/>
      <c r="U644" s="292"/>
      <c r="V644" s="292"/>
      <c r="W644" s="292"/>
    </row>
    <row r="645" spans="1:23" s="295" customFormat="1" ht="15.75">
      <c r="A645" s="287"/>
      <c r="B645" s="294"/>
      <c r="E645" s="229"/>
      <c r="F645" s="213"/>
      <c r="G645" s="286"/>
      <c r="H645" s="286"/>
      <c r="I645" s="296"/>
      <c r="J645" s="286"/>
      <c r="K645" s="296"/>
      <c r="L645" s="286"/>
      <c r="M645" s="285"/>
      <c r="N645" s="292"/>
      <c r="O645" s="292"/>
      <c r="P645" s="292"/>
      <c r="Q645" s="292"/>
      <c r="R645" s="292"/>
      <c r="S645" s="292"/>
      <c r="T645" s="292"/>
      <c r="U645" s="292"/>
      <c r="V645" s="292"/>
      <c r="W645" s="292"/>
    </row>
    <row r="646" spans="1:23" s="295" customFormat="1" ht="15.75">
      <c r="A646" s="287"/>
      <c r="B646" s="294"/>
      <c r="E646" s="229"/>
      <c r="F646" s="213"/>
      <c r="G646" s="286"/>
      <c r="H646" s="286"/>
      <c r="I646" s="296"/>
      <c r="J646" s="286"/>
      <c r="K646" s="296"/>
      <c r="L646" s="286"/>
      <c r="M646" s="285"/>
      <c r="N646" s="292"/>
      <c r="O646" s="292"/>
      <c r="P646" s="292"/>
      <c r="Q646" s="292"/>
      <c r="R646" s="292"/>
      <c r="S646" s="292"/>
      <c r="T646" s="292"/>
      <c r="U646" s="292"/>
      <c r="V646" s="292"/>
      <c r="W646" s="292"/>
    </row>
    <row r="647" spans="1:23" s="295" customFormat="1" ht="15.75">
      <c r="A647" s="287"/>
      <c r="B647" s="294"/>
      <c r="E647" s="229"/>
      <c r="F647" s="213"/>
      <c r="G647" s="286"/>
      <c r="H647" s="286"/>
      <c r="I647" s="296"/>
      <c r="J647" s="286"/>
      <c r="K647" s="296"/>
      <c r="L647" s="286"/>
      <c r="M647" s="285"/>
      <c r="N647" s="292"/>
      <c r="O647" s="292"/>
      <c r="P647" s="292"/>
      <c r="Q647" s="292"/>
      <c r="R647" s="292"/>
      <c r="S647" s="292"/>
      <c r="T647" s="292"/>
      <c r="U647" s="292"/>
      <c r="V647" s="292"/>
      <c r="W647" s="292"/>
    </row>
    <row r="648" spans="1:23" s="295" customFormat="1" ht="15.75">
      <c r="A648" s="287"/>
      <c r="B648" s="294"/>
      <c r="E648" s="229"/>
      <c r="F648" s="213"/>
      <c r="G648" s="286"/>
      <c r="H648" s="286"/>
      <c r="I648" s="296"/>
      <c r="J648" s="286"/>
      <c r="K648" s="296"/>
      <c r="L648" s="286"/>
      <c r="M648" s="285"/>
      <c r="N648" s="292"/>
      <c r="O648" s="292"/>
      <c r="P648" s="292"/>
      <c r="Q648" s="292"/>
      <c r="R648" s="292"/>
      <c r="S648" s="292"/>
      <c r="T648" s="292"/>
      <c r="U648" s="292"/>
      <c r="V648" s="292"/>
      <c r="W648" s="292"/>
    </row>
    <row r="649" spans="1:23" s="295" customFormat="1" ht="15.75">
      <c r="A649" s="287"/>
      <c r="B649" s="294"/>
      <c r="E649" s="229"/>
      <c r="F649" s="213"/>
      <c r="G649" s="286"/>
      <c r="H649" s="286"/>
      <c r="I649" s="296"/>
      <c r="J649" s="286"/>
      <c r="K649" s="296"/>
      <c r="L649" s="286"/>
      <c r="M649" s="285"/>
      <c r="N649" s="292"/>
      <c r="O649" s="292"/>
      <c r="P649" s="292"/>
      <c r="Q649" s="292"/>
      <c r="R649" s="292"/>
      <c r="S649" s="292"/>
      <c r="T649" s="292"/>
      <c r="U649" s="292"/>
      <c r="V649" s="292"/>
      <c r="W649" s="292"/>
    </row>
    <row r="650" spans="1:23" s="295" customFormat="1" ht="15.75">
      <c r="A650" s="287"/>
      <c r="B650" s="294"/>
      <c r="E650" s="229"/>
      <c r="F650" s="213"/>
      <c r="G650" s="286"/>
      <c r="H650" s="286"/>
      <c r="I650" s="296"/>
      <c r="J650" s="286"/>
      <c r="K650" s="296"/>
      <c r="L650" s="286"/>
      <c r="M650" s="285"/>
      <c r="N650" s="292"/>
      <c r="O650" s="292"/>
      <c r="P650" s="292"/>
      <c r="Q650" s="292"/>
      <c r="R650" s="292"/>
      <c r="S650" s="292"/>
      <c r="T650" s="292"/>
      <c r="U650" s="292"/>
      <c r="V650" s="292"/>
      <c r="W650" s="292"/>
    </row>
    <row r="651" spans="1:23" s="295" customFormat="1" ht="15.75">
      <c r="A651" s="287"/>
      <c r="B651" s="294"/>
      <c r="E651" s="229"/>
      <c r="F651" s="213"/>
      <c r="G651" s="286"/>
      <c r="H651" s="286"/>
      <c r="I651" s="296"/>
      <c r="J651" s="286"/>
      <c r="K651" s="296"/>
      <c r="L651" s="286"/>
      <c r="M651" s="285"/>
      <c r="N651" s="292"/>
      <c r="O651" s="292"/>
      <c r="P651" s="292"/>
      <c r="Q651" s="292"/>
      <c r="R651" s="292"/>
      <c r="S651" s="292"/>
      <c r="T651" s="292"/>
      <c r="U651" s="292"/>
      <c r="V651" s="292"/>
      <c r="W651" s="292"/>
    </row>
    <row r="652" spans="1:23" s="295" customFormat="1" ht="15.75">
      <c r="A652" s="287"/>
      <c r="B652" s="294"/>
      <c r="E652" s="229"/>
      <c r="F652" s="213"/>
      <c r="G652" s="286"/>
      <c r="H652" s="286"/>
      <c r="I652" s="296"/>
      <c r="J652" s="286"/>
      <c r="K652" s="296"/>
      <c r="L652" s="286"/>
      <c r="M652" s="285"/>
      <c r="N652" s="292"/>
      <c r="O652" s="292"/>
      <c r="P652" s="292"/>
      <c r="Q652" s="292"/>
      <c r="R652" s="292"/>
      <c r="S652" s="292"/>
      <c r="T652" s="292"/>
      <c r="U652" s="292"/>
      <c r="V652" s="292"/>
      <c r="W652" s="292"/>
    </row>
    <row r="653" spans="1:23" s="295" customFormat="1" ht="15.75">
      <c r="A653" s="287"/>
      <c r="B653" s="294"/>
      <c r="E653" s="229"/>
      <c r="F653" s="213"/>
      <c r="G653" s="286"/>
      <c r="H653" s="286"/>
      <c r="I653" s="296"/>
      <c r="J653" s="286"/>
      <c r="K653" s="296"/>
      <c r="L653" s="286"/>
      <c r="M653" s="285"/>
      <c r="N653" s="292"/>
      <c r="O653" s="292"/>
      <c r="P653" s="292"/>
      <c r="Q653" s="292"/>
      <c r="R653" s="292"/>
      <c r="S653" s="292"/>
      <c r="T653" s="292"/>
      <c r="U653" s="292"/>
      <c r="V653" s="292"/>
      <c r="W653" s="292"/>
    </row>
    <row r="654" spans="1:23" s="295" customFormat="1" ht="15.75">
      <c r="A654" s="287"/>
      <c r="B654" s="294"/>
      <c r="E654" s="229"/>
      <c r="F654" s="213"/>
      <c r="G654" s="286"/>
      <c r="H654" s="286"/>
      <c r="I654" s="296"/>
      <c r="J654" s="286"/>
      <c r="K654" s="296"/>
      <c r="L654" s="286"/>
      <c r="M654" s="285"/>
      <c r="N654" s="292"/>
      <c r="O654" s="292"/>
      <c r="P654" s="292"/>
      <c r="Q654" s="292"/>
      <c r="R654" s="292"/>
      <c r="S654" s="292"/>
      <c r="T654" s="292"/>
      <c r="U654" s="292"/>
      <c r="V654" s="292"/>
      <c r="W654" s="292"/>
    </row>
    <row r="655" spans="1:23" s="295" customFormat="1" ht="15.75">
      <c r="A655" s="287"/>
      <c r="B655" s="294"/>
      <c r="E655" s="229"/>
      <c r="F655" s="213"/>
      <c r="G655" s="286"/>
      <c r="H655" s="286"/>
      <c r="I655" s="296"/>
      <c r="J655" s="286"/>
      <c r="K655" s="296"/>
      <c r="L655" s="286"/>
      <c r="M655" s="285"/>
      <c r="N655" s="292"/>
      <c r="O655" s="292"/>
      <c r="P655" s="292"/>
      <c r="Q655" s="292"/>
      <c r="R655" s="292"/>
      <c r="S655" s="292"/>
      <c r="T655" s="292"/>
      <c r="U655" s="292"/>
      <c r="V655" s="292"/>
      <c r="W655" s="292"/>
    </row>
    <row r="656" spans="1:23" s="295" customFormat="1" ht="15.75">
      <c r="A656" s="287"/>
      <c r="B656" s="294"/>
      <c r="E656" s="229"/>
      <c r="F656" s="213"/>
      <c r="G656" s="286"/>
      <c r="H656" s="286"/>
      <c r="I656" s="296"/>
      <c r="J656" s="286"/>
      <c r="K656" s="296"/>
      <c r="L656" s="286"/>
      <c r="M656" s="285"/>
      <c r="N656" s="292"/>
      <c r="O656" s="292"/>
      <c r="P656" s="292"/>
      <c r="Q656" s="292"/>
      <c r="R656" s="292"/>
      <c r="S656" s="292"/>
      <c r="T656" s="292"/>
      <c r="U656" s="292"/>
      <c r="V656" s="292"/>
      <c r="W656" s="292"/>
    </row>
    <row r="657" spans="1:23" s="295" customFormat="1" ht="15.75">
      <c r="A657" s="287"/>
      <c r="B657" s="294"/>
      <c r="E657" s="229"/>
      <c r="F657" s="213"/>
      <c r="G657" s="286"/>
      <c r="H657" s="286"/>
      <c r="I657" s="296"/>
      <c r="J657" s="286"/>
      <c r="K657" s="296"/>
      <c r="L657" s="286"/>
      <c r="M657" s="285"/>
      <c r="N657" s="292"/>
      <c r="O657" s="292"/>
      <c r="P657" s="292"/>
      <c r="Q657" s="292"/>
      <c r="R657" s="292"/>
      <c r="S657" s="292"/>
      <c r="T657" s="292"/>
      <c r="U657" s="292"/>
      <c r="V657" s="292"/>
      <c r="W657" s="292"/>
    </row>
    <row r="658" spans="1:23" s="295" customFormat="1" ht="15.75">
      <c r="A658" s="287"/>
      <c r="B658" s="294"/>
      <c r="E658" s="229"/>
      <c r="F658" s="213"/>
      <c r="G658" s="286"/>
      <c r="H658" s="286"/>
      <c r="I658" s="296"/>
      <c r="J658" s="286"/>
      <c r="K658" s="296"/>
      <c r="L658" s="286"/>
      <c r="M658" s="285"/>
      <c r="N658" s="292"/>
      <c r="O658" s="292"/>
      <c r="P658" s="292"/>
      <c r="Q658" s="292"/>
      <c r="R658" s="292"/>
      <c r="S658" s="292"/>
      <c r="T658" s="292"/>
      <c r="U658" s="292"/>
      <c r="V658" s="292"/>
      <c r="W658" s="292"/>
    </row>
    <row r="659" spans="1:23" s="295" customFormat="1" ht="15.75">
      <c r="A659" s="287"/>
      <c r="B659" s="294"/>
      <c r="E659" s="229"/>
      <c r="F659" s="213"/>
      <c r="G659" s="286"/>
      <c r="H659" s="286"/>
      <c r="I659" s="296"/>
      <c r="J659" s="286"/>
      <c r="K659" s="296"/>
      <c r="L659" s="286"/>
      <c r="M659" s="285"/>
      <c r="N659" s="292"/>
      <c r="O659" s="292"/>
      <c r="P659" s="292"/>
      <c r="Q659" s="292"/>
      <c r="R659" s="292"/>
      <c r="S659" s="292"/>
      <c r="T659" s="292"/>
      <c r="U659" s="292"/>
      <c r="V659" s="292"/>
      <c r="W659" s="292"/>
    </row>
    <row r="660" spans="1:23" s="295" customFormat="1" ht="15.75">
      <c r="A660" s="287"/>
      <c r="B660" s="294"/>
      <c r="E660" s="229"/>
      <c r="F660" s="213"/>
      <c r="G660" s="286"/>
      <c r="H660" s="286"/>
      <c r="I660" s="296"/>
      <c r="J660" s="286"/>
      <c r="K660" s="296"/>
      <c r="L660" s="286"/>
      <c r="M660" s="285"/>
      <c r="N660" s="292"/>
      <c r="O660" s="292"/>
      <c r="P660" s="292"/>
      <c r="Q660" s="292"/>
      <c r="R660" s="292"/>
      <c r="S660" s="292"/>
      <c r="T660" s="292"/>
      <c r="U660" s="292"/>
      <c r="V660" s="292"/>
      <c r="W660" s="292"/>
    </row>
    <row r="661" spans="1:23" s="295" customFormat="1" ht="15.75">
      <c r="A661" s="287"/>
      <c r="B661" s="294"/>
      <c r="E661" s="229"/>
      <c r="F661" s="213"/>
      <c r="G661" s="286"/>
      <c r="H661" s="286"/>
      <c r="I661" s="296"/>
      <c r="J661" s="286"/>
      <c r="K661" s="296"/>
      <c r="L661" s="286"/>
      <c r="M661" s="285"/>
      <c r="N661" s="292"/>
      <c r="O661" s="292"/>
      <c r="P661" s="292"/>
      <c r="Q661" s="292"/>
      <c r="R661" s="292"/>
      <c r="S661" s="292"/>
      <c r="T661" s="292"/>
      <c r="U661" s="292"/>
      <c r="V661" s="292"/>
      <c r="W661" s="292"/>
    </row>
    <row r="662" spans="1:23" s="295" customFormat="1" ht="15.75">
      <c r="A662" s="287"/>
      <c r="B662" s="294"/>
      <c r="E662" s="229"/>
      <c r="F662" s="213"/>
      <c r="G662" s="286"/>
      <c r="H662" s="286"/>
      <c r="I662" s="296"/>
      <c r="J662" s="286"/>
      <c r="K662" s="296"/>
      <c r="L662" s="286"/>
      <c r="M662" s="285"/>
      <c r="N662" s="292"/>
      <c r="O662" s="292"/>
      <c r="P662" s="292"/>
      <c r="Q662" s="292"/>
      <c r="R662" s="292"/>
      <c r="S662" s="292"/>
      <c r="T662" s="292"/>
      <c r="U662" s="292"/>
      <c r="V662" s="292"/>
      <c r="W662" s="292"/>
    </row>
    <row r="663" spans="1:23" s="295" customFormat="1" ht="15.75">
      <c r="A663" s="287"/>
      <c r="B663" s="294"/>
      <c r="E663" s="229"/>
      <c r="F663" s="213"/>
      <c r="G663" s="286"/>
      <c r="H663" s="286"/>
      <c r="I663" s="296"/>
      <c r="J663" s="286"/>
      <c r="K663" s="296"/>
      <c r="L663" s="286"/>
      <c r="M663" s="285"/>
      <c r="N663" s="292"/>
      <c r="O663" s="292"/>
      <c r="P663" s="292"/>
      <c r="Q663" s="292"/>
      <c r="R663" s="292"/>
      <c r="S663" s="292"/>
      <c r="T663" s="292"/>
      <c r="U663" s="292"/>
      <c r="V663" s="292"/>
      <c r="W663" s="292"/>
    </row>
    <row r="664" spans="1:23" s="295" customFormat="1" ht="15.75">
      <c r="A664" s="287"/>
      <c r="B664" s="294"/>
      <c r="E664" s="229"/>
      <c r="F664" s="213"/>
      <c r="G664" s="286"/>
      <c r="H664" s="286"/>
      <c r="I664" s="296"/>
      <c r="J664" s="286"/>
      <c r="K664" s="296"/>
      <c r="L664" s="286"/>
      <c r="M664" s="285"/>
      <c r="N664" s="292"/>
      <c r="O664" s="292"/>
      <c r="P664" s="292"/>
      <c r="Q664" s="292"/>
      <c r="R664" s="292"/>
      <c r="S664" s="292"/>
      <c r="T664" s="292"/>
      <c r="U664" s="292"/>
      <c r="V664" s="292"/>
      <c r="W664" s="292"/>
    </row>
    <row r="665" spans="1:23" s="295" customFormat="1" ht="15.75">
      <c r="A665" s="287"/>
      <c r="B665" s="294"/>
      <c r="E665" s="229"/>
      <c r="F665" s="213"/>
      <c r="G665" s="286"/>
      <c r="H665" s="286"/>
      <c r="I665" s="296"/>
      <c r="J665" s="286"/>
      <c r="K665" s="296"/>
      <c r="L665" s="286"/>
      <c r="M665" s="285"/>
      <c r="N665" s="292"/>
      <c r="O665" s="292"/>
      <c r="P665" s="292"/>
      <c r="Q665" s="292"/>
      <c r="R665" s="292"/>
      <c r="S665" s="292"/>
      <c r="T665" s="292"/>
      <c r="U665" s="292"/>
      <c r="V665" s="292"/>
      <c r="W665" s="292"/>
    </row>
    <row r="666" spans="1:23" s="295" customFormat="1" ht="15.75">
      <c r="A666" s="287"/>
      <c r="B666" s="294"/>
      <c r="E666" s="229"/>
      <c r="F666" s="213"/>
      <c r="G666" s="286"/>
      <c r="H666" s="286"/>
      <c r="I666" s="296"/>
      <c r="J666" s="286"/>
      <c r="K666" s="296"/>
      <c r="L666" s="286"/>
      <c r="M666" s="285"/>
      <c r="N666" s="292"/>
      <c r="O666" s="292"/>
      <c r="P666" s="292"/>
      <c r="Q666" s="292"/>
      <c r="R666" s="292"/>
      <c r="S666" s="292"/>
      <c r="T666" s="292"/>
      <c r="U666" s="292"/>
      <c r="V666" s="292"/>
      <c r="W666" s="292"/>
    </row>
    <row r="667" spans="1:23" s="295" customFormat="1" ht="15.75">
      <c r="A667" s="287"/>
      <c r="B667" s="294"/>
      <c r="E667" s="229"/>
      <c r="F667" s="213"/>
      <c r="G667" s="286"/>
      <c r="H667" s="286"/>
      <c r="I667" s="296"/>
      <c r="J667" s="286"/>
      <c r="K667" s="296"/>
      <c r="L667" s="286"/>
      <c r="M667" s="285"/>
      <c r="N667" s="292"/>
      <c r="O667" s="292"/>
      <c r="P667" s="292"/>
      <c r="Q667" s="292"/>
      <c r="R667" s="292"/>
      <c r="S667" s="292"/>
      <c r="T667" s="292"/>
      <c r="U667" s="292"/>
      <c r="V667" s="292"/>
      <c r="W667" s="292"/>
    </row>
    <row r="668" spans="1:23" s="295" customFormat="1" ht="15.75">
      <c r="A668" s="287"/>
      <c r="B668" s="294"/>
      <c r="E668" s="229"/>
      <c r="F668" s="213"/>
      <c r="G668" s="286"/>
      <c r="H668" s="286"/>
      <c r="I668" s="296"/>
      <c r="J668" s="286"/>
      <c r="K668" s="296"/>
      <c r="L668" s="286"/>
      <c r="M668" s="285"/>
      <c r="N668" s="292"/>
      <c r="O668" s="292"/>
      <c r="P668" s="292"/>
      <c r="Q668" s="292"/>
      <c r="R668" s="292"/>
      <c r="S668" s="292"/>
      <c r="T668" s="292"/>
      <c r="U668" s="292"/>
      <c r="V668" s="292"/>
      <c r="W668" s="292"/>
    </row>
    <row r="669" spans="1:23" s="295" customFormat="1" ht="15.75">
      <c r="A669" s="287"/>
      <c r="B669" s="294"/>
      <c r="E669" s="229"/>
      <c r="F669" s="213"/>
      <c r="G669" s="286"/>
      <c r="H669" s="286"/>
      <c r="I669" s="296"/>
      <c r="J669" s="286"/>
      <c r="K669" s="296"/>
      <c r="L669" s="286"/>
      <c r="M669" s="285"/>
      <c r="N669" s="292"/>
      <c r="O669" s="292"/>
      <c r="P669" s="292"/>
      <c r="Q669" s="292"/>
      <c r="R669" s="292"/>
      <c r="S669" s="292"/>
      <c r="T669" s="292"/>
      <c r="U669" s="292"/>
      <c r="V669" s="292"/>
      <c r="W669" s="292"/>
    </row>
    <row r="670" spans="1:23" s="295" customFormat="1" ht="15.75">
      <c r="A670" s="287"/>
      <c r="B670" s="294"/>
      <c r="E670" s="229"/>
      <c r="F670" s="213"/>
      <c r="G670" s="286"/>
      <c r="H670" s="286"/>
      <c r="I670" s="296"/>
      <c r="J670" s="286"/>
      <c r="K670" s="296"/>
      <c r="L670" s="286"/>
      <c r="M670" s="285"/>
      <c r="N670" s="292"/>
      <c r="O670" s="292"/>
      <c r="P670" s="292"/>
      <c r="Q670" s="292"/>
      <c r="R670" s="292"/>
      <c r="S670" s="292"/>
      <c r="T670" s="292"/>
      <c r="U670" s="292"/>
      <c r="V670" s="292"/>
      <c r="W670" s="292"/>
    </row>
    <row r="671" spans="1:23" s="295" customFormat="1" ht="15.75">
      <c r="A671" s="287"/>
      <c r="B671" s="294"/>
      <c r="E671" s="229"/>
      <c r="F671" s="213"/>
      <c r="G671" s="286"/>
      <c r="H671" s="286"/>
      <c r="I671" s="296"/>
      <c r="J671" s="286"/>
      <c r="K671" s="296"/>
      <c r="L671" s="286"/>
      <c r="M671" s="285"/>
      <c r="N671" s="292"/>
      <c r="O671" s="292"/>
      <c r="P671" s="292"/>
      <c r="Q671" s="292"/>
      <c r="R671" s="292"/>
      <c r="S671" s="292"/>
      <c r="T671" s="292"/>
      <c r="U671" s="292"/>
      <c r="V671" s="292"/>
      <c r="W671" s="292"/>
    </row>
    <row r="672" spans="1:23" s="295" customFormat="1" ht="15.75">
      <c r="A672" s="287"/>
      <c r="B672" s="294"/>
      <c r="E672" s="229"/>
      <c r="F672" s="213"/>
      <c r="G672" s="286"/>
      <c r="H672" s="286"/>
      <c r="I672" s="296"/>
      <c r="J672" s="286"/>
      <c r="K672" s="296"/>
      <c r="L672" s="286"/>
      <c r="M672" s="285"/>
      <c r="N672" s="292"/>
      <c r="O672" s="292"/>
      <c r="P672" s="292"/>
      <c r="Q672" s="292"/>
      <c r="R672" s="292"/>
      <c r="S672" s="292"/>
      <c r="T672" s="292"/>
      <c r="U672" s="292"/>
      <c r="V672" s="292"/>
      <c r="W672" s="292"/>
    </row>
    <row r="673" spans="1:23" s="295" customFormat="1" ht="15.75">
      <c r="A673" s="287"/>
      <c r="B673" s="294"/>
      <c r="E673" s="229"/>
      <c r="F673" s="213"/>
      <c r="G673" s="286"/>
      <c r="H673" s="286"/>
      <c r="I673" s="296"/>
      <c r="J673" s="286"/>
      <c r="K673" s="296"/>
      <c r="L673" s="286"/>
      <c r="M673" s="285"/>
      <c r="N673" s="292"/>
      <c r="O673" s="292"/>
      <c r="P673" s="292"/>
      <c r="Q673" s="292"/>
      <c r="R673" s="292"/>
      <c r="S673" s="292"/>
      <c r="T673" s="292"/>
      <c r="U673" s="292"/>
      <c r="V673" s="292"/>
      <c r="W673" s="292"/>
    </row>
    <row r="674" spans="1:23" s="295" customFormat="1" ht="15.75">
      <c r="A674" s="287"/>
      <c r="B674" s="294"/>
      <c r="E674" s="229"/>
      <c r="F674" s="213"/>
      <c r="G674" s="286"/>
      <c r="H674" s="286"/>
      <c r="I674" s="296"/>
      <c r="J674" s="286"/>
      <c r="K674" s="296"/>
      <c r="L674" s="286"/>
      <c r="M674" s="285"/>
      <c r="N674" s="292"/>
      <c r="O674" s="292"/>
      <c r="P674" s="292"/>
      <c r="Q674" s="292"/>
      <c r="R674" s="292"/>
      <c r="S674" s="292"/>
      <c r="T674" s="292"/>
      <c r="U674" s="292"/>
      <c r="V674" s="292"/>
      <c r="W674" s="292"/>
    </row>
    <row r="675" spans="1:23" s="295" customFormat="1" ht="15.75">
      <c r="A675" s="287"/>
      <c r="B675" s="294"/>
      <c r="E675" s="229"/>
      <c r="F675" s="213"/>
      <c r="G675" s="286"/>
      <c r="H675" s="286"/>
      <c r="I675" s="296"/>
      <c r="J675" s="286"/>
      <c r="K675" s="296"/>
      <c r="L675" s="286"/>
      <c r="M675" s="285"/>
      <c r="N675" s="292"/>
      <c r="O675" s="292"/>
      <c r="P675" s="292"/>
      <c r="Q675" s="292"/>
      <c r="R675" s="292"/>
      <c r="S675" s="292"/>
      <c r="T675" s="292"/>
      <c r="U675" s="292"/>
      <c r="V675" s="292"/>
      <c r="W675" s="292"/>
    </row>
    <row r="676" spans="1:23" s="295" customFormat="1" ht="15.75">
      <c r="A676" s="287"/>
      <c r="B676" s="294"/>
      <c r="E676" s="229"/>
      <c r="F676" s="213"/>
      <c r="G676" s="286"/>
      <c r="H676" s="286"/>
      <c r="I676" s="296"/>
      <c r="J676" s="286"/>
      <c r="K676" s="296"/>
      <c r="L676" s="286"/>
      <c r="M676" s="285"/>
      <c r="N676" s="292"/>
      <c r="O676" s="292"/>
      <c r="P676" s="292"/>
      <c r="Q676" s="292"/>
      <c r="R676" s="292"/>
      <c r="S676" s="292"/>
      <c r="T676" s="292"/>
      <c r="U676" s="292"/>
      <c r="V676" s="292"/>
      <c r="W676" s="292"/>
    </row>
    <row r="677" spans="1:23" s="295" customFormat="1" ht="15.75">
      <c r="A677" s="287"/>
      <c r="B677" s="294"/>
      <c r="E677" s="229"/>
      <c r="F677" s="213"/>
      <c r="G677" s="286"/>
      <c r="H677" s="286"/>
      <c r="I677" s="296"/>
      <c r="J677" s="286"/>
      <c r="K677" s="296"/>
      <c r="L677" s="286"/>
      <c r="M677" s="285"/>
      <c r="N677" s="292"/>
      <c r="O677" s="292"/>
      <c r="P677" s="292"/>
      <c r="Q677" s="292"/>
      <c r="R677" s="292"/>
      <c r="S677" s="292"/>
      <c r="T677" s="292"/>
      <c r="U677" s="292"/>
      <c r="V677" s="292"/>
      <c r="W677" s="292"/>
    </row>
    <row r="678" spans="1:23" s="295" customFormat="1" ht="15.75">
      <c r="A678" s="287"/>
      <c r="B678" s="294"/>
      <c r="E678" s="229"/>
      <c r="F678" s="213"/>
      <c r="G678" s="286"/>
      <c r="H678" s="286"/>
      <c r="I678" s="296"/>
      <c r="J678" s="286"/>
      <c r="K678" s="296"/>
      <c r="L678" s="286"/>
      <c r="M678" s="285"/>
      <c r="N678" s="292"/>
      <c r="O678" s="292"/>
      <c r="P678" s="292"/>
      <c r="Q678" s="292"/>
      <c r="R678" s="292"/>
      <c r="S678" s="292"/>
      <c r="T678" s="292"/>
      <c r="U678" s="292"/>
      <c r="V678" s="292"/>
      <c r="W678" s="292"/>
    </row>
    <row r="679" spans="1:23" s="295" customFormat="1" ht="15.75">
      <c r="A679" s="287"/>
      <c r="B679" s="294"/>
      <c r="E679" s="229"/>
      <c r="F679" s="213"/>
      <c r="G679" s="286"/>
      <c r="H679" s="286"/>
      <c r="I679" s="296"/>
      <c r="J679" s="286"/>
      <c r="K679" s="296"/>
      <c r="L679" s="286"/>
      <c r="M679" s="285"/>
      <c r="N679" s="292"/>
      <c r="O679" s="292"/>
      <c r="P679" s="292"/>
      <c r="Q679" s="292"/>
      <c r="R679" s="292"/>
      <c r="S679" s="292"/>
      <c r="T679" s="292"/>
      <c r="U679" s="292"/>
      <c r="V679" s="292"/>
      <c r="W679" s="292"/>
    </row>
    <row r="680" spans="1:23" s="295" customFormat="1" ht="15.75">
      <c r="A680" s="287"/>
      <c r="B680" s="294"/>
      <c r="E680" s="229"/>
      <c r="F680" s="213"/>
      <c r="G680" s="286"/>
      <c r="H680" s="286"/>
      <c r="I680" s="296"/>
      <c r="J680" s="286"/>
      <c r="K680" s="296"/>
      <c r="L680" s="286"/>
      <c r="M680" s="285"/>
      <c r="N680" s="292"/>
      <c r="O680" s="292"/>
      <c r="P680" s="292"/>
      <c r="Q680" s="292"/>
      <c r="R680" s="292"/>
      <c r="S680" s="292"/>
      <c r="T680" s="292"/>
      <c r="U680" s="292"/>
      <c r="V680" s="292"/>
      <c r="W680" s="292"/>
    </row>
    <row r="681" spans="1:23" s="295" customFormat="1" ht="15.75">
      <c r="A681" s="287"/>
      <c r="B681" s="294"/>
      <c r="E681" s="229"/>
      <c r="F681" s="213"/>
      <c r="G681" s="286"/>
      <c r="H681" s="286"/>
      <c r="I681" s="296"/>
      <c r="J681" s="286"/>
      <c r="K681" s="296"/>
      <c r="L681" s="286"/>
      <c r="M681" s="285"/>
      <c r="N681" s="292"/>
      <c r="O681" s="292"/>
      <c r="P681" s="292"/>
      <c r="Q681" s="292"/>
      <c r="R681" s="292"/>
      <c r="S681" s="292"/>
      <c r="T681" s="292"/>
      <c r="U681" s="292"/>
      <c r="V681" s="292"/>
      <c r="W681" s="292"/>
    </row>
    <row r="682" spans="1:23" s="295" customFormat="1" ht="15.75">
      <c r="A682" s="287"/>
      <c r="B682" s="294"/>
      <c r="E682" s="229"/>
      <c r="F682" s="213"/>
      <c r="G682" s="286"/>
      <c r="H682" s="286"/>
      <c r="I682" s="296"/>
      <c r="J682" s="286"/>
      <c r="K682" s="296"/>
      <c r="L682" s="286"/>
      <c r="M682" s="285"/>
      <c r="N682" s="292"/>
      <c r="O682" s="292"/>
      <c r="P682" s="292"/>
      <c r="Q682" s="292"/>
      <c r="R682" s="292"/>
      <c r="S682" s="292"/>
      <c r="T682" s="292"/>
      <c r="U682" s="292"/>
      <c r="V682" s="292"/>
      <c r="W682" s="292"/>
    </row>
    <row r="683" spans="1:23" s="295" customFormat="1" ht="15.75">
      <c r="A683" s="287"/>
      <c r="B683" s="294"/>
      <c r="E683" s="229"/>
      <c r="F683" s="213"/>
      <c r="G683" s="286"/>
      <c r="H683" s="286"/>
      <c r="I683" s="296"/>
      <c r="J683" s="286"/>
      <c r="K683" s="296"/>
      <c r="L683" s="286"/>
      <c r="M683" s="285"/>
      <c r="N683" s="292"/>
      <c r="O683" s="292"/>
      <c r="P683" s="292"/>
      <c r="Q683" s="292"/>
      <c r="R683" s="292"/>
      <c r="S683" s="292"/>
      <c r="T683" s="292"/>
      <c r="U683" s="292"/>
      <c r="V683" s="292"/>
      <c r="W683" s="292"/>
    </row>
    <row r="684" spans="1:23" s="295" customFormat="1" ht="15.75">
      <c r="A684" s="287"/>
      <c r="B684" s="294"/>
      <c r="E684" s="229"/>
      <c r="F684" s="213"/>
      <c r="G684" s="286"/>
      <c r="H684" s="286"/>
      <c r="I684" s="296"/>
      <c r="J684" s="286"/>
      <c r="K684" s="296"/>
      <c r="L684" s="286"/>
      <c r="M684" s="285"/>
      <c r="N684" s="292"/>
      <c r="O684" s="292"/>
      <c r="P684" s="292"/>
      <c r="Q684" s="292"/>
      <c r="R684" s="292"/>
      <c r="S684" s="292"/>
      <c r="T684" s="292"/>
      <c r="U684" s="292"/>
      <c r="V684" s="292"/>
      <c r="W684" s="292"/>
    </row>
    <row r="685" spans="1:23" s="295" customFormat="1" ht="15.75">
      <c r="A685" s="287"/>
      <c r="B685" s="294"/>
      <c r="E685" s="229"/>
      <c r="F685" s="213"/>
      <c r="G685" s="286"/>
      <c r="H685" s="286"/>
      <c r="I685" s="296"/>
      <c r="J685" s="286"/>
      <c r="K685" s="296"/>
      <c r="L685" s="286"/>
      <c r="M685" s="285"/>
      <c r="N685" s="292"/>
      <c r="O685" s="292"/>
      <c r="P685" s="292"/>
      <c r="Q685" s="292"/>
      <c r="R685" s="292"/>
      <c r="S685" s="292"/>
      <c r="T685" s="292"/>
      <c r="U685" s="292"/>
      <c r="V685" s="292"/>
      <c r="W685" s="292"/>
    </row>
    <row r="686" spans="1:23" s="295" customFormat="1" ht="15.75">
      <c r="A686" s="287"/>
      <c r="B686" s="294"/>
      <c r="E686" s="229"/>
      <c r="F686" s="213"/>
      <c r="G686" s="286"/>
      <c r="H686" s="286"/>
      <c r="I686" s="296"/>
      <c r="J686" s="286"/>
      <c r="K686" s="296"/>
      <c r="L686" s="286"/>
      <c r="M686" s="285"/>
      <c r="N686" s="292"/>
      <c r="O686" s="292"/>
      <c r="P686" s="292"/>
      <c r="Q686" s="292"/>
      <c r="R686" s="292"/>
      <c r="S686" s="292"/>
      <c r="T686" s="292"/>
      <c r="U686" s="292"/>
      <c r="V686" s="292"/>
      <c r="W686" s="292"/>
    </row>
    <row r="687" spans="1:23" s="295" customFormat="1" ht="15.75">
      <c r="A687" s="287"/>
      <c r="B687" s="294"/>
      <c r="E687" s="229"/>
      <c r="F687" s="213"/>
      <c r="G687" s="286"/>
      <c r="H687" s="286"/>
      <c r="I687" s="296"/>
      <c r="J687" s="286"/>
      <c r="K687" s="296"/>
      <c r="L687" s="286"/>
      <c r="M687" s="285"/>
      <c r="N687" s="292"/>
      <c r="O687" s="292"/>
      <c r="P687" s="292"/>
      <c r="Q687" s="292"/>
      <c r="R687" s="292"/>
      <c r="S687" s="292"/>
      <c r="T687" s="292"/>
      <c r="U687" s="292"/>
      <c r="V687" s="292"/>
      <c r="W687" s="292"/>
    </row>
    <row r="688" spans="1:23" s="295" customFormat="1" ht="15.75">
      <c r="A688" s="287"/>
      <c r="B688" s="294"/>
      <c r="E688" s="229"/>
      <c r="F688" s="213"/>
      <c r="G688" s="286"/>
      <c r="H688" s="286"/>
      <c r="I688" s="296"/>
      <c r="J688" s="286"/>
      <c r="K688" s="296"/>
      <c r="L688" s="286"/>
      <c r="M688" s="285"/>
      <c r="N688" s="292"/>
      <c r="O688" s="292"/>
      <c r="P688" s="292"/>
      <c r="Q688" s="292"/>
      <c r="R688" s="292"/>
      <c r="S688" s="292"/>
      <c r="T688" s="292"/>
      <c r="U688" s="292"/>
      <c r="V688" s="292"/>
      <c r="W688" s="292"/>
    </row>
    <row r="689" spans="1:23" s="295" customFormat="1" ht="15.75">
      <c r="A689" s="287"/>
      <c r="B689" s="294"/>
      <c r="E689" s="229"/>
      <c r="F689" s="213"/>
      <c r="G689" s="286"/>
      <c r="H689" s="286"/>
      <c r="I689" s="296"/>
      <c r="J689" s="286"/>
      <c r="K689" s="296"/>
      <c r="L689" s="286"/>
      <c r="M689" s="285"/>
      <c r="N689" s="292"/>
      <c r="O689" s="292"/>
      <c r="P689" s="292"/>
      <c r="Q689" s="292"/>
      <c r="R689" s="292"/>
      <c r="S689" s="292"/>
      <c r="T689" s="292"/>
      <c r="U689" s="292"/>
      <c r="V689" s="292"/>
      <c r="W689" s="292"/>
    </row>
    <row r="690" spans="1:23" s="295" customFormat="1" ht="15.75">
      <c r="A690" s="287"/>
      <c r="B690" s="294"/>
      <c r="E690" s="229"/>
      <c r="F690" s="213"/>
      <c r="G690" s="286"/>
      <c r="H690" s="286"/>
      <c r="I690" s="296"/>
      <c r="J690" s="286"/>
      <c r="K690" s="296"/>
      <c r="L690" s="286"/>
      <c r="M690" s="285"/>
      <c r="N690" s="292"/>
      <c r="O690" s="292"/>
      <c r="P690" s="292"/>
      <c r="Q690" s="292"/>
      <c r="R690" s="292"/>
      <c r="S690" s="292"/>
      <c r="T690" s="292"/>
      <c r="U690" s="292"/>
      <c r="V690" s="292"/>
      <c r="W690" s="292"/>
    </row>
    <row r="691" spans="1:23" s="295" customFormat="1" ht="15.75">
      <c r="A691" s="287"/>
      <c r="B691" s="294"/>
      <c r="E691" s="229"/>
      <c r="F691" s="213"/>
      <c r="G691" s="286"/>
      <c r="H691" s="286"/>
      <c r="I691" s="296"/>
      <c r="J691" s="286"/>
      <c r="K691" s="296"/>
      <c r="L691" s="286"/>
      <c r="M691" s="285"/>
      <c r="N691" s="292"/>
      <c r="O691" s="292"/>
      <c r="P691" s="292"/>
      <c r="Q691" s="292"/>
      <c r="R691" s="292"/>
      <c r="S691" s="292"/>
      <c r="T691" s="292"/>
      <c r="U691" s="292"/>
      <c r="V691" s="292"/>
      <c r="W691" s="292"/>
    </row>
    <row r="692" spans="1:23" s="295" customFormat="1" ht="15.75">
      <c r="A692" s="287"/>
      <c r="B692" s="294"/>
      <c r="E692" s="229"/>
      <c r="F692" s="213"/>
      <c r="G692" s="286"/>
      <c r="H692" s="286"/>
      <c r="I692" s="296"/>
      <c r="J692" s="286"/>
      <c r="K692" s="296"/>
      <c r="L692" s="286"/>
      <c r="M692" s="285"/>
      <c r="N692" s="292"/>
      <c r="O692" s="292"/>
      <c r="P692" s="292"/>
      <c r="Q692" s="292"/>
      <c r="R692" s="292"/>
      <c r="S692" s="292"/>
      <c r="T692" s="292"/>
      <c r="U692" s="292"/>
      <c r="V692" s="292"/>
      <c r="W692" s="292"/>
    </row>
    <row r="693" spans="1:23" s="295" customFormat="1" ht="15.75">
      <c r="A693" s="287"/>
      <c r="B693" s="294"/>
      <c r="E693" s="229"/>
      <c r="F693" s="213"/>
      <c r="G693" s="286"/>
      <c r="H693" s="286"/>
      <c r="I693" s="296"/>
      <c r="J693" s="286"/>
      <c r="K693" s="296"/>
      <c r="L693" s="286"/>
      <c r="M693" s="285"/>
      <c r="N693" s="292"/>
      <c r="O693" s="292"/>
      <c r="P693" s="292"/>
      <c r="Q693" s="292"/>
      <c r="R693" s="292"/>
      <c r="S693" s="292"/>
      <c r="T693" s="292"/>
      <c r="U693" s="292"/>
      <c r="V693" s="292"/>
      <c r="W693" s="292"/>
    </row>
    <row r="694" spans="1:23" s="295" customFormat="1" ht="15.75">
      <c r="A694" s="287"/>
      <c r="B694" s="294"/>
      <c r="E694" s="229"/>
      <c r="F694" s="213"/>
      <c r="G694" s="286"/>
      <c r="H694" s="286"/>
      <c r="I694" s="296"/>
      <c r="J694" s="286"/>
      <c r="K694" s="296"/>
      <c r="L694" s="286"/>
      <c r="M694" s="285"/>
      <c r="N694" s="292"/>
      <c r="O694" s="292"/>
      <c r="P694" s="292"/>
      <c r="Q694" s="292"/>
      <c r="R694" s="292"/>
      <c r="S694" s="292"/>
      <c r="T694" s="292"/>
      <c r="U694" s="292"/>
      <c r="V694" s="292"/>
      <c r="W694" s="292"/>
    </row>
    <row r="695" spans="1:23" s="295" customFormat="1" ht="15.75">
      <c r="A695" s="287"/>
      <c r="B695" s="294"/>
      <c r="E695" s="229"/>
      <c r="F695" s="213"/>
      <c r="G695" s="286"/>
      <c r="H695" s="286"/>
      <c r="I695" s="296"/>
      <c r="J695" s="286"/>
      <c r="K695" s="296"/>
      <c r="L695" s="286"/>
      <c r="M695" s="285"/>
      <c r="N695" s="292"/>
      <c r="O695" s="292"/>
      <c r="P695" s="292"/>
      <c r="Q695" s="292"/>
      <c r="R695" s="292"/>
      <c r="S695" s="292"/>
      <c r="T695" s="292"/>
      <c r="U695" s="292"/>
      <c r="V695" s="292"/>
      <c r="W695" s="292"/>
    </row>
    <row r="696" spans="1:23" s="295" customFormat="1" ht="15.75">
      <c r="A696" s="287"/>
      <c r="B696" s="294"/>
      <c r="E696" s="229"/>
      <c r="F696" s="213"/>
      <c r="G696" s="286"/>
      <c r="H696" s="286"/>
      <c r="I696" s="296"/>
      <c r="J696" s="286"/>
      <c r="K696" s="296"/>
      <c r="L696" s="286"/>
      <c r="M696" s="285"/>
      <c r="N696" s="292"/>
      <c r="O696" s="292"/>
      <c r="P696" s="292"/>
      <c r="Q696" s="292"/>
      <c r="R696" s="292"/>
      <c r="S696" s="292"/>
      <c r="T696" s="292"/>
      <c r="U696" s="292"/>
      <c r="V696" s="292"/>
      <c r="W696" s="292"/>
    </row>
    <row r="697" spans="1:23" s="295" customFormat="1" ht="15.75">
      <c r="A697" s="287"/>
      <c r="B697" s="294"/>
      <c r="E697" s="229"/>
      <c r="F697" s="213"/>
      <c r="G697" s="286"/>
      <c r="H697" s="286"/>
      <c r="I697" s="296"/>
      <c r="J697" s="286"/>
      <c r="K697" s="296"/>
      <c r="L697" s="286"/>
      <c r="M697" s="285"/>
      <c r="N697" s="292"/>
      <c r="O697" s="292"/>
      <c r="P697" s="292"/>
      <c r="Q697" s="292"/>
      <c r="R697" s="292"/>
      <c r="S697" s="292"/>
      <c r="T697" s="292"/>
      <c r="U697" s="292"/>
      <c r="V697" s="292"/>
      <c r="W697" s="292"/>
    </row>
    <row r="698" spans="1:23" s="295" customFormat="1" ht="15.75">
      <c r="A698" s="287"/>
      <c r="B698" s="294"/>
      <c r="E698" s="229"/>
      <c r="F698" s="213"/>
      <c r="G698" s="286"/>
      <c r="H698" s="286"/>
      <c r="I698" s="296"/>
      <c r="J698" s="286"/>
      <c r="K698" s="296"/>
      <c r="L698" s="286"/>
      <c r="M698" s="285"/>
      <c r="N698" s="292"/>
      <c r="O698" s="292"/>
      <c r="P698" s="292"/>
      <c r="Q698" s="292"/>
      <c r="R698" s="292"/>
      <c r="S698" s="292"/>
      <c r="T698" s="292"/>
      <c r="U698" s="292"/>
      <c r="V698" s="292"/>
      <c r="W698" s="292"/>
    </row>
    <row r="699" spans="1:23" s="295" customFormat="1" ht="15.75">
      <c r="A699" s="287"/>
      <c r="B699" s="294"/>
      <c r="E699" s="229"/>
      <c r="F699" s="213"/>
      <c r="G699" s="286"/>
      <c r="H699" s="286"/>
      <c r="I699" s="296"/>
      <c r="J699" s="286"/>
      <c r="K699" s="296"/>
      <c r="L699" s="286"/>
      <c r="M699" s="285"/>
      <c r="N699" s="292"/>
      <c r="O699" s="292"/>
      <c r="P699" s="292"/>
      <c r="Q699" s="292"/>
      <c r="R699" s="292"/>
      <c r="S699" s="292"/>
      <c r="T699" s="292"/>
      <c r="U699" s="292"/>
      <c r="V699" s="292"/>
      <c r="W699" s="292"/>
    </row>
    <row r="700" spans="1:23" s="295" customFormat="1" ht="15.75">
      <c r="A700" s="287"/>
      <c r="B700" s="294"/>
      <c r="E700" s="229"/>
      <c r="F700" s="213"/>
      <c r="G700" s="286"/>
      <c r="H700" s="286"/>
      <c r="I700" s="296"/>
      <c r="J700" s="286"/>
      <c r="K700" s="296"/>
      <c r="L700" s="286"/>
      <c r="M700" s="285"/>
      <c r="N700" s="292"/>
      <c r="O700" s="292"/>
      <c r="P700" s="292"/>
      <c r="Q700" s="292"/>
      <c r="R700" s="292"/>
      <c r="S700" s="292"/>
      <c r="T700" s="292"/>
      <c r="U700" s="292"/>
      <c r="V700" s="292"/>
      <c r="W700" s="292"/>
    </row>
    <row r="701" spans="1:23" s="295" customFormat="1" ht="15.75">
      <c r="A701" s="287"/>
      <c r="B701" s="294"/>
      <c r="E701" s="229"/>
      <c r="F701" s="213"/>
      <c r="G701" s="286"/>
      <c r="H701" s="286"/>
      <c r="I701" s="296"/>
      <c r="J701" s="286"/>
      <c r="K701" s="296"/>
      <c r="L701" s="286"/>
      <c r="M701" s="285"/>
      <c r="N701" s="292"/>
      <c r="O701" s="292"/>
      <c r="P701" s="292"/>
      <c r="Q701" s="292"/>
      <c r="R701" s="292"/>
      <c r="S701" s="292"/>
      <c r="T701" s="292"/>
      <c r="U701" s="292"/>
      <c r="V701" s="292"/>
      <c r="W701" s="292"/>
    </row>
    <row r="702" spans="1:23" s="295" customFormat="1" ht="15.75">
      <c r="A702" s="287"/>
      <c r="B702" s="294"/>
      <c r="E702" s="229"/>
      <c r="F702" s="213"/>
      <c r="G702" s="286"/>
      <c r="H702" s="286"/>
      <c r="I702" s="296"/>
      <c r="J702" s="286"/>
      <c r="K702" s="296"/>
      <c r="L702" s="286"/>
      <c r="M702" s="285"/>
      <c r="N702" s="292"/>
      <c r="O702" s="292"/>
      <c r="P702" s="292"/>
      <c r="Q702" s="292"/>
      <c r="R702" s="292"/>
      <c r="S702" s="292"/>
      <c r="T702" s="292"/>
      <c r="U702" s="292"/>
      <c r="V702" s="292"/>
      <c r="W702" s="292"/>
    </row>
    <row r="703" spans="1:23" s="295" customFormat="1" ht="15.75">
      <c r="A703" s="287"/>
      <c r="B703" s="294"/>
      <c r="E703" s="229"/>
      <c r="F703" s="213"/>
      <c r="G703" s="286"/>
      <c r="H703" s="286"/>
      <c r="I703" s="296"/>
      <c r="J703" s="286"/>
      <c r="K703" s="296"/>
      <c r="L703" s="286"/>
      <c r="M703" s="285"/>
      <c r="N703" s="292"/>
      <c r="O703" s="292"/>
      <c r="P703" s="292"/>
      <c r="Q703" s="292"/>
      <c r="R703" s="292"/>
      <c r="S703" s="292"/>
      <c r="T703" s="292"/>
      <c r="U703" s="292"/>
      <c r="V703" s="292"/>
      <c r="W703" s="292"/>
    </row>
    <row r="704" spans="1:23" s="295" customFormat="1" ht="15.75">
      <c r="A704" s="287"/>
      <c r="B704" s="294"/>
      <c r="E704" s="229"/>
      <c r="F704" s="213"/>
      <c r="G704" s="286"/>
      <c r="H704" s="286"/>
      <c r="I704" s="296"/>
      <c r="J704" s="286"/>
      <c r="K704" s="296"/>
      <c r="L704" s="286"/>
      <c r="M704" s="285"/>
      <c r="N704" s="292"/>
      <c r="O704" s="292"/>
      <c r="P704" s="292"/>
      <c r="Q704" s="292"/>
      <c r="R704" s="292"/>
      <c r="S704" s="292"/>
      <c r="T704" s="292"/>
      <c r="U704" s="292"/>
      <c r="V704" s="292"/>
      <c r="W704" s="292"/>
    </row>
    <row r="705" spans="1:23" s="295" customFormat="1" ht="15.75">
      <c r="A705" s="287"/>
      <c r="B705" s="294"/>
      <c r="E705" s="229"/>
      <c r="F705" s="213"/>
      <c r="G705" s="286"/>
      <c r="H705" s="286"/>
      <c r="I705" s="296"/>
      <c r="J705" s="286"/>
      <c r="K705" s="296"/>
      <c r="L705" s="286"/>
      <c r="M705" s="285"/>
      <c r="N705" s="292"/>
      <c r="O705" s="292"/>
      <c r="P705" s="292"/>
      <c r="Q705" s="292"/>
      <c r="R705" s="292"/>
      <c r="S705" s="292"/>
      <c r="T705" s="292"/>
      <c r="U705" s="292"/>
      <c r="V705" s="292"/>
      <c r="W705" s="292"/>
    </row>
    <row r="706" spans="1:23" s="295" customFormat="1" ht="15.75">
      <c r="A706" s="287"/>
      <c r="B706" s="294"/>
      <c r="E706" s="229"/>
      <c r="F706" s="213"/>
      <c r="G706" s="286"/>
      <c r="H706" s="286"/>
      <c r="I706" s="296"/>
      <c r="J706" s="286"/>
      <c r="K706" s="296"/>
      <c r="L706" s="286"/>
      <c r="M706" s="285"/>
      <c r="N706" s="292"/>
      <c r="O706" s="292"/>
      <c r="P706" s="292"/>
      <c r="Q706" s="292"/>
      <c r="R706" s="292"/>
      <c r="S706" s="292"/>
      <c r="T706" s="292"/>
      <c r="U706" s="292"/>
      <c r="V706" s="292"/>
      <c r="W706" s="292"/>
    </row>
    <row r="707" spans="1:23" s="295" customFormat="1" ht="15.75">
      <c r="A707" s="287"/>
      <c r="B707" s="294"/>
      <c r="E707" s="229"/>
      <c r="F707" s="213"/>
      <c r="G707" s="286"/>
      <c r="H707" s="286"/>
      <c r="I707" s="296"/>
      <c r="J707" s="286"/>
      <c r="K707" s="296"/>
      <c r="L707" s="286"/>
      <c r="M707" s="285"/>
      <c r="N707" s="292"/>
      <c r="O707" s="292"/>
      <c r="P707" s="292"/>
      <c r="Q707" s="292"/>
      <c r="R707" s="292"/>
      <c r="S707" s="292"/>
      <c r="T707" s="292"/>
      <c r="U707" s="292"/>
      <c r="V707" s="292"/>
      <c r="W707" s="292"/>
    </row>
    <row r="708" spans="1:23" s="295" customFormat="1" ht="15.75">
      <c r="A708" s="287"/>
      <c r="B708" s="294"/>
      <c r="E708" s="229"/>
      <c r="F708" s="213"/>
      <c r="G708" s="286"/>
      <c r="H708" s="286"/>
      <c r="I708" s="296"/>
      <c r="J708" s="286"/>
      <c r="K708" s="296"/>
      <c r="L708" s="286"/>
      <c r="M708" s="285"/>
      <c r="N708" s="292"/>
      <c r="O708" s="292"/>
      <c r="P708" s="292"/>
      <c r="Q708" s="292"/>
      <c r="R708" s="292"/>
      <c r="S708" s="292"/>
      <c r="T708" s="292"/>
      <c r="U708" s="292"/>
      <c r="V708" s="292"/>
      <c r="W708" s="292"/>
    </row>
    <row r="709" spans="1:23" s="295" customFormat="1" ht="15.75">
      <c r="A709" s="287"/>
      <c r="B709" s="294"/>
      <c r="E709" s="229"/>
      <c r="F709" s="213"/>
      <c r="G709" s="286"/>
      <c r="H709" s="286"/>
      <c r="I709" s="296"/>
      <c r="J709" s="286"/>
      <c r="K709" s="296"/>
      <c r="L709" s="286"/>
      <c r="M709" s="285"/>
      <c r="N709" s="292"/>
      <c r="O709" s="292"/>
      <c r="P709" s="292"/>
      <c r="Q709" s="292"/>
      <c r="R709" s="292"/>
      <c r="S709" s="292"/>
      <c r="T709" s="292"/>
      <c r="U709" s="292"/>
      <c r="V709" s="292"/>
      <c r="W709" s="292"/>
    </row>
    <row r="710" spans="1:23" s="295" customFormat="1" ht="15.75">
      <c r="A710" s="287"/>
      <c r="B710" s="294"/>
      <c r="E710" s="229"/>
      <c r="F710" s="213"/>
      <c r="G710" s="286"/>
      <c r="H710" s="286"/>
      <c r="I710" s="296"/>
      <c r="J710" s="286"/>
      <c r="K710" s="296"/>
      <c r="L710" s="286"/>
      <c r="M710" s="285"/>
      <c r="N710" s="292"/>
      <c r="O710" s="292"/>
      <c r="P710" s="292"/>
      <c r="Q710" s="292"/>
      <c r="R710" s="292"/>
      <c r="S710" s="292"/>
      <c r="T710" s="292"/>
      <c r="U710" s="292"/>
      <c r="V710" s="292"/>
      <c r="W710" s="292"/>
    </row>
    <row r="711" spans="1:23" s="295" customFormat="1" ht="15.75">
      <c r="A711" s="287"/>
      <c r="B711" s="294"/>
      <c r="E711" s="229"/>
      <c r="F711" s="213"/>
      <c r="G711" s="286"/>
      <c r="H711" s="286"/>
      <c r="I711" s="296"/>
      <c r="J711" s="286"/>
      <c r="K711" s="296"/>
      <c r="L711" s="286"/>
      <c r="M711" s="285"/>
      <c r="N711" s="292"/>
      <c r="O711" s="292"/>
      <c r="P711" s="292"/>
      <c r="Q711" s="292"/>
      <c r="R711" s="292"/>
      <c r="S711" s="292"/>
      <c r="T711" s="292"/>
      <c r="U711" s="292"/>
      <c r="V711" s="292"/>
      <c r="W711" s="292"/>
    </row>
    <row r="712" spans="1:23" s="295" customFormat="1" ht="15.75">
      <c r="A712" s="287"/>
      <c r="B712" s="294"/>
      <c r="E712" s="229"/>
      <c r="F712" s="213"/>
      <c r="G712" s="286"/>
      <c r="H712" s="286"/>
      <c r="I712" s="296"/>
      <c r="J712" s="286"/>
      <c r="K712" s="296"/>
      <c r="L712" s="286"/>
      <c r="M712" s="285"/>
      <c r="N712" s="292"/>
      <c r="O712" s="292"/>
      <c r="P712" s="292"/>
      <c r="Q712" s="292"/>
      <c r="R712" s="292"/>
      <c r="S712" s="292"/>
      <c r="T712" s="292"/>
      <c r="U712" s="292"/>
      <c r="V712" s="292"/>
      <c r="W712" s="292"/>
    </row>
    <row r="713" spans="1:23" s="295" customFormat="1" ht="15.75">
      <c r="A713" s="287"/>
      <c r="B713" s="294"/>
      <c r="E713" s="229"/>
      <c r="F713" s="213"/>
      <c r="G713" s="286"/>
      <c r="H713" s="286"/>
      <c r="I713" s="296"/>
      <c r="J713" s="286"/>
      <c r="K713" s="296"/>
      <c r="L713" s="286"/>
      <c r="M713" s="285"/>
      <c r="N713" s="292"/>
      <c r="O713" s="292"/>
      <c r="P713" s="292"/>
      <c r="Q713" s="292"/>
      <c r="R713" s="292"/>
      <c r="S713" s="292"/>
      <c r="T713" s="292"/>
      <c r="U713" s="292"/>
      <c r="V713" s="292"/>
      <c r="W713" s="292"/>
    </row>
    <row r="714" spans="1:23" s="295" customFormat="1" ht="15.75">
      <c r="A714" s="287"/>
      <c r="B714" s="294"/>
      <c r="E714" s="229"/>
      <c r="F714" s="213"/>
      <c r="G714" s="286"/>
      <c r="H714" s="286"/>
      <c r="I714" s="296"/>
      <c r="J714" s="286"/>
      <c r="K714" s="296"/>
      <c r="L714" s="286"/>
      <c r="M714" s="285"/>
      <c r="N714" s="292"/>
      <c r="O714" s="292"/>
      <c r="P714" s="292"/>
      <c r="Q714" s="292"/>
      <c r="R714" s="292"/>
      <c r="S714" s="292"/>
      <c r="T714" s="292"/>
      <c r="U714" s="292"/>
      <c r="V714" s="292"/>
      <c r="W714" s="292"/>
    </row>
    <row r="715" spans="1:23" s="295" customFormat="1" ht="15.75">
      <c r="A715" s="287"/>
      <c r="B715" s="294"/>
      <c r="E715" s="229"/>
      <c r="F715" s="213"/>
      <c r="G715" s="286"/>
      <c r="H715" s="286"/>
      <c r="I715" s="296"/>
      <c r="J715" s="286"/>
      <c r="K715" s="296"/>
      <c r="L715" s="286"/>
      <c r="M715" s="285"/>
      <c r="N715" s="292"/>
      <c r="O715" s="292"/>
      <c r="P715" s="292"/>
      <c r="Q715" s="292"/>
      <c r="R715" s="292"/>
      <c r="S715" s="292"/>
      <c r="T715" s="292"/>
      <c r="U715" s="292"/>
      <c r="V715" s="292"/>
      <c r="W715" s="292"/>
    </row>
    <row r="716" spans="1:23" s="295" customFormat="1" ht="15.75">
      <c r="A716" s="287"/>
      <c r="B716" s="294"/>
      <c r="E716" s="229"/>
      <c r="F716" s="213"/>
      <c r="G716" s="286"/>
      <c r="H716" s="286"/>
      <c r="I716" s="296"/>
      <c r="J716" s="286"/>
      <c r="K716" s="296"/>
      <c r="L716" s="286"/>
      <c r="M716" s="285"/>
      <c r="N716" s="292"/>
      <c r="O716" s="292"/>
      <c r="P716" s="292"/>
      <c r="Q716" s="292"/>
      <c r="R716" s="292"/>
      <c r="S716" s="292"/>
      <c r="T716" s="292"/>
      <c r="U716" s="292"/>
      <c r="V716" s="292"/>
      <c r="W716" s="292"/>
    </row>
    <row r="717" spans="1:23" s="295" customFormat="1" ht="15.75">
      <c r="A717" s="287"/>
      <c r="B717" s="294"/>
      <c r="E717" s="229"/>
      <c r="F717" s="213"/>
      <c r="G717" s="286"/>
      <c r="H717" s="286"/>
      <c r="I717" s="296"/>
      <c r="J717" s="286"/>
      <c r="K717" s="296"/>
      <c r="L717" s="286"/>
      <c r="M717" s="285"/>
      <c r="N717" s="292"/>
      <c r="O717" s="292"/>
      <c r="P717" s="292"/>
      <c r="Q717" s="292"/>
      <c r="R717" s="292"/>
      <c r="S717" s="292"/>
      <c r="T717" s="292"/>
      <c r="U717" s="292"/>
      <c r="V717" s="292"/>
      <c r="W717" s="292"/>
    </row>
    <row r="718" spans="1:23" s="295" customFormat="1" ht="15.75">
      <c r="A718" s="287"/>
      <c r="B718" s="294"/>
      <c r="E718" s="229"/>
      <c r="F718" s="213"/>
      <c r="G718" s="286"/>
      <c r="H718" s="286"/>
      <c r="I718" s="296"/>
      <c r="J718" s="286"/>
      <c r="K718" s="296"/>
      <c r="L718" s="286"/>
      <c r="M718" s="285"/>
      <c r="N718" s="292"/>
      <c r="O718" s="292"/>
      <c r="P718" s="292"/>
      <c r="Q718" s="292"/>
      <c r="R718" s="292"/>
      <c r="S718" s="292"/>
      <c r="T718" s="292"/>
      <c r="U718" s="292"/>
      <c r="V718" s="292"/>
      <c r="W718" s="292"/>
    </row>
    <row r="719" spans="1:23" s="295" customFormat="1" ht="15.75">
      <c r="A719" s="287"/>
      <c r="B719" s="294"/>
      <c r="E719" s="229"/>
      <c r="F719" s="213"/>
      <c r="G719" s="286"/>
      <c r="H719" s="286"/>
      <c r="I719" s="296"/>
      <c r="J719" s="286"/>
      <c r="K719" s="296"/>
      <c r="L719" s="286"/>
      <c r="M719" s="285"/>
      <c r="N719" s="292"/>
      <c r="O719" s="292"/>
      <c r="P719" s="292"/>
      <c r="Q719" s="292"/>
      <c r="R719" s="292"/>
      <c r="S719" s="292"/>
      <c r="T719" s="292"/>
      <c r="U719" s="292"/>
      <c r="V719" s="292"/>
      <c r="W719" s="292"/>
    </row>
    <row r="720" spans="1:23" s="295" customFormat="1" ht="15.75">
      <c r="A720" s="287"/>
      <c r="B720" s="294"/>
      <c r="E720" s="229"/>
      <c r="F720" s="213"/>
      <c r="G720" s="286"/>
      <c r="H720" s="286"/>
      <c r="I720" s="296"/>
      <c r="J720" s="286"/>
      <c r="K720" s="296"/>
      <c r="L720" s="286"/>
      <c r="M720" s="285"/>
      <c r="N720" s="292"/>
      <c r="O720" s="292"/>
      <c r="P720" s="292"/>
      <c r="Q720" s="292"/>
      <c r="R720" s="292"/>
      <c r="S720" s="292"/>
      <c r="T720" s="292"/>
      <c r="U720" s="292"/>
      <c r="V720" s="292"/>
      <c r="W720" s="292"/>
    </row>
    <row r="721" spans="1:23" s="295" customFormat="1" ht="15.75">
      <c r="A721" s="287"/>
      <c r="B721" s="294"/>
      <c r="E721" s="229"/>
      <c r="F721" s="213"/>
      <c r="G721" s="286"/>
      <c r="H721" s="286"/>
      <c r="I721" s="296"/>
      <c r="J721" s="286"/>
      <c r="K721" s="296"/>
      <c r="L721" s="286"/>
      <c r="M721" s="285"/>
      <c r="N721" s="292"/>
      <c r="O721" s="292"/>
      <c r="P721" s="292"/>
      <c r="Q721" s="292"/>
      <c r="R721" s="292"/>
      <c r="S721" s="292"/>
      <c r="T721" s="292"/>
      <c r="U721" s="292"/>
      <c r="V721" s="292"/>
      <c r="W721" s="292"/>
    </row>
    <row r="722" spans="1:23" s="295" customFormat="1" ht="15.75">
      <c r="A722" s="287"/>
      <c r="B722" s="294"/>
      <c r="E722" s="229"/>
      <c r="F722" s="213"/>
      <c r="G722" s="286"/>
      <c r="H722" s="286"/>
      <c r="I722" s="296"/>
      <c r="J722" s="286"/>
      <c r="K722" s="296"/>
      <c r="L722" s="286"/>
      <c r="M722" s="285"/>
      <c r="N722" s="292"/>
      <c r="O722" s="292"/>
      <c r="P722" s="292"/>
      <c r="Q722" s="292"/>
      <c r="R722" s="292"/>
      <c r="S722" s="292"/>
      <c r="T722" s="292"/>
      <c r="U722" s="292"/>
      <c r="V722" s="292"/>
      <c r="W722" s="292"/>
    </row>
    <row r="723" spans="1:23" s="295" customFormat="1" ht="15.75">
      <c r="A723" s="287"/>
      <c r="B723" s="294"/>
      <c r="E723" s="229"/>
      <c r="F723" s="213"/>
      <c r="G723" s="286"/>
      <c r="H723" s="286"/>
      <c r="I723" s="296"/>
      <c r="J723" s="286"/>
      <c r="K723" s="296"/>
      <c r="L723" s="286"/>
      <c r="M723" s="285"/>
      <c r="N723" s="292"/>
      <c r="O723" s="292"/>
      <c r="P723" s="292"/>
      <c r="Q723" s="292"/>
      <c r="R723" s="292"/>
      <c r="S723" s="292"/>
      <c r="T723" s="292"/>
      <c r="U723" s="292"/>
      <c r="V723" s="292"/>
      <c r="W723" s="292"/>
    </row>
    <row r="724" spans="1:23" s="295" customFormat="1" ht="15.75">
      <c r="A724" s="287"/>
      <c r="B724" s="294"/>
      <c r="E724" s="229"/>
      <c r="F724" s="213"/>
      <c r="G724" s="286"/>
      <c r="H724" s="286"/>
      <c r="I724" s="296"/>
      <c r="J724" s="286"/>
      <c r="K724" s="296"/>
      <c r="L724" s="286"/>
      <c r="M724" s="285"/>
      <c r="N724" s="292"/>
      <c r="O724" s="292"/>
      <c r="P724" s="292"/>
      <c r="Q724" s="292"/>
      <c r="R724" s="292"/>
      <c r="S724" s="292"/>
      <c r="T724" s="292"/>
      <c r="U724" s="292"/>
      <c r="V724" s="292"/>
      <c r="W724" s="292"/>
    </row>
    <row r="725" spans="1:23" s="295" customFormat="1" ht="15.75">
      <c r="A725" s="287"/>
      <c r="B725" s="294"/>
      <c r="E725" s="229"/>
      <c r="F725" s="213"/>
      <c r="G725" s="286"/>
      <c r="H725" s="286"/>
      <c r="I725" s="296"/>
      <c r="J725" s="286"/>
      <c r="K725" s="296"/>
      <c r="L725" s="286"/>
      <c r="M725" s="285"/>
      <c r="N725" s="292"/>
      <c r="O725" s="292"/>
      <c r="P725" s="292"/>
      <c r="Q725" s="292"/>
      <c r="R725" s="292"/>
      <c r="S725" s="292"/>
      <c r="T725" s="292"/>
      <c r="U725" s="292"/>
      <c r="V725" s="292"/>
      <c r="W725" s="292"/>
    </row>
    <row r="726" spans="1:23" s="295" customFormat="1" ht="15.75">
      <c r="A726" s="287"/>
      <c r="B726" s="294"/>
      <c r="E726" s="229"/>
      <c r="F726" s="213"/>
      <c r="G726" s="286"/>
      <c r="H726" s="286"/>
      <c r="I726" s="296"/>
      <c r="J726" s="286"/>
      <c r="K726" s="296"/>
      <c r="L726" s="286"/>
      <c r="M726" s="285"/>
      <c r="N726" s="292"/>
      <c r="O726" s="292"/>
      <c r="P726" s="292"/>
      <c r="Q726" s="292"/>
      <c r="R726" s="292"/>
      <c r="S726" s="292"/>
      <c r="T726" s="292"/>
      <c r="U726" s="292"/>
      <c r="V726" s="292"/>
      <c r="W726" s="292"/>
    </row>
    <row r="727" spans="1:23" s="295" customFormat="1" ht="15.75">
      <c r="A727" s="287"/>
      <c r="B727" s="294"/>
      <c r="E727" s="229"/>
      <c r="F727" s="213"/>
      <c r="G727" s="286"/>
      <c r="H727" s="286"/>
      <c r="I727" s="296"/>
      <c r="J727" s="286"/>
      <c r="K727" s="296"/>
      <c r="L727" s="286"/>
      <c r="M727" s="285"/>
      <c r="N727" s="292"/>
      <c r="O727" s="292"/>
      <c r="P727" s="292"/>
      <c r="Q727" s="292"/>
      <c r="R727" s="292"/>
      <c r="S727" s="292"/>
      <c r="T727" s="292"/>
      <c r="U727" s="292"/>
      <c r="V727" s="292"/>
      <c r="W727" s="292"/>
    </row>
    <row r="728" spans="1:23" s="295" customFormat="1" ht="15.75">
      <c r="A728" s="287"/>
      <c r="B728" s="294"/>
      <c r="E728" s="229"/>
      <c r="F728" s="213"/>
      <c r="G728" s="286"/>
      <c r="H728" s="286"/>
      <c r="I728" s="296"/>
      <c r="J728" s="286"/>
      <c r="K728" s="296"/>
      <c r="L728" s="286"/>
      <c r="M728" s="285"/>
      <c r="N728" s="292"/>
      <c r="O728" s="292"/>
      <c r="P728" s="292"/>
      <c r="Q728" s="292"/>
      <c r="R728" s="292"/>
      <c r="S728" s="292"/>
      <c r="T728" s="292"/>
      <c r="U728" s="292"/>
      <c r="V728" s="292"/>
      <c r="W728" s="292"/>
    </row>
    <row r="729" spans="1:23" s="295" customFormat="1" ht="15.75">
      <c r="A729" s="287"/>
      <c r="B729" s="294"/>
      <c r="E729" s="229"/>
      <c r="F729" s="213"/>
      <c r="G729" s="286"/>
      <c r="H729" s="286"/>
      <c r="I729" s="296"/>
      <c r="J729" s="286"/>
      <c r="K729" s="296"/>
      <c r="L729" s="286"/>
      <c r="M729" s="285"/>
      <c r="N729" s="292"/>
      <c r="O729" s="292"/>
      <c r="P729" s="292"/>
      <c r="Q729" s="292"/>
      <c r="R729" s="292"/>
      <c r="S729" s="292"/>
      <c r="T729" s="292"/>
      <c r="U729" s="292"/>
      <c r="V729" s="292"/>
      <c r="W729" s="292"/>
    </row>
    <row r="730" spans="1:23" s="295" customFormat="1" ht="15.75">
      <c r="A730" s="287"/>
      <c r="B730" s="294"/>
      <c r="E730" s="229"/>
      <c r="F730" s="213"/>
      <c r="G730" s="286"/>
      <c r="H730" s="286"/>
      <c r="I730" s="296"/>
      <c r="J730" s="286"/>
      <c r="K730" s="296"/>
      <c r="L730" s="286"/>
      <c r="M730" s="285"/>
      <c r="N730" s="292"/>
      <c r="O730" s="292"/>
      <c r="P730" s="292"/>
      <c r="Q730" s="292"/>
      <c r="R730" s="292"/>
      <c r="S730" s="292"/>
      <c r="T730" s="292"/>
      <c r="U730" s="292"/>
      <c r="V730" s="292"/>
      <c r="W730" s="292"/>
    </row>
    <row r="731" spans="1:23" s="295" customFormat="1" ht="15.75">
      <c r="A731" s="287"/>
      <c r="B731" s="294"/>
      <c r="E731" s="229"/>
      <c r="F731" s="213"/>
      <c r="G731" s="286"/>
      <c r="H731" s="286"/>
      <c r="I731" s="296"/>
      <c r="J731" s="286"/>
      <c r="K731" s="296"/>
      <c r="L731" s="286"/>
      <c r="M731" s="285"/>
      <c r="N731" s="292"/>
      <c r="O731" s="292"/>
      <c r="P731" s="292"/>
      <c r="Q731" s="292"/>
      <c r="R731" s="292"/>
      <c r="S731" s="292"/>
      <c r="T731" s="292"/>
      <c r="U731" s="292"/>
      <c r="V731" s="292"/>
      <c r="W731" s="292"/>
    </row>
    <row r="732" spans="1:23" s="295" customFormat="1" ht="15.75">
      <c r="A732" s="287"/>
      <c r="B732" s="294"/>
      <c r="E732" s="229"/>
      <c r="F732" s="213"/>
      <c r="G732" s="286"/>
      <c r="H732" s="286"/>
      <c r="I732" s="296"/>
      <c r="J732" s="286"/>
      <c r="K732" s="296"/>
      <c r="L732" s="286"/>
      <c r="M732" s="285"/>
      <c r="N732" s="292"/>
      <c r="O732" s="292"/>
      <c r="P732" s="292"/>
      <c r="Q732" s="292"/>
      <c r="R732" s="292"/>
      <c r="S732" s="292"/>
      <c r="T732" s="292"/>
      <c r="U732" s="292"/>
      <c r="V732" s="292"/>
      <c r="W732" s="292"/>
    </row>
    <row r="733" spans="1:23" s="295" customFormat="1" ht="15.75">
      <c r="A733" s="287"/>
      <c r="B733" s="294"/>
      <c r="E733" s="229"/>
      <c r="F733" s="213"/>
      <c r="G733" s="286"/>
      <c r="H733" s="286"/>
      <c r="I733" s="296"/>
      <c r="J733" s="286"/>
      <c r="K733" s="296"/>
      <c r="L733" s="286"/>
      <c r="M733" s="285"/>
      <c r="N733" s="292"/>
      <c r="O733" s="292"/>
      <c r="P733" s="292"/>
      <c r="Q733" s="292"/>
      <c r="R733" s="292"/>
      <c r="S733" s="292"/>
      <c r="T733" s="292"/>
      <c r="U733" s="292"/>
      <c r="V733" s="292"/>
      <c r="W733" s="292"/>
    </row>
    <row r="734" spans="1:23" s="295" customFormat="1" ht="15.75">
      <c r="A734" s="287"/>
      <c r="B734" s="294"/>
      <c r="E734" s="229"/>
      <c r="F734" s="213"/>
      <c r="G734" s="286"/>
      <c r="H734" s="286"/>
      <c r="I734" s="296"/>
      <c r="J734" s="286"/>
      <c r="K734" s="296"/>
      <c r="L734" s="286"/>
      <c r="M734" s="285"/>
      <c r="N734" s="292"/>
      <c r="O734" s="292"/>
      <c r="P734" s="292"/>
      <c r="Q734" s="292"/>
      <c r="R734" s="292"/>
      <c r="S734" s="292"/>
      <c r="T734" s="292"/>
      <c r="U734" s="292"/>
      <c r="V734" s="292"/>
      <c r="W734" s="292"/>
    </row>
    <row r="735" spans="1:23" s="295" customFormat="1" ht="15.75">
      <c r="A735" s="287"/>
      <c r="B735" s="294"/>
      <c r="E735" s="229"/>
      <c r="F735" s="213"/>
      <c r="G735" s="286"/>
      <c r="H735" s="286"/>
      <c r="I735" s="296"/>
      <c r="J735" s="286"/>
      <c r="K735" s="296"/>
      <c r="L735" s="286"/>
      <c r="M735" s="285"/>
      <c r="N735" s="292"/>
      <c r="O735" s="292"/>
      <c r="P735" s="292"/>
      <c r="Q735" s="292"/>
      <c r="R735" s="292"/>
      <c r="S735" s="292"/>
      <c r="T735" s="292"/>
      <c r="U735" s="292"/>
      <c r="V735" s="292"/>
      <c r="W735" s="292"/>
    </row>
    <row r="736" spans="1:23" s="295" customFormat="1" ht="15.75">
      <c r="A736" s="287"/>
      <c r="B736" s="294"/>
      <c r="E736" s="229"/>
      <c r="F736" s="213"/>
      <c r="G736" s="286"/>
      <c r="H736" s="286"/>
      <c r="I736" s="296"/>
      <c r="J736" s="286"/>
      <c r="K736" s="296"/>
      <c r="L736" s="286"/>
      <c r="M736" s="285"/>
      <c r="N736" s="292"/>
      <c r="O736" s="292"/>
      <c r="P736" s="292"/>
      <c r="Q736" s="292"/>
      <c r="R736" s="292"/>
      <c r="S736" s="292"/>
      <c r="T736" s="292"/>
      <c r="U736" s="292"/>
      <c r="V736" s="292"/>
      <c r="W736" s="292"/>
    </row>
    <row r="737" spans="1:23" s="295" customFormat="1" ht="15.75">
      <c r="A737" s="287"/>
      <c r="B737" s="294"/>
      <c r="E737" s="229"/>
      <c r="F737" s="213"/>
      <c r="G737" s="286"/>
      <c r="H737" s="286"/>
      <c r="I737" s="296"/>
      <c r="J737" s="286"/>
      <c r="K737" s="296"/>
      <c r="L737" s="286"/>
      <c r="M737" s="285"/>
      <c r="N737" s="292"/>
      <c r="O737" s="292"/>
      <c r="P737" s="292"/>
      <c r="Q737" s="292"/>
      <c r="R737" s="292"/>
      <c r="S737" s="292"/>
      <c r="T737" s="292"/>
      <c r="U737" s="292"/>
      <c r="V737" s="292"/>
      <c r="W737" s="292"/>
    </row>
    <row r="738" spans="1:23" s="295" customFormat="1" ht="15.75">
      <c r="A738" s="287"/>
      <c r="B738" s="294"/>
      <c r="E738" s="229"/>
      <c r="F738" s="213"/>
      <c r="G738" s="286"/>
      <c r="H738" s="286"/>
      <c r="I738" s="296"/>
      <c r="J738" s="286"/>
      <c r="K738" s="296"/>
      <c r="L738" s="286"/>
      <c r="M738" s="285"/>
      <c r="N738" s="292"/>
      <c r="O738" s="292"/>
      <c r="P738" s="292"/>
      <c r="Q738" s="292"/>
      <c r="R738" s="292"/>
      <c r="S738" s="292"/>
      <c r="T738" s="292"/>
      <c r="U738" s="292"/>
      <c r="V738" s="292"/>
      <c r="W738" s="292"/>
    </row>
    <row r="739" spans="1:23" s="295" customFormat="1" ht="15.75">
      <c r="A739" s="287"/>
      <c r="B739" s="294"/>
      <c r="E739" s="229"/>
      <c r="F739" s="213"/>
      <c r="G739" s="286"/>
      <c r="H739" s="286"/>
      <c r="I739" s="296"/>
      <c r="J739" s="286"/>
      <c r="K739" s="296"/>
      <c r="L739" s="286"/>
      <c r="M739" s="285"/>
      <c r="N739" s="292"/>
      <c r="O739" s="292"/>
      <c r="P739" s="292"/>
      <c r="Q739" s="292"/>
      <c r="R739" s="292"/>
      <c r="S739" s="292"/>
      <c r="T739" s="292"/>
      <c r="U739" s="292"/>
      <c r="V739" s="292"/>
      <c r="W739" s="292"/>
    </row>
    <row r="740" spans="1:23" s="295" customFormat="1" ht="15.75">
      <c r="A740" s="287"/>
      <c r="B740" s="294"/>
      <c r="E740" s="229"/>
      <c r="F740" s="213"/>
      <c r="G740" s="286"/>
      <c r="H740" s="286"/>
      <c r="I740" s="296"/>
      <c r="J740" s="286"/>
      <c r="K740" s="296"/>
      <c r="L740" s="286"/>
      <c r="M740" s="285"/>
      <c r="N740" s="292"/>
      <c r="O740" s="292"/>
      <c r="P740" s="292"/>
      <c r="Q740" s="292"/>
      <c r="R740" s="292"/>
      <c r="S740" s="292"/>
      <c r="T740" s="292"/>
      <c r="U740" s="292"/>
      <c r="V740" s="292"/>
      <c r="W740" s="292"/>
    </row>
    <row r="741" spans="1:23" s="295" customFormat="1" ht="15.75">
      <c r="A741" s="287"/>
      <c r="B741" s="294"/>
      <c r="E741" s="229"/>
      <c r="F741" s="213"/>
      <c r="G741" s="286"/>
      <c r="H741" s="286"/>
      <c r="I741" s="296"/>
      <c r="J741" s="286"/>
      <c r="K741" s="296"/>
      <c r="L741" s="286"/>
      <c r="M741" s="285"/>
      <c r="N741" s="292"/>
      <c r="O741" s="292"/>
      <c r="P741" s="292"/>
      <c r="Q741" s="292"/>
      <c r="R741" s="292"/>
      <c r="S741" s="292"/>
      <c r="T741" s="292"/>
      <c r="U741" s="292"/>
      <c r="V741" s="292"/>
      <c r="W741" s="292"/>
    </row>
    <row r="742" spans="1:23" s="295" customFormat="1" ht="15.75">
      <c r="A742" s="287"/>
      <c r="B742" s="294"/>
      <c r="E742" s="229"/>
      <c r="F742" s="213"/>
      <c r="G742" s="286"/>
      <c r="H742" s="286"/>
      <c r="I742" s="296"/>
      <c r="J742" s="286"/>
      <c r="K742" s="296"/>
      <c r="L742" s="286"/>
      <c r="M742" s="285"/>
      <c r="N742" s="292"/>
      <c r="O742" s="292"/>
      <c r="P742" s="292"/>
      <c r="Q742" s="292"/>
      <c r="R742" s="292"/>
      <c r="S742" s="292"/>
      <c r="T742" s="292"/>
      <c r="U742" s="292"/>
      <c r="V742" s="292"/>
      <c r="W742" s="292"/>
    </row>
    <row r="743" spans="1:23" s="295" customFormat="1" ht="15.75">
      <c r="A743" s="287"/>
      <c r="B743" s="294"/>
      <c r="E743" s="229"/>
      <c r="F743" s="213"/>
      <c r="G743" s="286"/>
      <c r="H743" s="286"/>
      <c r="I743" s="296"/>
      <c r="J743" s="286"/>
      <c r="K743" s="296"/>
      <c r="L743" s="286"/>
      <c r="M743" s="285"/>
      <c r="N743" s="292"/>
      <c r="O743" s="292"/>
      <c r="P743" s="292"/>
      <c r="Q743" s="292"/>
      <c r="R743" s="292"/>
      <c r="S743" s="292"/>
      <c r="T743" s="292"/>
      <c r="U743" s="292"/>
      <c r="V743" s="292"/>
      <c r="W743" s="292"/>
    </row>
    <row r="744" spans="1:23" s="295" customFormat="1" ht="15.75">
      <c r="A744" s="287"/>
      <c r="B744" s="294"/>
      <c r="E744" s="229"/>
      <c r="F744" s="213"/>
      <c r="G744" s="286"/>
      <c r="H744" s="286"/>
      <c r="I744" s="296"/>
      <c r="J744" s="286"/>
      <c r="K744" s="296"/>
      <c r="L744" s="286"/>
      <c r="M744" s="285"/>
      <c r="N744" s="292"/>
      <c r="O744" s="292"/>
      <c r="P744" s="292"/>
      <c r="Q744" s="292"/>
      <c r="R744" s="292"/>
      <c r="S744" s="292"/>
      <c r="T744" s="292"/>
      <c r="U744" s="292"/>
      <c r="V744" s="292"/>
      <c r="W744" s="292"/>
    </row>
    <row r="745" spans="1:23" s="295" customFormat="1" ht="15.75">
      <c r="A745" s="287"/>
      <c r="B745" s="294"/>
      <c r="E745" s="229"/>
      <c r="F745" s="213"/>
      <c r="G745" s="286"/>
      <c r="H745" s="286"/>
      <c r="I745" s="296"/>
      <c r="J745" s="286"/>
      <c r="K745" s="296"/>
      <c r="L745" s="286"/>
      <c r="M745" s="285"/>
      <c r="N745" s="292"/>
      <c r="O745" s="292"/>
      <c r="P745" s="292"/>
      <c r="Q745" s="292"/>
      <c r="R745" s="292"/>
      <c r="S745" s="292"/>
      <c r="T745" s="292"/>
      <c r="U745" s="292"/>
      <c r="V745" s="292"/>
      <c r="W745" s="292"/>
    </row>
    <row r="746" spans="1:23" s="295" customFormat="1" ht="15.75">
      <c r="A746" s="287"/>
      <c r="B746" s="294"/>
      <c r="E746" s="229"/>
      <c r="F746" s="213"/>
      <c r="G746" s="286"/>
      <c r="H746" s="286"/>
      <c r="I746" s="296"/>
      <c r="J746" s="286"/>
      <c r="K746" s="296"/>
      <c r="L746" s="286"/>
      <c r="M746" s="285"/>
      <c r="N746" s="292"/>
      <c r="O746" s="292"/>
      <c r="P746" s="292"/>
      <c r="Q746" s="292"/>
      <c r="R746" s="292"/>
      <c r="S746" s="292"/>
      <c r="T746" s="292"/>
      <c r="U746" s="292"/>
      <c r="V746" s="292"/>
      <c r="W746" s="292"/>
    </row>
    <row r="747" spans="1:23" s="295" customFormat="1" ht="15.75">
      <c r="A747" s="287"/>
      <c r="B747" s="294"/>
      <c r="E747" s="229"/>
      <c r="F747" s="213"/>
      <c r="G747" s="286"/>
      <c r="H747" s="286"/>
      <c r="I747" s="296"/>
      <c r="J747" s="286"/>
      <c r="K747" s="296"/>
      <c r="L747" s="286"/>
      <c r="M747" s="285"/>
      <c r="N747" s="292"/>
      <c r="O747" s="292"/>
      <c r="P747" s="292"/>
      <c r="Q747" s="292"/>
      <c r="R747" s="292"/>
      <c r="S747" s="292"/>
      <c r="T747" s="292"/>
      <c r="U747" s="292"/>
      <c r="V747" s="292"/>
      <c r="W747" s="292"/>
    </row>
    <row r="748" spans="1:23" s="295" customFormat="1" ht="15.75">
      <c r="A748" s="287"/>
      <c r="B748" s="294"/>
      <c r="E748" s="229"/>
      <c r="F748" s="213"/>
      <c r="G748" s="286"/>
      <c r="H748" s="286"/>
      <c r="I748" s="296"/>
      <c r="J748" s="286"/>
      <c r="K748" s="296"/>
      <c r="L748" s="286"/>
      <c r="M748" s="285"/>
      <c r="N748" s="292"/>
      <c r="O748" s="292"/>
      <c r="P748" s="292"/>
      <c r="Q748" s="292"/>
      <c r="R748" s="292"/>
      <c r="S748" s="292"/>
      <c r="T748" s="292"/>
      <c r="U748" s="292"/>
      <c r="V748" s="292"/>
      <c r="W748" s="292"/>
    </row>
    <row r="749" spans="1:23" s="295" customFormat="1" ht="15.75">
      <c r="A749" s="287"/>
      <c r="B749" s="294"/>
      <c r="E749" s="229"/>
      <c r="F749" s="213"/>
      <c r="G749" s="286"/>
      <c r="H749" s="286"/>
      <c r="I749" s="296"/>
      <c r="J749" s="286"/>
      <c r="K749" s="296"/>
      <c r="L749" s="286"/>
      <c r="M749" s="285"/>
      <c r="N749" s="292"/>
      <c r="O749" s="292"/>
      <c r="P749" s="292"/>
      <c r="Q749" s="292"/>
      <c r="R749" s="292"/>
      <c r="S749" s="292"/>
      <c r="T749" s="292"/>
      <c r="U749" s="292"/>
      <c r="V749" s="292"/>
      <c r="W749" s="292"/>
    </row>
    <row r="750" spans="1:23" s="295" customFormat="1" ht="15.75">
      <c r="A750" s="287"/>
      <c r="B750" s="294"/>
      <c r="E750" s="229"/>
      <c r="F750" s="213"/>
      <c r="G750" s="286"/>
      <c r="H750" s="286"/>
      <c r="I750" s="296"/>
      <c r="J750" s="286"/>
      <c r="K750" s="296"/>
      <c r="L750" s="286"/>
      <c r="M750" s="285"/>
      <c r="N750" s="292"/>
      <c r="O750" s="292"/>
      <c r="P750" s="292"/>
      <c r="Q750" s="292"/>
      <c r="R750" s="292"/>
      <c r="S750" s="292"/>
      <c r="T750" s="292"/>
      <c r="U750" s="292"/>
      <c r="V750" s="292"/>
      <c r="W750" s="292"/>
    </row>
    <row r="751" spans="1:23" s="295" customFormat="1" ht="15.75">
      <c r="A751" s="287"/>
      <c r="B751" s="294"/>
      <c r="E751" s="229"/>
      <c r="F751" s="213"/>
      <c r="G751" s="286"/>
      <c r="H751" s="286"/>
      <c r="I751" s="296"/>
      <c r="J751" s="286"/>
      <c r="K751" s="296"/>
      <c r="L751" s="286"/>
      <c r="M751" s="285"/>
      <c r="N751" s="292"/>
      <c r="O751" s="292"/>
      <c r="P751" s="292"/>
      <c r="Q751" s="292"/>
      <c r="R751" s="292"/>
      <c r="S751" s="292"/>
      <c r="T751" s="292"/>
      <c r="U751" s="292"/>
      <c r="V751" s="292"/>
      <c r="W751" s="292"/>
    </row>
    <row r="752" spans="1:23" s="295" customFormat="1" ht="15.75">
      <c r="A752" s="287"/>
      <c r="B752" s="294"/>
      <c r="E752" s="229"/>
      <c r="F752" s="213"/>
      <c r="G752" s="286"/>
      <c r="H752" s="286"/>
      <c r="I752" s="296"/>
      <c r="J752" s="286"/>
      <c r="K752" s="296"/>
      <c r="L752" s="286"/>
      <c r="M752" s="285"/>
      <c r="N752" s="292"/>
      <c r="O752" s="292"/>
      <c r="P752" s="292"/>
      <c r="Q752" s="292"/>
      <c r="R752" s="292"/>
      <c r="S752" s="292"/>
      <c r="T752" s="292"/>
      <c r="U752" s="292"/>
      <c r="V752" s="292"/>
      <c r="W752" s="292"/>
    </row>
    <row r="753" spans="1:23" s="295" customFormat="1" ht="15.75">
      <c r="A753" s="287"/>
      <c r="B753" s="294"/>
      <c r="E753" s="229"/>
      <c r="F753" s="213"/>
      <c r="G753" s="286"/>
      <c r="H753" s="286"/>
      <c r="I753" s="296"/>
      <c r="J753" s="286"/>
      <c r="K753" s="296"/>
      <c r="L753" s="286"/>
      <c r="M753" s="285"/>
      <c r="N753" s="292"/>
      <c r="O753" s="292"/>
      <c r="P753" s="292"/>
      <c r="Q753" s="292"/>
      <c r="R753" s="292"/>
      <c r="S753" s="292"/>
      <c r="T753" s="292"/>
      <c r="U753" s="292"/>
      <c r="V753" s="292"/>
      <c r="W753" s="292"/>
    </row>
    <row r="754" spans="1:23" s="295" customFormat="1" ht="15.75">
      <c r="A754" s="287"/>
      <c r="B754" s="294"/>
      <c r="E754" s="229"/>
      <c r="F754" s="213"/>
      <c r="G754" s="286"/>
      <c r="H754" s="286"/>
      <c r="I754" s="296"/>
      <c r="J754" s="286"/>
      <c r="K754" s="296"/>
      <c r="L754" s="286"/>
      <c r="M754" s="285"/>
      <c r="N754" s="292"/>
      <c r="O754" s="292"/>
      <c r="P754" s="292"/>
      <c r="Q754" s="292"/>
      <c r="R754" s="292"/>
      <c r="S754" s="292"/>
      <c r="T754" s="292"/>
      <c r="U754" s="292"/>
      <c r="V754" s="292"/>
      <c r="W754" s="292"/>
    </row>
    <row r="755" spans="1:23" s="295" customFormat="1" ht="15.75">
      <c r="A755" s="287"/>
      <c r="B755" s="294"/>
      <c r="E755" s="229"/>
      <c r="F755" s="213"/>
      <c r="G755" s="286"/>
      <c r="H755" s="286"/>
      <c r="I755" s="296"/>
      <c r="J755" s="286"/>
      <c r="K755" s="296"/>
      <c r="L755" s="286"/>
      <c r="M755" s="285"/>
      <c r="N755" s="292"/>
      <c r="O755" s="292"/>
      <c r="P755" s="292"/>
      <c r="Q755" s="292"/>
      <c r="R755" s="292"/>
      <c r="S755" s="292"/>
      <c r="T755" s="292"/>
      <c r="U755" s="292"/>
      <c r="V755" s="292"/>
      <c r="W755" s="292"/>
    </row>
    <row r="756" spans="1:23" s="295" customFormat="1" ht="15.75">
      <c r="A756" s="287"/>
      <c r="B756" s="294"/>
      <c r="E756" s="229"/>
      <c r="F756" s="213"/>
      <c r="G756" s="286"/>
      <c r="H756" s="286"/>
      <c r="I756" s="296"/>
      <c r="J756" s="286"/>
      <c r="K756" s="296"/>
      <c r="L756" s="286"/>
      <c r="M756" s="285"/>
      <c r="N756" s="292"/>
      <c r="O756" s="292"/>
      <c r="P756" s="292"/>
      <c r="Q756" s="292"/>
      <c r="R756" s="292"/>
      <c r="S756" s="292"/>
      <c r="T756" s="292"/>
      <c r="U756" s="292"/>
      <c r="V756" s="292"/>
      <c r="W756" s="292"/>
    </row>
  </sheetData>
  <sheetProtection/>
  <autoFilter ref="A9:O157"/>
  <mergeCells count="14">
    <mergeCell ref="A1:M1"/>
    <mergeCell ref="A3:M3"/>
    <mergeCell ref="A5:M5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M7:M8"/>
    <mergeCell ref="G167:I167"/>
  </mergeCells>
  <printOptions horizontalCentered="1"/>
  <pageMargins left="0.1968503937007874" right="0.1968503937007874" top="0.5118110236220472" bottom="0.5118110236220472" header="0.2362204724409449" footer="0.1968503937007874"/>
  <pageSetup horizontalDpi="600" verticalDpi="600" orientation="landscape" paperSize="9" scale="88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V509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3.8515625" style="53" customWidth="1"/>
    <col min="2" max="2" width="9.7109375" style="53" customWidth="1"/>
    <col min="3" max="3" width="57.7109375" style="281" customWidth="1"/>
    <col min="4" max="4" width="8.421875" style="75" customWidth="1"/>
    <col min="5" max="5" width="7.7109375" style="75" customWidth="1"/>
    <col min="6" max="6" width="9.8515625" style="363" customWidth="1"/>
    <col min="7" max="7" width="9.421875" style="326" customWidth="1"/>
    <col min="8" max="8" width="11.421875" style="326" customWidth="1"/>
    <col min="9" max="9" width="8.8515625" style="326" customWidth="1"/>
    <col min="10" max="10" width="10.28125" style="326" customWidth="1"/>
    <col min="11" max="11" width="8.8515625" style="326" customWidth="1"/>
    <col min="12" max="12" width="11.28125" style="326" customWidth="1"/>
    <col min="13" max="13" width="14.8515625" style="327" customWidth="1"/>
    <col min="14" max="14" width="12.8515625" style="277" customWidth="1"/>
    <col min="15" max="16384" width="9.140625" style="277" customWidth="1"/>
  </cols>
  <sheetData>
    <row r="1" spans="1:13" s="273" customFormat="1" ht="42" customHeight="1">
      <c r="A1" s="812" t="str">
        <f>კრებსიტი!A1</f>
        <v>სსიპ წიაღის ეროვნული სააგენტოსთვის დავით აღმაშენებლის გამზირზე #150 მდებარე შენობის მე-8 სართულის (საერთო ფართი 889.32 კვ.მ.) სარემონტო-სამონტაჟო სამუშაოებისთვის საჭირო საპროექტო-სახარჯთაღრიცხვო დოკუმენტაციის შედგენა. 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</row>
    <row r="2" spans="1:5" s="111" customFormat="1" ht="9" customHeight="1">
      <c r="A2" s="228"/>
      <c r="B2" s="228"/>
      <c r="D2" s="228"/>
      <c r="E2" s="228"/>
    </row>
    <row r="3" spans="1:16" s="274" customFormat="1" ht="19.5" customHeight="1">
      <c r="A3" s="789" t="s">
        <v>122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49"/>
      <c r="O3" s="49"/>
      <c r="P3" s="49"/>
    </row>
    <row r="4" spans="1:16" s="274" customFormat="1" ht="9" customHeight="1">
      <c r="A4" s="12"/>
      <c r="B4" s="12"/>
      <c r="C4" s="733"/>
      <c r="D4" s="733"/>
      <c r="E4" s="12"/>
      <c r="F4" s="738"/>
      <c r="G4" s="738"/>
      <c r="H4" s="738"/>
      <c r="I4" s="738"/>
      <c r="J4" s="738"/>
      <c r="K4" s="738"/>
      <c r="L4" s="738"/>
      <c r="M4" s="738"/>
      <c r="N4" s="49"/>
      <c r="O4" s="49"/>
      <c r="P4" s="49"/>
    </row>
    <row r="5" spans="1:16" s="275" customFormat="1" ht="20.25" customHeight="1">
      <c r="A5" s="833" t="s">
        <v>48</v>
      </c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50"/>
      <c r="O5" s="50"/>
      <c r="P5" s="50"/>
    </row>
    <row r="6" spans="1:16" s="274" customFormat="1" ht="14.25" customHeight="1" thickBot="1">
      <c r="A6" s="13"/>
      <c r="B6" s="13"/>
      <c r="C6" s="13"/>
      <c r="D6" s="13"/>
      <c r="E6" s="13"/>
      <c r="F6" s="299"/>
      <c r="G6" s="299"/>
      <c r="H6" s="299"/>
      <c r="I6" s="299"/>
      <c r="J6" s="299"/>
      <c r="K6" s="738"/>
      <c r="L6" s="738"/>
      <c r="M6" s="319"/>
      <c r="N6" s="48"/>
      <c r="O6" s="12"/>
      <c r="P6" s="12"/>
    </row>
    <row r="7" spans="1:13" s="52" customFormat="1" ht="36" customHeight="1" thickBot="1" thickTop="1">
      <c r="A7" s="834" t="s">
        <v>4</v>
      </c>
      <c r="B7" s="831" t="s">
        <v>5</v>
      </c>
      <c r="C7" s="835" t="s">
        <v>2</v>
      </c>
      <c r="D7" s="836" t="s">
        <v>133</v>
      </c>
      <c r="E7" s="791" t="s">
        <v>35</v>
      </c>
      <c r="F7" s="830" t="s">
        <v>53</v>
      </c>
      <c r="G7" s="830" t="s">
        <v>93</v>
      </c>
      <c r="H7" s="830"/>
      <c r="I7" s="830" t="s">
        <v>95</v>
      </c>
      <c r="J7" s="830"/>
      <c r="K7" s="830" t="s">
        <v>96</v>
      </c>
      <c r="L7" s="830"/>
      <c r="M7" s="829" t="s">
        <v>32</v>
      </c>
    </row>
    <row r="8" spans="1:13" s="52" customFormat="1" ht="30" customHeight="1" thickBot="1" thickTop="1">
      <c r="A8" s="834"/>
      <c r="B8" s="831"/>
      <c r="C8" s="835"/>
      <c r="D8" s="836"/>
      <c r="E8" s="791"/>
      <c r="F8" s="830"/>
      <c r="G8" s="741" t="s">
        <v>62</v>
      </c>
      <c r="H8" s="741" t="s">
        <v>26</v>
      </c>
      <c r="I8" s="741" t="s">
        <v>62</v>
      </c>
      <c r="J8" s="741" t="s">
        <v>26</v>
      </c>
      <c r="K8" s="741" t="s">
        <v>62</v>
      </c>
      <c r="L8" s="741" t="s">
        <v>26</v>
      </c>
      <c r="M8" s="829"/>
    </row>
    <row r="9" spans="1:13" s="54" customFormat="1" ht="18" customHeight="1" thickBot="1" thickTop="1">
      <c r="A9" s="742">
        <v>1</v>
      </c>
      <c r="B9" s="742">
        <v>2</v>
      </c>
      <c r="C9" s="742">
        <v>3</v>
      </c>
      <c r="D9" s="742">
        <v>4</v>
      </c>
      <c r="E9" s="742">
        <v>5</v>
      </c>
      <c r="F9" s="743">
        <v>6</v>
      </c>
      <c r="G9" s="743">
        <v>7</v>
      </c>
      <c r="H9" s="743">
        <v>8</v>
      </c>
      <c r="I9" s="743">
        <v>9</v>
      </c>
      <c r="J9" s="743">
        <v>10</v>
      </c>
      <c r="K9" s="743">
        <v>11</v>
      </c>
      <c r="L9" s="743">
        <v>12</v>
      </c>
      <c r="M9" s="743">
        <v>13</v>
      </c>
    </row>
    <row r="10" spans="1:23" s="316" customFormat="1" ht="18" customHeight="1" thickTop="1">
      <c r="A10" s="641"/>
      <c r="B10" s="641"/>
      <c r="C10" s="642" t="s">
        <v>423</v>
      </c>
      <c r="D10" s="649"/>
      <c r="E10" s="649"/>
      <c r="F10" s="650"/>
      <c r="G10" s="650"/>
      <c r="H10" s="143"/>
      <c r="I10" s="320"/>
      <c r="J10" s="320"/>
      <c r="K10" s="320"/>
      <c r="L10" s="320"/>
      <c r="M10" s="320"/>
      <c r="N10" s="317"/>
      <c r="O10" s="317"/>
      <c r="P10" s="317"/>
      <c r="Q10" s="317"/>
      <c r="R10" s="317"/>
      <c r="S10" s="317"/>
      <c r="T10" s="317"/>
      <c r="U10" s="317"/>
      <c r="V10" s="317"/>
      <c r="W10" s="317"/>
    </row>
    <row r="11" spans="1:13" s="651" customFormat="1" ht="60" customHeight="1">
      <c r="A11" s="35">
        <v>1</v>
      </c>
      <c r="B11" s="59" t="s">
        <v>475</v>
      </c>
      <c r="C11" s="42" t="s">
        <v>483</v>
      </c>
      <c r="D11" s="479" t="s">
        <v>58</v>
      </c>
      <c r="E11" s="479"/>
      <c r="F11" s="400">
        <v>2</v>
      </c>
      <c r="G11" s="195"/>
      <c r="H11" s="142"/>
      <c r="I11" s="195"/>
      <c r="J11" s="143"/>
      <c r="K11" s="195"/>
      <c r="L11" s="143"/>
      <c r="M11" s="143"/>
    </row>
    <row r="12" spans="1:15" s="12" customFormat="1" ht="18" customHeight="1">
      <c r="A12" s="35"/>
      <c r="B12" s="59"/>
      <c r="C12" s="10" t="s">
        <v>13</v>
      </c>
      <c r="D12" s="6" t="s">
        <v>139</v>
      </c>
      <c r="E12" s="11">
        <f>38.1</f>
        <v>38.1</v>
      </c>
      <c r="F12" s="5">
        <f>E12*F11</f>
        <v>76.2</v>
      </c>
      <c r="G12" s="195"/>
      <c r="H12" s="142"/>
      <c r="I12" s="195"/>
      <c r="J12" s="143">
        <f>I12*F12</f>
        <v>0</v>
      </c>
      <c r="K12" s="195"/>
      <c r="L12" s="143"/>
      <c r="M12" s="143">
        <f>H12+J12+L12</f>
        <v>0</v>
      </c>
      <c r="O12" s="57"/>
    </row>
    <row r="13" spans="1:15" s="12" customFormat="1" ht="18" customHeight="1">
      <c r="A13" s="35"/>
      <c r="B13" s="59"/>
      <c r="C13" s="10" t="s">
        <v>70</v>
      </c>
      <c r="D13" s="6" t="s">
        <v>6</v>
      </c>
      <c r="E13" s="11">
        <v>4.84</v>
      </c>
      <c r="F13" s="2">
        <f>E13*F11</f>
        <v>9.68</v>
      </c>
      <c r="G13" s="195"/>
      <c r="H13" s="142"/>
      <c r="I13" s="195"/>
      <c r="J13" s="143"/>
      <c r="K13" s="195"/>
      <c r="L13" s="143">
        <f>K13*F13</f>
        <v>0</v>
      </c>
      <c r="M13" s="143">
        <f>H13+J13+L13</f>
        <v>0</v>
      </c>
      <c r="N13" s="48"/>
      <c r="O13" s="57"/>
    </row>
    <row r="14" spans="1:13" s="651" customFormat="1" ht="51" customHeight="1">
      <c r="A14" s="480"/>
      <c r="B14" s="59"/>
      <c r="C14" s="79" t="s">
        <v>484</v>
      </c>
      <c r="D14" s="479" t="s">
        <v>58</v>
      </c>
      <c r="E14" s="481">
        <v>1</v>
      </c>
      <c r="F14" s="487">
        <f>E14*F11</f>
        <v>2</v>
      </c>
      <c r="G14" s="195"/>
      <c r="H14" s="142">
        <f>F14*G14</f>
        <v>0</v>
      </c>
      <c r="I14" s="195"/>
      <c r="J14" s="143"/>
      <c r="K14" s="195"/>
      <c r="L14" s="143"/>
      <c r="M14" s="143">
        <f>L14+J14+H14</f>
        <v>0</v>
      </c>
    </row>
    <row r="15" spans="1:13" s="738" customFormat="1" ht="18" customHeight="1">
      <c r="A15" s="35"/>
      <c r="B15" s="59"/>
      <c r="C15" s="10" t="s">
        <v>69</v>
      </c>
      <c r="D15" s="6" t="s">
        <v>6</v>
      </c>
      <c r="E15" s="14">
        <v>3.96</v>
      </c>
      <c r="F15" s="2">
        <f>E15*F11</f>
        <v>7.92</v>
      </c>
      <c r="G15" s="195"/>
      <c r="H15" s="142">
        <f>G15*F15</f>
        <v>0</v>
      </c>
      <c r="I15" s="195"/>
      <c r="J15" s="143"/>
      <c r="K15" s="195"/>
      <c r="L15" s="143"/>
      <c r="M15" s="143">
        <f>H15+J15+L15</f>
        <v>0</v>
      </c>
    </row>
    <row r="16" spans="1:13" s="652" customFormat="1" ht="21" customHeight="1">
      <c r="A16" s="32">
        <f>A11+1</f>
        <v>2</v>
      </c>
      <c r="B16" s="59" t="s">
        <v>125</v>
      </c>
      <c r="C16" s="378" t="s">
        <v>424</v>
      </c>
      <c r="D16" s="312" t="s">
        <v>58</v>
      </c>
      <c r="E16" s="214"/>
      <c r="F16" s="400">
        <v>2</v>
      </c>
      <c r="G16" s="427"/>
      <c r="H16" s="427"/>
      <c r="I16" s="427"/>
      <c r="J16" s="427"/>
      <c r="K16" s="428"/>
      <c r="L16" s="429"/>
      <c r="M16" s="430"/>
    </row>
    <row r="17" spans="1:15" s="738" customFormat="1" ht="18" customHeight="1">
      <c r="A17" s="35"/>
      <c r="B17" s="59"/>
      <c r="C17" s="10" t="s">
        <v>13</v>
      </c>
      <c r="D17" s="6" t="s">
        <v>139</v>
      </c>
      <c r="E17" s="11">
        <v>3.8</v>
      </c>
      <c r="F17" s="487">
        <f>E17*F16</f>
        <v>7.6</v>
      </c>
      <c r="G17" s="195"/>
      <c r="H17" s="142"/>
      <c r="I17" s="195"/>
      <c r="J17" s="143">
        <f>I17*F17</f>
        <v>0</v>
      </c>
      <c r="K17" s="195"/>
      <c r="L17" s="143"/>
      <c r="M17" s="143">
        <f>H17+J17+L17</f>
        <v>0</v>
      </c>
      <c r="O17" s="60"/>
    </row>
    <row r="18" spans="1:15" s="738" customFormat="1" ht="18" customHeight="1">
      <c r="A18" s="35"/>
      <c r="B18" s="59"/>
      <c r="C18" s="10" t="s">
        <v>70</v>
      </c>
      <c r="D18" s="6" t="s">
        <v>6</v>
      </c>
      <c r="E18" s="11">
        <v>0.22</v>
      </c>
      <c r="F18" s="487">
        <f>E18*F16</f>
        <v>0.44</v>
      </c>
      <c r="G18" s="195"/>
      <c r="H18" s="142"/>
      <c r="I18" s="195"/>
      <c r="J18" s="143"/>
      <c r="K18" s="195"/>
      <c r="L18" s="143">
        <f>K18*F18</f>
        <v>0</v>
      </c>
      <c r="M18" s="143">
        <f>H18+J18+L18</f>
        <v>0</v>
      </c>
      <c r="O18" s="60"/>
    </row>
    <row r="19" spans="1:13" s="738" customFormat="1" ht="18" customHeight="1">
      <c r="A19" s="6"/>
      <c r="B19" s="379"/>
      <c r="C19" s="79" t="s">
        <v>424</v>
      </c>
      <c r="D19" s="32" t="s">
        <v>12</v>
      </c>
      <c r="E19" s="11">
        <v>1</v>
      </c>
      <c r="F19" s="487">
        <f>E19*F16</f>
        <v>2</v>
      </c>
      <c r="G19" s="195"/>
      <c r="H19" s="142">
        <f>G19*F19</f>
        <v>0</v>
      </c>
      <c r="I19" s="195"/>
      <c r="J19" s="143"/>
      <c r="K19" s="195"/>
      <c r="L19" s="143"/>
      <c r="M19" s="143">
        <f>L19+J19+H19</f>
        <v>0</v>
      </c>
    </row>
    <row r="20" spans="1:13" s="738" customFormat="1" ht="18" customHeight="1">
      <c r="A20" s="35"/>
      <c r="B20" s="59"/>
      <c r="C20" s="10" t="s">
        <v>69</v>
      </c>
      <c r="D20" s="6" t="s">
        <v>6</v>
      </c>
      <c r="E20" s="11">
        <v>0.22</v>
      </c>
      <c r="F20" s="487">
        <f>E20*F16</f>
        <v>0.44</v>
      </c>
      <c r="G20" s="195"/>
      <c r="H20" s="142">
        <f>G20*F20</f>
        <v>0</v>
      </c>
      <c r="I20" s="195"/>
      <c r="J20" s="143"/>
      <c r="K20" s="195"/>
      <c r="L20" s="143"/>
      <c r="M20" s="143">
        <f>H20+J20+L20</f>
        <v>0</v>
      </c>
    </row>
    <row r="21" spans="1:13" s="653" customFormat="1" ht="21" customHeight="1">
      <c r="A21" s="32">
        <f>A16+1</f>
        <v>3</v>
      </c>
      <c r="B21" s="59" t="s">
        <v>149</v>
      </c>
      <c r="C21" s="42" t="s">
        <v>266</v>
      </c>
      <c r="D21" s="16" t="s">
        <v>12</v>
      </c>
      <c r="E21" s="87"/>
      <c r="F21" s="400">
        <f>SUM(F24:F24)</f>
        <v>2</v>
      </c>
      <c r="G21" s="195"/>
      <c r="H21" s="142"/>
      <c r="I21" s="195"/>
      <c r="J21" s="143"/>
      <c r="K21" s="195"/>
      <c r="L21" s="143"/>
      <c r="M21" s="143"/>
    </row>
    <row r="22" spans="1:15" s="738" customFormat="1" ht="18" customHeight="1">
      <c r="A22" s="35"/>
      <c r="B22" s="59"/>
      <c r="C22" s="10" t="s">
        <v>13</v>
      </c>
      <c r="D22" s="6" t="s">
        <v>139</v>
      </c>
      <c r="E22" s="11">
        <v>13.3</v>
      </c>
      <c r="F22" s="2">
        <f>E22*F21</f>
        <v>26.6</v>
      </c>
      <c r="G22" s="195"/>
      <c r="H22" s="142"/>
      <c r="I22" s="195"/>
      <c r="J22" s="143">
        <f>I22*F22</f>
        <v>0</v>
      </c>
      <c r="K22" s="195"/>
      <c r="L22" s="143"/>
      <c r="M22" s="143">
        <f>H22+J22+L22</f>
        <v>0</v>
      </c>
      <c r="O22" s="60"/>
    </row>
    <row r="23" spans="1:15" s="738" customFormat="1" ht="18" customHeight="1">
      <c r="A23" s="35"/>
      <c r="B23" s="59"/>
      <c r="C23" s="10" t="s">
        <v>70</v>
      </c>
      <c r="D23" s="6" t="s">
        <v>6</v>
      </c>
      <c r="E23" s="11">
        <v>0.39</v>
      </c>
      <c r="F23" s="2">
        <f>E23*F21</f>
        <v>0.78</v>
      </c>
      <c r="G23" s="195"/>
      <c r="H23" s="142"/>
      <c r="I23" s="195"/>
      <c r="J23" s="143"/>
      <c r="K23" s="195"/>
      <c r="L23" s="143">
        <f>K23*F23</f>
        <v>0</v>
      </c>
      <c r="M23" s="143">
        <f>H23+J23+L23</f>
        <v>0</v>
      </c>
      <c r="O23" s="60"/>
    </row>
    <row r="24" spans="1:13" s="738" customFormat="1" ht="19.5" customHeight="1">
      <c r="A24" s="6"/>
      <c r="B24" s="32"/>
      <c r="C24" s="79" t="s">
        <v>485</v>
      </c>
      <c r="D24" s="32" t="s">
        <v>12</v>
      </c>
      <c r="E24" s="86"/>
      <c r="F24" s="1">
        <v>2</v>
      </c>
      <c r="G24" s="195"/>
      <c r="H24" s="142">
        <f>G24*F24</f>
        <v>0</v>
      </c>
      <c r="I24" s="195"/>
      <c r="J24" s="143"/>
      <c r="K24" s="195"/>
      <c r="L24" s="143"/>
      <c r="M24" s="143">
        <f>L24+J24+H24</f>
        <v>0</v>
      </c>
    </row>
    <row r="25" spans="1:15" s="738" customFormat="1" ht="18" customHeight="1">
      <c r="A25" s="32"/>
      <c r="B25" s="32"/>
      <c r="C25" s="79" t="s">
        <v>425</v>
      </c>
      <c r="D25" s="32" t="s">
        <v>12</v>
      </c>
      <c r="E25" s="86"/>
      <c r="F25" s="26">
        <v>3</v>
      </c>
      <c r="G25" s="195"/>
      <c r="H25" s="142">
        <f>G25*F25</f>
        <v>0</v>
      </c>
      <c r="I25" s="195"/>
      <c r="J25" s="143"/>
      <c r="K25" s="195"/>
      <c r="L25" s="143"/>
      <c r="M25" s="143">
        <f>L25+J25+H25</f>
        <v>0</v>
      </c>
      <c r="O25" s="60"/>
    </row>
    <row r="26" spans="1:13" s="738" customFormat="1" ht="18" customHeight="1">
      <c r="A26" s="35"/>
      <c r="B26" s="59"/>
      <c r="C26" s="10" t="s">
        <v>69</v>
      </c>
      <c r="D26" s="6" t="s">
        <v>6</v>
      </c>
      <c r="E26" s="14">
        <v>1.58</v>
      </c>
      <c r="F26" s="2">
        <f>E26*F21</f>
        <v>3.16</v>
      </c>
      <c r="G26" s="195"/>
      <c r="H26" s="142">
        <f>G26*F26</f>
        <v>0</v>
      </c>
      <c r="I26" s="195"/>
      <c r="J26" s="143"/>
      <c r="K26" s="195"/>
      <c r="L26" s="143"/>
      <c r="M26" s="143">
        <f>H26+J26+L26</f>
        <v>0</v>
      </c>
    </row>
    <row r="27" spans="1:13" s="654" customFormat="1" ht="21" customHeight="1">
      <c r="A27" s="32">
        <f>A21+1</f>
        <v>4</v>
      </c>
      <c r="B27" s="59" t="s">
        <v>126</v>
      </c>
      <c r="C27" s="42" t="s">
        <v>127</v>
      </c>
      <c r="D27" s="16" t="s">
        <v>12</v>
      </c>
      <c r="E27" s="312"/>
      <c r="F27" s="374">
        <v>2</v>
      </c>
      <c r="G27" s="195"/>
      <c r="H27" s="142"/>
      <c r="I27" s="195"/>
      <c r="J27" s="143"/>
      <c r="K27" s="195"/>
      <c r="L27" s="143"/>
      <c r="M27" s="143"/>
    </row>
    <row r="28" spans="1:15" s="738" customFormat="1" ht="17.25" customHeight="1">
      <c r="A28" s="35"/>
      <c r="B28" s="59"/>
      <c r="C28" s="10" t="s">
        <v>13</v>
      </c>
      <c r="D28" s="6" t="s">
        <v>139</v>
      </c>
      <c r="E28" s="11">
        <v>0.31</v>
      </c>
      <c r="F28" s="1">
        <f>E28*F27</f>
        <v>0.62</v>
      </c>
      <c r="G28" s="195"/>
      <c r="H28" s="142"/>
      <c r="I28" s="195"/>
      <c r="J28" s="143">
        <f>I28*F28</f>
        <v>0</v>
      </c>
      <c r="K28" s="195"/>
      <c r="L28" s="143"/>
      <c r="M28" s="143">
        <f>H28+J28+L28</f>
        <v>0</v>
      </c>
      <c r="O28" s="60"/>
    </row>
    <row r="29" spans="1:13" s="738" customFormat="1" ht="17.25" customHeight="1">
      <c r="A29" s="35"/>
      <c r="B29" s="59"/>
      <c r="C29" s="79" t="s">
        <v>128</v>
      </c>
      <c r="D29" s="32" t="s">
        <v>12</v>
      </c>
      <c r="E29" s="86"/>
      <c r="F29" s="1">
        <v>2</v>
      </c>
      <c r="G29" s="195"/>
      <c r="H29" s="142">
        <f>G29*F29</f>
        <v>0</v>
      </c>
      <c r="I29" s="195"/>
      <c r="J29" s="143"/>
      <c r="K29" s="195"/>
      <c r="L29" s="143"/>
      <c r="M29" s="143">
        <f>L29+J29+H29</f>
        <v>0</v>
      </c>
    </row>
    <row r="30" spans="1:13" s="738" customFormat="1" ht="17.25" customHeight="1">
      <c r="A30" s="35"/>
      <c r="B30" s="59"/>
      <c r="C30" s="10" t="s">
        <v>69</v>
      </c>
      <c r="D30" s="6" t="s">
        <v>6</v>
      </c>
      <c r="E30" s="28">
        <v>0.04</v>
      </c>
      <c r="F30" s="1">
        <f>E30*F27</f>
        <v>0.08</v>
      </c>
      <c r="G30" s="195"/>
      <c r="H30" s="142">
        <f>G30*F30</f>
        <v>0</v>
      </c>
      <c r="I30" s="195"/>
      <c r="J30" s="143"/>
      <c r="K30" s="195"/>
      <c r="L30" s="143"/>
      <c r="M30" s="143">
        <f>L30+J30+H30</f>
        <v>0</v>
      </c>
    </row>
    <row r="31" spans="1:13" s="654" customFormat="1" ht="21" customHeight="1">
      <c r="A31" s="32">
        <f>A27+1</f>
        <v>5</v>
      </c>
      <c r="B31" s="59" t="s">
        <v>129</v>
      </c>
      <c r="C31" s="42" t="s">
        <v>130</v>
      </c>
      <c r="D31" s="16" t="s">
        <v>12</v>
      </c>
      <c r="E31" s="312"/>
      <c r="F31" s="374">
        <v>4</v>
      </c>
      <c r="G31" s="195"/>
      <c r="H31" s="142"/>
      <c r="I31" s="195"/>
      <c r="J31" s="143"/>
      <c r="K31" s="195"/>
      <c r="L31" s="143"/>
      <c r="M31" s="143"/>
    </row>
    <row r="32" spans="1:15" s="738" customFormat="1" ht="17.25" customHeight="1">
      <c r="A32" s="35"/>
      <c r="B32" s="59"/>
      <c r="C32" s="10" t="s">
        <v>13</v>
      </c>
      <c r="D32" s="6" t="s">
        <v>139</v>
      </c>
      <c r="E32" s="11">
        <v>0.22</v>
      </c>
      <c r="F32" s="1">
        <f>E32*F31</f>
        <v>0.88</v>
      </c>
      <c r="G32" s="195"/>
      <c r="H32" s="142"/>
      <c r="I32" s="195"/>
      <c r="J32" s="143">
        <f>I32*F32</f>
        <v>0</v>
      </c>
      <c r="K32" s="195"/>
      <c r="L32" s="143"/>
      <c r="M32" s="143">
        <f>H32+J32+L32</f>
        <v>0</v>
      </c>
      <c r="O32" s="60"/>
    </row>
    <row r="33" spans="1:15" s="738" customFormat="1" ht="17.25" customHeight="1">
      <c r="A33" s="32"/>
      <c r="B33" s="59"/>
      <c r="C33" s="79" t="s">
        <v>131</v>
      </c>
      <c r="D33" s="32" t="s">
        <v>12</v>
      </c>
      <c r="E33" s="86"/>
      <c r="F33" s="1">
        <v>4</v>
      </c>
      <c r="G33" s="195"/>
      <c r="H33" s="142">
        <f>G33*F33</f>
        <v>0</v>
      </c>
      <c r="I33" s="195"/>
      <c r="J33" s="143"/>
      <c r="K33" s="195"/>
      <c r="L33" s="143"/>
      <c r="M33" s="143">
        <f>L33+J33+H33</f>
        <v>0</v>
      </c>
      <c r="O33" s="60"/>
    </row>
    <row r="34" spans="1:13" s="738" customFormat="1" ht="17.25" customHeight="1">
      <c r="A34" s="35"/>
      <c r="B34" s="59"/>
      <c r="C34" s="10" t="s">
        <v>69</v>
      </c>
      <c r="D34" s="6" t="s">
        <v>6</v>
      </c>
      <c r="E34" s="28">
        <v>0.02</v>
      </c>
      <c r="F34" s="1">
        <f>E34*F31</f>
        <v>0.08</v>
      </c>
      <c r="G34" s="195"/>
      <c r="H34" s="142">
        <f>G34*F34</f>
        <v>0</v>
      </c>
      <c r="I34" s="195"/>
      <c r="J34" s="143"/>
      <c r="K34" s="195"/>
      <c r="L34" s="143"/>
      <c r="M34" s="143">
        <f>L34+J34+H34</f>
        <v>0</v>
      </c>
    </row>
    <row r="35" spans="1:23" s="372" customFormat="1" ht="24" customHeight="1">
      <c r="A35" s="35">
        <f>A31+1</f>
        <v>6</v>
      </c>
      <c r="B35" s="59" t="s">
        <v>146</v>
      </c>
      <c r="C35" s="42" t="s">
        <v>132</v>
      </c>
      <c r="D35" s="41"/>
      <c r="E35" s="41"/>
      <c r="F35" s="374">
        <f>SUM(F38:F40)</f>
        <v>8</v>
      </c>
      <c r="G35" s="195"/>
      <c r="H35" s="142"/>
      <c r="I35" s="195"/>
      <c r="J35" s="143"/>
      <c r="K35" s="195"/>
      <c r="L35" s="143"/>
      <c r="M35" s="143"/>
      <c r="N35" s="58"/>
      <c r="O35" s="734"/>
      <c r="P35" s="734"/>
      <c r="Q35" s="734"/>
      <c r="R35" s="734"/>
      <c r="S35" s="734"/>
      <c r="T35" s="734"/>
      <c r="U35" s="734"/>
      <c r="V35" s="734"/>
      <c r="W35" s="734"/>
    </row>
    <row r="36" spans="1:23" s="27" customFormat="1" ht="18" customHeight="1">
      <c r="A36" s="35"/>
      <c r="B36" s="59"/>
      <c r="C36" s="10" t="s">
        <v>13</v>
      </c>
      <c r="D36" s="38" t="s">
        <v>139</v>
      </c>
      <c r="E36" s="145">
        <v>1.51</v>
      </c>
      <c r="F36" s="143">
        <f>F35*E36</f>
        <v>12.08</v>
      </c>
      <c r="G36" s="143"/>
      <c r="H36" s="143"/>
      <c r="I36" s="195"/>
      <c r="J36" s="195">
        <f>I36*F36</f>
        <v>0</v>
      </c>
      <c r="K36" s="195"/>
      <c r="L36" s="195"/>
      <c r="M36" s="143">
        <f aca="true" t="shared" si="0" ref="M36:M41">L36+J36+H36</f>
        <v>0</v>
      </c>
      <c r="N36" s="55"/>
      <c r="O36" s="738"/>
      <c r="P36" s="738"/>
      <c r="Q36" s="738"/>
      <c r="R36" s="738"/>
      <c r="S36" s="738"/>
      <c r="T36" s="738"/>
      <c r="U36" s="738"/>
      <c r="V36" s="738"/>
      <c r="W36" s="738"/>
    </row>
    <row r="37" spans="1:23" s="27" customFormat="1" ht="18" customHeight="1">
      <c r="A37" s="35"/>
      <c r="B37" s="59"/>
      <c r="C37" s="10" t="s">
        <v>70</v>
      </c>
      <c r="D37" s="6" t="s">
        <v>6</v>
      </c>
      <c r="E37" s="11">
        <v>0.13</v>
      </c>
      <c r="F37" s="143">
        <f>E37*F35</f>
        <v>1.04</v>
      </c>
      <c r="G37" s="143"/>
      <c r="H37" s="143"/>
      <c r="I37" s="195"/>
      <c r="J37" s="195"/>
      <c r="K37" s="195"/>
      <c r="L37" s="195">
        <f>K37*F37</f>
        <v>0</v>
      </c>
      <c r="M37" s="143">
        <f t="shared" si="0"/>
        <v>0</v>
      </c>
      <c r="N37" s="55"/>
      <c r="O37" s="738"/>
      <c r="P37" s="738"/>
      <c r="Q37" s="738"/>
      <c r="R37" s="738"/>
      <c r="S37" s="738"/>
      <c r="T37" s="738"/>
      <c r="U37" s="738"/>
      <c r="V37" s="738"/>
      <c r="W37" s="738"/>
    </row>
    <row r="38" spans="1:15" s="738" customFormat="1" ht="17.25" customHeight="1">
      <c r="A38" s="35"/>
      <c r="B38" s="59"/>
      <c r="C38" s="79" t="s">
        <v>426</v>
      </c>
      <c r="D38" s="32" t="s">
        <v>12</v>
      </c>
      <c r="E38" s="86"/>
      <c r="F38" s="143">
        <v>4</v>
      </c>
      <c r="G38" s="143"/>
      <c r="H38" s="143">
        <f>G38*F38</f>
        <v>0</v>
      </c>
      <c r="I38" s="195"/>
      <c r="J38" s="195"/>
      <c r="K38" s="195"/>
      <c r="L38" s="195"/>
      <c r="M38" s="143">
        <f t="shared" si="0"/>
        <v>0</v>
      </c>
      <c r="O38" s="60"/>
    </row>
    <row r="39" spans="1:15" s="738" customFormat="1" ht="17.25" customHeight="1">
      <c r="A39" s="35"/>
      <c r="B39" s="59"/>
      <c r="C39" s="79" t="s">
        <v>367</v>
      </c>
      <c r="D39" s="32" t="s">
        <v>12</v>
      </c>
      <c r="E39" s="86"/>
      <c r="F39" s="143">
        <v>2</v>
      </c>
      <c r="G39" s="143"/>
      <c r="H39" s="143">
        <f>G39*F39</f>
        <v>0</v>
      </c>
      <c r="I39" s="195"/>
      <c r="J39" s="195"/>
      <c r="K39" s="195"/>
      <c r="L39" s="195"/>
      <c r="M39" s="143">
        <f t="shared" si="0"/>
        <v>0</v>
      </c>
      <c r="O39" s="60"/>
    </row>
    <row r="40" spans="1:15" s="738" customFormat="1" ht="17.25" customHeight="1">
      <c r="A40" s="35"/>
      <c r="B40" s="59"/>
      <c r="C40" s="79" t="s">
        <v>427</v>
      </c>
      <c r="D40" s="32" t="s">
        <v>12</v>
      </c>
      <c r="E40" s="86"/>
      <c r="F40" s="143">
        <v>2</v>
      </c>
      <c r="G40" s="143"/>
      <c r="H40" s="143">
        <f>G40*F40</f>
        <v>0</v>
      </c>
      <c r="I40" s="195"/>
      <c r="J40" s="195"/>
      <c r="K40" s="195"/>
      <c r="L40" s="195"/>
      <c r="M40" s="143">
        <f t="shared" si="0"/>
        <v>0</v>
      </c>
      <c r="O40" s="60"/>
    </row>
    <row r="41" spans="1:14" s="738" customFormat="1" ht="17.25" customHeight="1">
      <c r="A41" s="35"/>
      <c r="B41" s="59"/>
      <c r="C41" s="10" t="s">
        <v>69</v>
      </c>
      <c r="D41" s="6" t="s">
        <v>6</v>
      </c>
      <c r="E41" s="11">
        <v>0.07</v>
      </c>
      <c r="F41" s="2">
        <f>E41*F35</f>
        <v>0.56</v>
      </c>
      <c r="G41" s="143"/>
      <c r="H41" s="143">
        <f>G41*F41</f>
        <v>0</v>
      </c>
      <c r="I41" s="195"/>
      <c r="J41" s="195"/>
      <c r="K41" s="195"/>
      <c r="L41" s="195"/>
      <c r="M41" s="143">
        <f t="shared" si="0"/>
        <v>0</v>
      </c>
      <c r="N41" s="60"/>
    </row>
    <row r="42" spans="1:13" s="652" customFormat="1" ht="33" customHeight="1">
      <c r="A42" s="32">
        <f>A35+1</f>
        <v>7</v>
      </c>
      <c r="B42" s="59" t="s">
        <v>369</v>
      </c>
      <c r="C42" s="402" t="s">
        <v>368</v>
      </c>
      <c r="D42" s="312" t="s">
        <v>58</v>
      </c>
      <c r="E42" s="214"/>
      <c r="F42" s="400">
        <v>2</v>
      </c>
      <c r="G42" s="427"/>
      <c r="H42" s="427"/>
      <c r="I42" s="427"/>
      <c r="J42" s="427"/>
      <c r="K42" s="428"/>
      <c r="L42" s="429"/>
      <c r="M42" s="430"/>
    </row>
    <row r="43" spans="1:15" s="738" customFormat="1" ht="18" customHeight="1">
      <c r="A43" s="35"/>
      <c r="B43" s="59"/>
      <c r="C43" s="10" t="s">
        <v>13</v>
      </c>
      <c r="D43" s="6" t="s">
        <v>139</v>
      </c>
      <c r="E43" s="11">
        <v>0.13</v>
      </c>
      <c r="F43" s="2">
        <f>E43*F42</f>
        <v>0.26</v>
      </c>
      <c r="G43" s="195"/>
      <c r="H43" s="142"/>
      <c r="I43" s="195"/>
      <c r="J43" s="143">
        <f>I43*F43</f>
        <v>0</v>
      </c>
      <c r="K43" s="195"/>
      <c r="L43" s="143"/>
      <c r="M43" s="143">
        <f>H43+J43+L43</f>
        <v>0</v>
      </c>
      <c r="O43" s="60"/>
    </row>
    <row r="44" spans="1:13" s="738" customFormat="1" ht="18" customHeight="1">
      <c r="A44" s="6"/>
      <c r="B44" s="379"/>
      <c r="C44" s="655" t="s">
        <v>368</v>
      </c>
      <c r="D44" s="32" t="s">
        <v>12</v>
      </c>
      <c r="E44" s="11">
        <v>1</v>
      </c>
      <c r="F44" s="2">
        <f>E44*F42</f>
        <v>2</v>
      </c>
      <c r="G44" s="195"/>
      <c r="H44" s="142">
        <f>G44*F44</f>
        <v>0</v>
      </c>
      <c r="I44" s="195"/>
      <c r="J44" s="143"/>
      <c r="K44" s="195"/>
      <c r="L44" s="143"/>
      <c r="M44" s="143">
        <f>L44+J44+H44</f>
        <v>0</v>
      </c>
    </row>
    <row r="45" spans="1:13" s="738" customFormat="1" ht="18" customHeight="1">
      <c r="A45" s="35"/>
      <c r="B45" s="59"/>
      <c r="C45" s="10" t="s">
        <v>69</v>
      </c>
      <c r="D45" s="6" t="s">
        <v>6</v>
      </c>
      <c r="E45" s="11">
        <v>0.02</v>
      </c>
      <c r="F45" s="2">
        <f>E45*F42</f>
        <v>0.04</v>
      </c>
      <c r="G45" s="195"/>
      <c r="H45" s="142">
        <f>G45*F45</f>
        <v>0</v>
      </c>
      <c r="I45" s="195"/>
      <c r="J45" s="143"/>
      <c r="K45" s="195"/>
      <c r="L45" s="143"/>
      <c r="M45" s="143">
        <f>H45+J45+L45</f>
        <v>0</v>
      </c>
    </row>
    <row r="46" spans="1:13" s="738" customFormat="1" ht="24" customHeight="1">
      <c r="A46" s="32">
        <f>A42+1</f>
        <v>8</v>
      </c>
      <c r="B46" s="32" t="s">
        <v>46</v>
      </c>
      <c r="C46" s="483" t="s">
        <v>428</v>
      </c>
      <c r="D46" s="41" t="s">
        <v>65</v>
      </c>
      <c r="E46" s="6"/>
      <c r="F46" s="374">
        <f>SUM(F49:F56)</f>
        <v>40</v>
      </c>
      <c r="G46" s="1"/>
      <c r="H46" s="143"/>
      <c r="I46" s="320"/>
      <c r="J46" s="320"/>
      <c r="K46" s="320"/>
      <c r="L46" s="320"/>
      <c r="M46" s="320"/>
    </row>
    <row r="47" spans="1:15" s="738" customFormat="1" ht="18" customHeight="1">
      <c r="A47" s="32"/>
      <c r="B47" s="33"/>
      <c r="C47" s="10" t="s">
        <v>13</v>
      </c>
      <c r="D47" s="6" t="str">
        <f>D46</f>
        <v>ცალი</v>
      </c>
      <c r="E47" s="91">
        <v>1</v>
      </c>
      <c r="F47" s="1">
        <f>E47*F46</f>
        <v>40</v>
      </c>
      <c r="G47" s="195"/>
      <c r="H47" s="143"/>
      <c r="I47" s="320"/>
      <c r="J47" s="320">
        <f>I47*F47</f>
        <v>0</v>
      </c>
      <c r="K47" s="320"/>
      <c r="L47" s="320"/>
      <c r="M47" s="320">
        <f>H47+J47+L47</f>
        <v>0</v>
      </c>
      <c r="O47" s="60"/>
    </row>
    <row r="48" spans="1:14" s="738" customFormat="1" ht="18" customHeight="1">
      <c r="A48" s="35"/>
      <c r="B48" s="59"/>
      <c r="C48" s="10" t="s">
        <v>70</v>
      </c>
      <c r="D48" s="6" t="s">
        <v>6</v>
      </c>
      <c r="E48" s="11">
        <f>2.76*0.01</f>
        <v>0.0276</v>
      </c>
      <c r="F48" s="2">
        <f>E48*F46</f>
        <v>1.104</v>
      </c>
      <c r="G48" s="195"/>
      <c r="H48" s="143"/>
      <c r="I48" s="320"/>
      <c r="J48" s="320"/>
      <c r="K48" s="320"/>
      <c r="L48" s="320">
        <f>K48*F48</f>
        <v>0</v>
      </c>
      <c r="M48" s="320">
        <f>L48+J48+H48</f>
        <v>0</v>
      </c>
      <c r="N48" s="60"/>
    </row>
    <row r="49" spans="1:13" s="738" customFormat="1" ht="18" customHeight="1">
      <c r="A49" s="6"/>
      <c r="B49" s="32"/>
      <c r="C49" s="69" t="s">
        <v>486</v>
      </c>
      <c r="D49" s="6" t="s">
        <v>65</v>
      </c>
      <c r="E49" s="71">
        <v>1</v>
      </c>
      <c r="F49" s="100">
        <v>8</v>
      </c>
      <c r="G49" s="195"/>
      <c r="H49" s="143">
        <f aca="true" t="shared" si="1" ref="H49:H56">G49*F49</f>
        <v>0</v>
      </c>
      <c r="I49" s="320"/>
      <c r="J49" s="320"/>
      <c r="K49" s="320"/>
      <c r="L49" s="320"/>
      <c r="M49" s="320">
        <f aca="true" t="shared" si="2" ref="M49:M56">H49+J49+L49</f>
        <v>0</v>
      </c>
    </row>
    <row r="50" spans="1:13" s="738" customFormat="1" ht="18" customHeight="1">
      <c r="A50" s="6"/>
      <c r="B50" s="32"/>
      <c r="C50" s="69" t="s">
        <v>487</v>
      </c>
      <c r="D50" s="6" t="s">
        <v>65</v>
      </c>
      <c r="E50" s="71">
        <v>1</v>
      </c>
      <c r="F50" s="100">
        <v>11</v>
      </c>
      <c r="G50" s="195"/>
      <c r="H50" s="143">
        <f t="shared" si="1"/>
        <v>0</v>
      </c>
      <c r="I50" s="320"/>
      <c r="J50" s="320"/>
      <c r="K50" s="320"/>
      <c r="L50" s="320"/>
      <c r="M50" s="320">
        <f t="shared" si="2"/>
        <v>0</v>
      </c>
    </row>
    <row r="51" spans="1:13" s="738" customFormat="1" ht="18" customHeight="1">
      <c r="A51" s="6"/>
      <c r="B51" s="32"/>
      <c r="C51" s="69" t="s">
        <v>488</v>
      </c>
      <c r="D51" s="6" t="s">
        <v>65</v>
      </c>
      <c r="E51" s="71">
        <v>1</v>
      </c>
      <c r="F51" s="100">
        <v>5</v>
      </c>
      <c r="G51" s="195"/>
      <c r="H51" s="143">
        <f t="shared" si="1"/>
        <v>0</v>
      </c>
      <c r="I51" s="320"/>
      <c r="J51" s="320"/>
      <c r="K51" s="320"/>
      <c r="L51" s="320"/>
      <c r="M51" s="320">
        <f t="shared" si="2"/>
        <v>0</v>
      </c>
    </row>
    <row r="52" spans="1:13" s="738" customFormat="1" ht="18" customHeight="1">
      <c r="A52" s="6"/>
      <c r="B52" s="32"/>
      <c r="C52" s="69" t="s">
        <v>489</v>
      </c>
      <c r="D52" s="6" t="s">
        <v>65</v>
      </c>
      <c r="E52" s="71">
        <v>1</v>
      </c>
      <c r="F52" s="100">
        <v>2</v>
      </c>
      <c r="G52" s="195"/>
      <c r="H52" s="143">
        <f t="shared" si="1"/>
        <v>0</v>
      </c>
      <c r="I52" s="320"/>
      <c r="J52" s="320"/>
      <c r="K52" s="320"/>
      <c r="L52" s="320"/>
      <c r="M52" s="320">
        <f t="shared" si="2"/>
        <v>0</v>
      </c>
    </row>
    <row r="53" spans="1:13" s="738" customFormat="1" ht="18" customHeight="1">
      <c r="A53" s="6"/>
      <c r="B53" s="32"/>
      <c r="C53" s="69" t="s">
        <v>490</v>
      </c>
      <c r="D53" s="6" t="s">
        <v>65</v>
      </c>
      <c r="E53" s="71">
        <v>1</v>
      </c>
      <c r="F53" s="100">
        <v>5</v>
      </c>
      <c r="G53" s="195"/>
      <c r="H53" s="143">
        <f t="shared" si="1"/>
        <v>0</v>
      </c>
      <c r="I53" s="320"/>
      <c r="J53" s="320"/>
      <c r="K53" s="320"/>
      <c r="L53" s="320"/>
      <c r="M53" s="320">
        <f t="shared" si="2"/>
        <v>0</v>
      </c>
    </row>
    <row r="54" spans="1:13" s="738" customFormat="1" ht="18" customHeight="1">
      <c r="A54" s="6"/>
      <c r="B54" s="32"/>
      <c r="C54" s="69" t="s">
        <v>491</v>
      </c>
      <c r="D54" s="6" t="s">
        <v>65</v>
      </c>
      <c r="E54" s="71">
        <v>1</v>
      </c>
      <c r="F54" s="100">
        <v>4</v>
      </c>
      <c r="G54" s="195"/>
      <c r="H54" s="143">
        <f t="shared" si="1"/>
        <v>0</v>
      </c>
      <c r="I54" s="320"/>
      <c r="J54" s="320"/>
      <c r="K54" s="320"/>
      <c r="L54" s="320"/>
      <c r="M54" s="320">
        <f t="shared" si="2"/>
        <v>0</v>
      </c>
    </row>
    <row r="55" spans="1:13" s="738" customFormat="1" ht="18" customHeight="1">
      <c r="A55" s="6"/>
      <c r="B55" s="32"/>
      <c r="C55" s="69" t="s">
        <v>492</v>
      </c>
      <c r="D55" s="6" t="s">
        <v>65</v>
      </c>
      <c r="E55" s="71">
        <v>1</v>
      </c>
      <c r="F55" s="100">
        <v>2</v>
      </c>
      <c r="G55" s="195"/>
      <c r="H55" s="143">
        <f t="shared" si="1"/>
        <v>0</v>
      </c>
      <c r="I55" s="320"/>
      <c r="J55" s="320"/>
      <c r="K55" s="320"/>
      <c r="L55" s="320"/>
      <c r="M55" s="320">
        <f t="shared" si="2"/>
        <v>0</v>
      </c>
    </row>
    <row r="56" spans="1:13" s="738" customFormat="1" ht="18" customHeight="1">
      <c r="A56" s="6"/>
      <c r="B56" s="769"/>
      <c r="C56" s="69" t="s">
        <v>629</v>
      </c>
      <c r="D56" s="6" t="s">
        <v>65</v>
      </c>
      <c r="E56" s="71">
        <v>1</v>
      </c>
      <c r="F56" s="100">
        <v>3</v>
      </c>
      <c r="G56" s="195"/>
      <c r="H56" s="143">
        <f t="shared" si="1"/>
        <v>0</v>
      </c>
      <c r="I56" s="320"/>
      <c r="J56" s="320"/>
      <c r="K56" s="320"/>
      <c r="L56" s="320"/>
      <c r="M56" s="320">
        <f t="shared" si="2"/>
        <v>0</v>
      </c>
    </row>
    <row r="57" spans="1:13" s="738" customFormat="1" ht="18" customHeight="1">
      <c r="A57" s="35"/>
      <c r="B57" s="6"/>
      <c r="C57" s="10" t="s">
        <v>429</v>
      </c>
      <c r="D57" s="6" t="s">
        <v>147</v>
      </c>
      <c r="E57" s="40">
        <f>44.2*0.01</f>
        <v>0.44200000000000006</v>
      </c>
      <c r="F57" s="2">
        <f>E57*F46</f>
        <v>17.680000000000003</v>
      </c>
      <c r="G57" s="195"/>
      <c r="H57" s="143">
        <f>G57*F57</f>
        <v>0</v>
      </c>
      <c r="I57" s="320"/>
      <c r="J57" s="320"/>
      <c r="K57" s="320"/>
      <c r="L57" s="320"/>
      <c r="M57" s="320">
        <f>L57+J57+H57</f>
        <v>0</v>
      </c>
    </row>
    <row r="58" spans="1:15" s="738" customFormat="1" ht="18" customHeight="1">
      <c r="A58" s="6"/>
      <c r="B58" s="6"/>
      <c r="C58" s="79" t="s">
        <v>69</v>
      </c>
      <c r="D58" s="6" t="s">
        <v>6</v>
      </c>
      <c r="E58" s="71">
        <f>6.54*0.01</f>
        <v>0.0654</v>
      </c>
      <c r="F58" s="447">
        <f>E58*F46</f>
        <v>2.616</v>
      </c>
      <c r="G58" s="195"/>
      <c r="H58" s="143">
        <f>G58*F58</f>
        <v>0</v>
      </c>
      <c r="I58" s="320"/>
      <c r="J58" s="320"/>
      <c r="K58" s="320"/>
      <c r="L58" s="320"/>
      <c r="M58" s="320">
        <f>H58+J58+L58</f>
        <v>0</v>
      </c>
      <c r="O58" s="60"/>
    </row>
    <row r="59" spans="1:14" s="734" customFormat="1" ht="24" customHeight="1">
      <c r="A59" s="35">
        <f>A46+1</f>
        <v>9</v>
      </c>
      <c r="B59" s="59" t="s">
        <v>146</v>
      </c>
      <c r="C59" s="95" t="s">
        <v>430</v>
      </c>
      <c r="D59" s="41" t="s">
        <v>12</v>
      </c>
      <c r="E59" s="41"/>
      <c r="F59" s="24">
        <f>SUM(F62:F63)</f>
        <v>80</v>
      </c>
      <c r="G59" s="195"/>
      <c r="H59" s="143"/>
      <c r="I59" s="320"/>
      <c r="J59" s="320"/>
      <c r="K59" s="320"/>
      <c r="L59" s="320"/>
      <c r="M59" s="320"/>
      <c r="N59" s="56"/>
    </row>
    <row r="60" spans="1:14" s="738" customFormat="1" ht="18" customHeight="1">
      <c r="A60" s="35"/>
      <c r="B60" s="59"/>
      <c r="C60" s="10" t="s">
        <v>13</v>
      </c>
      <c r="D60" s="6" t="s">
        <v>139</v>
      </c>
      <c r="E60" s="11">
        <v>1.51</v>
      </c>
      <c r="F60" s="2">
        <f>E60*F59</f>
        <v>120.8</v>
      </c>
      <c r="G60" s="195"/>
      <c r="H60" s="143"/>
      <c r="I60" s="320"/>
      <c r="J60" s="320">
        <f>I60*F60</f>
        <v>0</v>
      </c>
      <c r="K60" s="320"/>
      <c r="L60" s="320"/>
      <c r="M60" s="320">
        <f aca="true" t="shared" si="3" ref="M60:M66">L60+J60+H60</f>
        <v>0</v>
      </c>
      <c r="N60" s="60"/>
    </row>
    <row r="61" spans="1:14" s="738" customFormat="1" ht="18" customHeight="1">
      <c r="A61" s="35"/>
      <c r="B61" s="59"/>
      <c r="C61" s="10" t="s">
        <v>70</v>
      </c>
      <c r="D61" s="6" t="s">
        <v>6</v>
      </c>
      <c r="E61" s="11">
        <v>0.13</v>
      </c>
      <c r="F61" s="2">
        <f>E61*F59</f>
        <v>10.4</v>
      </c>
      <c r="G61" s="195"/>
      <c r="H61" s="143"/>
      <c r="I61" s="320"/>
      <c r="J61" s="320"/>
      <c r="K61" s="320"/>
      <c r="L61" s="320">
        <f>K61*F61</f>
        <v>0</v>
      </c>
      <c r="M61" s="320">
        <f t="shared" si="3"/>
        <v>0</v>
      </c>
      <c r="N61" s="60"/>
    </row>
    <row r="62" spans="1:13" s="651" customFormat="1" ht="18" customHeight="1">
      <c r="A62" s="134"/>
      <c r="B62" s="32"/>
      <c r="C62" s="79" t="s">
        <v>431</v>
      </c>
      <c r="D62" s="479" t="s">
        <v>12</v>
      </c>
      <c r="E62" s="481">
        <v>1</v>
      </c>
      <c r="F62" s="482">
        <f>F46</f>
        <v>40</v>
      </c>
      <c r="G62" s="195"/>
      <c r="H62" s="143">
        <f>F62*G62</f>
        <v>0</v>
      </c>
      <c r="I62" s="320"/>
      <c r="J62" s="320"/>
      <c r="K62" s="320"/>
      <c r="L62" s="320"/>
      <c r="M62" s="320">
        <f t="shared" si="3"/>
        <v>0</v>
      </c>
    </row>
    <row r="63" spans="1:13" s="651" customFormat="1" ht="18" customHeight="1">
      <c r="A63" s="134"/>
      <c r="B63" s="32"/>
      <c r="C63" s="79" t="s">
        <v>432</v>
      </c>
      <c r="D63" s="479" t="s">
        <v>12</v>
      </c>
      <c r="E63" s="481">
        <v>1</v>
      </c>
      <c r="F63" s="482">
        <f>F46</f>
        <v>40</v>
      </c>
      <c r="G63" s="195"/>
      <c r="H63" s="143">
        <f>F63*G63</f>
        <v>0</v>
      </c>
      <c r="I63" s="320"/>
      <c r="J63" s="320"/>
      <c r="K63" s="320"/>
      <c r="L63" s="320"/>
      <c r="M63" s="320">
        <f t="shared" si="3"/>
        <v>0</v>
      </c>
    </row>
    <row r="64" spans="1:13" s="144" customFormat="1" ht="18" customHeight="1">
      <c r="A64" s="431"/>
      <c r="B64" s="205"/>
      <c r="C64" s="135" t="s">
        <v>433</v>
      </c>
      <c r="D64" s="139" t="s">
        <v>12</v>
      </c>
      <c r="E64" s="212">
        <v>1</v>
      </c>
      <c r="F64" s="143">
        <f>F59*E64</f>
        <v>80</v>
      </c>
      <c r="G64" s="143"/>
      <c r="H64" s="143">
        <f>G64*F64</f>
        <v>0</v>
      </c>
      <c r="I64" s="195"/>
      <c r="J64" s="195"/>
      <c r="K64" s="195"/>
      <c r="L64" s="195"/>
      <c r="M64" s="143">
        <f t="shared" si="3"/>
        <v>0</v>
      </c>
    </row>
    <row r="65" spans="1:13" s="651" customFormat="1" ht="18" customHeight="1">
      <c r="A65" s="484"/>
      <c r="B65" s="134"/>
      <c r="C65" s="69" t="s">
        <v>434</v>
      </c>
      <c r="D65" s="479" t="s">
        <v>147</v>
      </c>
      <c r="E65" s="485">
        <v>1.1</v>
      </c>
      <c r="F65" s="2">
        <f>E65*F59</f>
        <v>88</v>
      </c>
      <c r="G65" s="195"/>
      <c r="H65" s="143">
        <f>F65*G65</f>
        <v>0</v>
      </c>
      <c r="I65" s="320"/>
      <c r="J65" s="320"/>
      <c r="K65" s="320"/>
      <c r="L65" s="320"/>
      <c r="M65" s="320">
        <f t="shared" si="3"/>
        <v>0</v>
      </c>
    </row>
    <row r="66" spans="1:14" s="738" customFormat="1" ht="18" customHeight="1">
      <c r="A66" s="35"/>
      <c r="B66" s="59"/>
      <c r="C66" s="10" t="s">
        <v>69</v>
      </c>
      <c r="D66" s="6" t="s">
        <v>6</v>
      </c>
      <c r="E66" s="11">
        <v>0.07</v>
      </c>
      <c r="F66" s="2">
        <f>E66*F59</f>
        <v>5.6000000000000005</v>
      </c>
      <c r="G66" s="195"/>
      <c r="H66" s="143">
        <f>G66*F66</f>
        <v>0</v>
      </c>
      <c r="I66" s="320"/>
      <c r="J66" s="320"/>
      <c r="K66" s="320"/>
      <c r="L66" s="320"/>
      <c r="M66" s="320">
        <f t="shared" si="3"/>
        <v>0</v>
      </c>
      <c r="N66" s="60"/>
    </row>
    <row r="67" spans="1:23" s="316" customFormat="1" ht="18" customHeight="1">
      <c r="A67" s="641"/>
      <c r="B67" s="641"/>
      <c r="C67" s="642" t="s">
        <v>286</v>
      </c>
      <c r="D67" s="649"/>
      <c r="E67" s="649"/>
      <c r="F67" s="650"/>
      <c r="G67" s="650"/>
      <c r="H67" s="143"/>
      <c r="I67" s="320"/>
      <c r="J67" s="320"/>
      <c r="K67" s="320"/>
      <c r="L67" s="320"/>
      <c r="M67" s="320"/>
      <c r="N67" s="317"/>
      <c r="O67" s="317"/>
      <c r="P67" s="317"/>
      <c r="Q67" s="317"/>
      <c r="R67" s="317"/>
      <c r="S67" s="317"/>
      <c r="T67" s="317"/>
      <c r="U67" s="317"/>
      <c r="V67" s="317"/>
      <c r="W67" s="317"/>
    </row>
    <row r="68" spans="1:13" s="98" customFormat="1" ht="21" customHeight="1">
      <c r="A68" s="90">
        <f>A59+1</f>
        <v>10</v>
      </c>
      <c r="B68" s="33" t="s">
        <v>142</v>
      </c>
      <c r="C68" s="96" t="s">
        <v>206</v>
      </c>
      <c r="D68" s="41" t="s">
        <v>94</v>
      </c>
      <c r="E68" s="41"/>
      <c r="F68" s="374">
        <v>310</v>
      </c>
      <c r="G68" s="143"/>
      <c r="H68" s="143"/>
      <c r="I68" s="195"/>
      <c r="J68" s="195"/>
      <c r="K68" s="195"/>
      <c r="L68" s="195"/>
      <c r="M68" s="143"/>
    </row>
    <row r="69" spans="1:256" s="102" customFormat="1" ht="18" customHeight="1">
      <c r="A69" s="90"/>
      <c r="B69" s="33"/>
      <c r="C69" s="79" t="s">
        <v>84</v>
      </c>
      <c r="D69" s="32" t="s">
        <v>139</v>
      </c>
      <c r="E69" s="32">
        <v>1.43</v>
      </c>
      <c r="F69" s="143">
        <f>F68*E69</f>
        <v>443.29999999999995</v>
      </c>
      <c r="G69" s="143"/>
      <c r="H69" s="143"/>
      <c r="I69" s="195"/>
      <c r="J69" s="195">
        <f>I69*F69</f>
        <v>0</v>
      </c>
      <c r="K69" s="195"/>
      <c r="L69" s="195"/>
      <c r="M69" s="143">
        <f>L69+J69+H69</f>
        <v>0</v>
      </c>
      <c r="N69" s="124"/>
      <c r="O69" s="125"/>
      <c r="P69" s="126"/>
      <c r="Q69" s="12"/>
      <c r="R69" s="12"/>
      <c r="S69" s="48"/>
      <c r="T69" s="436"/>
      <c r="U69" s="436"/>
      <c r="V69" s="437"/>
      <c r="W69" s="436"/>
      <c r="X69" s="436"/>
      <c r="Y69" s="436"/>
      <c r="Z69" s="278"/>
      <c r="AA69" s="124"/>
      <c r="AB69" s="125"/>
      <c r="AC69" s="126"/>
      <c r="AD69" s="12"/>
      <c r="AE69" s="12"/>
      <c r="AF69" s="48"/>
      <c r="AG69" s="436"/>
      <c r="AH69" s="436"/>
      <c r="AI69" s="437"/>
      <c r="AJ69" s="436"/>
      <c r="AK69" s="436"/>
      <c r="AL69" s="436"/>
      <c r="AM69" s="278"/>
      <c r="AN69" s="124"/>
      <c r="AO69" s="125"/>
      <c r="AP69" s="126"/>
      <c r="AQ69" s="12"/>
      <c r="AR69" s="12"/>
      <c r="AS69" s="48"/>
      <c r="AT69" s="436"/>
      <c r="AU69" s="436"/>
      <c r="AV69" s="437"/>
      <c r="AW69" s="436"/>
      <c r="AX69" s="436"/>
      <c r="AY69" s="436"/>
      <c r="AZ69" s="278"/>
      <c r="BA69" s="124"/>
      <c r="BB69" s="125"/>
      <c r="BC69" s="126"/>
      <c r="BD69" s="12"/>
      <c r="BE69" s="12"/>
      <c r="BF69" s="48"/>
      <c r="BG69" s="436"/>
      <c r="BH69" s="436"/>
      <c r="BI69" s="437"/>
      <c r="BJ69" s="436"/>
      <c r="BK69" s="436"/>
      <c r="BL69" s="436"/>
      <c r="BM69" s="278"/>
      <c r="BN69" s="124"/>
      <c r="BO69" s="125"/>
      <c r="BP69" s="126"/>
      <c r="BQ69" s="12"/>
      <c r="BR69" s="12"/>
      <c r="BS69" s="48"/>
      <c r="BT69" s="436"/>
      <c r="BU69" s="436"/>
      <c r="BV69" s="437"/>
      <c r="BW69" s="436"/>
      <c r="BX69" s="436"/>
      <c r="BY69" s="436"/>
      <c r="BZ69" s="278"/>
      <c r="CA69" s="124"/>
      <c r="CB69" s="125"/>
      <c r="CC69" s="126"/>
      <c r="CD69" s="12"/>
      <c r="CE69" s="12"/>
      <c r="CF69" s="48"/>
      <c r="CG69" s="436"/>
      <c r="CH69" s="436"/>
      <c r="CI69" s="437"/>
      <c r="CJ69" s="436"/>
      <c r="CK69" s="436"/>
      <c r="CL69" s="436"/>
      <c r="CM69" s="278"/>
      <c r="CN69" s="124"/>
      <c r="CO69" s="125"/>
      <c r="CP69" s="126"/>
      <c r="CQ69" s="12"/>
      <c r="CR69" s="12"/>
      <c r="CS69" s="48"/>
      <c r="CT69" s="436"/>
      <c r="CU69" s="436"/>
      <c r="CV69" s="437"/>
      <c r="CW69" s="436"/>
      <c r="CX69" s="436"/>
      <c r="CY69" s="436"/>
      <c r="CZ69" s="278"/>
      <c r="DA69" s="124"/>
      <c r="DB69" s="125"/>
      <c r="DC69" s="126"/>
      <c r="DD69" s="12"/>
      <c r="DE69" s="12"/>
      <c r="DF69" s="48"/>
      <c r="DG69" s="436"/>
      <c r="DH69" s="436"/>
      <c r="DI69" s="437"/>
      <c r="DJ69" s="436"/>
      <c r="DK69" s="436"/>
      <c r="DL69" s="436"/>
      <c r="DM69" s="278"/>
      <c r="DN69" s="124"/>
      <c r="DO69" s="125"/>
      <c r="DP69" s="126"/>
      <c r="DQ69" s="12"/>
      <c r="DR69" s="12"/>
      <c r="DS69" s="48"/>
      <c r="DT69" s="436"/>
      <c r="DU69" s="436"/>
      <c r="DV69" s="437"/>
      <c r="DW69" s="436"/>
      <c r="DX69" s="436"/>
      <c r="DY69" s="436"/>
      <c r="DZ69" s="278"/>
      <c r="EA69" s="124"/>
      <c r="EB69" s="125"/>
      <c r="EC69" s="126"/>
      <c r="ED69" s="12"/>
      <c r="EE69" s="12"/>
      <c r="EF69" s="48"/>
      <c r="EG69" s="436"/>
      <c r="EH69" s="436"/>
      <c r="EI69" s="437"/>
      <c r="EJ69" s="436"/>
      <c r="EK69" s="436"/>
      <c r="EL69" s="436"/>
      <c r="EM69" s="278"/>
      <c r="EN69" s="124"/>
      <c r="EO69" s="125"/>
      <c r="EP69" s="126"/>
      <c r="EQ69" s="12"/>
      <c r="ER69" s="12"/>
      <c r="ES69" s="48"/>
      <c r="ET69" s="436"/>
      <c r="EU69" s="436"/>
      <c r="EV69" s="437"/>
      <c r="EW69" s="436"/>
      <c r="EX69" s="436"/>
      <c r="EY69" s="436"/>
      <c r="EZ69" s="278"/>
      <c r="FA69" s="124"/>
      <c r="FB69" s="125"/>
      <c r="FC69" s="126"/>
      <c r="FD69" s="12"/>
      <c r="FE69" s="12"/>
      <c r="FF69" s="48"/>
      <c r="FG69" s="436"/>
      <c r="FH69" s="436"/>
      <c r="FI69" s="437"/>
      <c r="FJ69" s="436"/>
      <c r="FK69" s="436"/>
      <c r="FL69" s="436"/>
      <c r="FM69" s="278"/>
      <c r="FN69" s="124"/>
      <c r="FO69" s="125"/>
      <c r="FP69" s="126"/>
      <c r="FQ69" s="12"/>
      <c r="FR69" s="12"/>
      <c r="FS69" s="48"/>
      <c r="FT69" s="436"/>
      <c r="FU69" s="436"/>
      <c r="FV69" s="437"/>
      <c r="FW69" s="436"/>
      <c r="FX69" s="436"/>
      <c r="FY69" s="436"/>
      <c r="FZ69" s="278"/>
      <c r="GA69" s="124"/>
      <c r="GB69" s="125"/>
      <c r="GC69" s="126"/>
      <c r="GD69" s="12"/>
      <c r="GE69" s="12"/>
      <c r="GF69" s="48"/>
      <c r="GG69" s="436"/>
      <c r="GH69" s="436"/>
      <c r="GI69" s="437"/>
      <c r="GJ69" s="436"/>
      <c r="GK69" s="436"/>
      <c r="GL69" s="436"/>
      <c r="GM69" s="278"/>
      <c r="GN69" s="124"/>
      <c r="GO69" s="125"/>
      <c r="GP69" s="126"/>
      <c r="GQ69" s="12"/>
      <c r="GR69" s="12"/>
      <c r="GS69" s="48"/>
      <c r="GT69" s="436"/>
      <c r="GU69" s="436"/>
      <c r="GV69" s="437"/>
      <c r="GW69" s="436"/>
      <c r="GX69" s="436"/>
      <c r="GY69" s="436"/>
      <c r="GZ69" s="278"/>
      <c r="HA69" s="124"/>
      <c r="HB69" s="125"/>
      <c r="HC69" s="126"/>
      <c r="HD69" s="12"/>
      <c r="HE69" s="12"/>
      <c r="HF69" s="48"/>
      <c r="HG69" s="436"/>
      <c r="HH69" s="436"/>
      <c r="HI69" s="437"/>
      <c r="HJ69" s="436"/>
      <c r="HK69" s="436"/>
      <c r="HL69" s="436"/>
      <c r="HM69" s="278"/>
      <c r="HN69" s="124"/>
      <c r="HO69" s="125"/>
      <c r="HP69" s="126"/>
      <c r="HQ69" s="12"/>
      <c r="HR69" s="12"/>
      <c r="HS69" s="48"/>
      <c r="HT69" s="436"/>
      <c r="HU69" s="436"/>
      <c r="HV69" s="437"/>
      <c r="HW69" s="436"/>
      <c r="HX69" s="436"/>
      <c r="HY69" s="436"/>
      <c r="HZ69" s="278"/>
      <c r="IA69" s="124"/>
      <c r="IB69" s="125"/>
      <c r="IC69" s="126"/>
      <c r="ID69" s="12"/>
      <c r="IE69" s="12"/>
      <c r="IF69" s="48"/>
      <c r="IG69" s="436"/>
      <c r="IH69" s="436"/>
      <c r="II69" s="437"/>
      <c r="IJ69" s="436"/>
      <c r="IK69" s="436"/>
      <c r="IL69" s="436"/>
      <c r="IM69" s="278"/>
      <c r="IN69" s="124"/>
      <c r="IO69" s="125"/>
      <c r="IP69" s="126"/>
      <c r="IQ69" s="12"/>
      <c r="IR69" s="12"/>
      <c r="IS69" s="48"/>
      <c r="IT69" s="436"/>
      <c r="IU69" s="436"/>
      <c r="IV69" s="437"/>
    </row>
    <row r="70" spans="1:13" s="102" customFormat="1" ht="18" customHeight="1">
      <c r="A70" s="90"/>
      <c r="B70" s="9"/>
      <c r="C70" s="79" t="s">
        <v>70</v>
      </c>
      <c r="D70" s="32" t="s">
        <v>6</v>
      </c>
      <c r="E70" s="6">
        <v>0.0257</v>
      </c>
      <c r="F70" s="143">
        <f>F68*E70</f>
        <v>7.9670000000000005</v>
      </c>
      <c r="G70" s="143"/>
      <c r="H70" s="143"/>
      <c r="I70" s="195"/>
      <c r="J70" s="195"/>
      <c r="K70" s="195"/>
      <c r="L70" s="195">
        <f>F70*K70</f>
        <v>0</v>
      </c>
      <c r="M70" s="143">
        <f>L70+J70+H70</f>
        <v>0</v>
      </c>
    </row>
    <row r="71" spans="1:13" s="102" customFormat="1" ht="21" customHeight="1">
      <c r="A71" s="90"/>
      <c r="B71" s="730"/>
      <c r="C71" s="315" t="s">
        <v>201</v>
      </c>
      <c r="D71" s="32" t="str">
        <f>D68</f>
        <v>grZ.m</v>
      </c>
      <c r="E71" s="32">
        <v>0.929</v>
      </c>
      <c r="F71" s="143">
        <f>E71*F68</f>
        <v>287.99</v>
      </c>
      <c r="G71" s="143"/>
      <c r="H71" s="143">
        <f>F71*G71</f>
        <v>0</v>
      </c>
      <c r="I71" s="195"/>
      <c r="J71" s="195"/>
      <c r="K71" s="195"/>
      <c r="L71" s="195"/>
      <c r="M71" s="143">
        <f>L71+J71+H71</f>
        <v>0</v>
      </c>
    </row>
    <row r="72" spans="1:13" s="102" customFormat="1" ht="18" customHeight="1">
      <c r="A72" s="90"/>
      <c r="B72" s="9"/>
      <c r="C72" s="79" t="s">
        <v>69</v>
      </c>
      <c r="D72" s="32" t="s">
        <v>6</v>
      </c>
      <c r="E72" s="6">
        <v>0.0457</v>
      </c>
      <c r="F72" s="143">
        <f>E72*F68</f>
        <v>14.167</v>
      </c>
      <c r="G72" s="143"/>
      <c r="H72" s="143">
        <f>G72*F72</f>
        <v>0</v>
      </c>
      <c r="I72" s="195"/>
      <c r="J72" s="195"/>
      <c r="K72" s="195"/>
      <c r="L72" s="195"/>
      <c r="M72" s="143">
        <f>L72+J72+H72</f>
        <v>0</v>
      </c>
    </row>
    <row r="73" spans="1:13" s="102" customFormat="1" ht="21" customHeight="1">
      <c r="A73" s="101">
        <f>A68+1</f>
        <v>11</v>
      </c>
      <c r="B73" s="33" t="s">
        <v>143</v>
      </c>
      <c r="C73" s="96" t="s">
        <v>205</v>
      </c>
      <c r="D73" s="41" t="s">
        <v>94</v>
      </c>
      <c r="E73" s="41"/>
      <c r="F73" s="374">
        <v>156</v>
      </c>
      <c r="G73" s="195"/>
      <c r="H73" s="143"/>
      <c r="I73" s="320"/>
      <c r="J73" s="320"/>
      <c r="K73" s="320"/>
      <c r="L73" s="320"/>
      <c r="M73" s="320"/>
    </row>
    <row r="74" spans="1:256" s="102" customFormat="1" ht="18" customHeight="1">
      <c r="A74" s="101"/>
      <c r="B74" s="33"/>
      <c r="C74" s="79" t="s">
        <v>84</v>
      </c>
      <c r="D74" s="32" t="s">
        <v>139</v>
      </c>
      <c r="E74" s="32">
        <v>1.17</v>
      </c>
      <c r="F74" s="1">
        <f>F73*E74</f>
        <v>182.51999999999998</v>
      </c>
      <c r="G74" s="195"/>
      <c r="H74" s="143"/>
      <c r="I74" s="320"/>
      <c r="J74" s="320">
        <f>I74*F74</f>
        <v>0</v>
      </c>
      <c r="K74" s="320"/>
      <c r="L74" s="320"/>
      <c r="M74" s="320">
        <f>L74+J74+H74</f>
        <v>0</v>
      </c>
      <c r="N74" s="124"/>
      <c r="O74" s="125"/>
      <c r="P74" s="126"/>
      <c r="Q74" s="12"/>
      <c r="R74" s="12"/>
      <c r="S74" s="48"/>
      <c r="T74" s="436"/>
      <c r="U74" s="436"/>
      <c r="V74" s="437"/>
      <c r="W74" s="436"/>
      <c r="X74" s="436"/>
      <c r="Y74" s="436"/>
      <c r="Z74" s="278"/>
      <c r="AA74" s="124"/>
      <c r="AB74" s="125"/>
      <c r="AC74" s="126"/>
      <c r="AD74" s="12"/>
      <c r="AE74" s="12"/>
      <c r="AF74" s="48"/>
      <c r="AG74" s="436"/>
      <c r="AH74" s="436"/>
      <c r="AI74" s="437"/>
      <c r="AJ74" s="436"/>
      <c r="AK74" s="436"/>
      <c r="AL74" s="436"/>
      <c r="AM74" s="278"/>
      <c r="AN74" s="124"/>
      <c r="AO74" s="125"/>
      <c r="AP74" s="126"/>
      <c r="AQ74" s="12"/>
      <c r="AR74" s="12"/>
      <c r="AS74" s="48"/>
      <c r="AT74" s="436"/>
      <c r="AU74" s="436"/>
      <c r="AV74" s="437"/>
      <c r="AW74" s="436"/>
      <c r="AX74" s="436"/>
      <c r="AY74" s="436"/>
      <c r="AZ74" s="278"/>
      <c r="BA74" s="124"/>
      <c r="BB74" s="125"/>
      <c r="BC74" s="126"/>
      <c r="BD74" s="12"/>
      <c r="BE74" s="12"/>
      <c r="BF74" s="48"/>
      <c r="BG74" s="436"/>
      <c r="BH74" s="436"/>
      <c r="BI74" s="437"/>
      <c r="BJ74" s="436"/>
      <c r="BK74" s="436"/>
      <c r="BL74" s="436"/>
      <c r="BM74" s="278"/>
      <c r="BN74" s="124"/>
      <c r="BO74" s="125"/>
      <c r="BP74" s="126"/>
      <c r="BQ74" s="12"/>
      <c r="BR74" s="12"/>
      <c r="BS74" s="48"/>
      <c r="BT74" s="436"/>
      <c r="BU74" s="436"/>
      <c r="BV74" s="437"/>
      <c r="BW74" s="436"/>
      <c r="BX74" s="436"/>
      <c r="BY74" s="436"/>
      <c r="BZ74" s="278"/>
      <c r="CA74" s="124"/>
      <c r="CB74" s="125"/>
      <c r="CC74" s="126"/>
      <c r="CD74" s="12"/>
      <c r="CE74" s="12"/>
      <c r="CF74" s="48"/>
      <c r="CG74" s="436"/>
      <c r="CH74" s="436"/>
      <c r="CI74" s="437"/>
      <c r="CJ74" s="436"/>
      <c r="CK74" s="436"/>
      <c r="CL74" s="436"/>
      <c r="CM74" s="278"/>
      <c r="CN74" s="124"/>
      <c r="CO74" s="125"/>
      <c r="CP74" s="126"/>
      <c r="CQ74" s="12"/>
      <c r="CR74" s="12"/>
      <c r="CS74" s="48"/>
      <c r="CT74" s="436"/>
      <c r="CU74" s="436"/>
      <c r="CV74" s="437"/>
      <c r="CW74" s="436"/>
      <c r="CX74" s="436"/>
      <c r="CY74" s="436"/>
      <c r="CZ74" s="278"/>
      <c r="DA74" s="124"/>
      <c r="DB74" s="125"/>
      <c r="DC74" s="126"/>
      <c r="DD74" s="12"/>
      <c r="DE74" s="12"/>
      <c r="DF74" s="48"/>
      <c r="DG74" s="436"/>
      <c r="DH74" s="436"/>
      <c r="DI74" s="437"/>
      <c r="DJ74" s="436"/>
      <c r="DK74" s="436"/>
      <c r="DL74" s="436"/>
      <c r="DM74" s="278"/>
      <c r="DN74" s="124"/>
      <c r="DO74" s="125"/>
      <c r="DP74" s="126"/>
      <c r="DQ74" s="12"/>
      <c r="DR74" s="12"/>
      <c r="DS74" s="48"/>
      <c r="DT74" s="436"/>
      <c r="DU74" s="436"/>
      <c r="DV74" s="437"/>
      <c r="DW74" s="436"/>
      <c r="DX74" s="436"/>
      <c r="DY74" s="436"/>
      <c r="DZ74" s="278"/>
      <c r="EA74" s="124"/>
      <c r="EB74" s="125"/>
      <c r="EC74" s="126"/>
      <c r="ED74" s="12"/>
      <c r="EE74" s="12"/>
      <c r="EF74" s="48"/>
      <c r="EG74" s="436"/>
      <c r="EH74" s="436"/>
      <c r="EI74" s="437"/>
      <c r="EJ74" s="436"/>
      <c r="EK74" s="436"/>
      <c r="EL74" s="436"/>
      <c r="EM74" s="278"/>
      <c r="EN74" s="124"/>
      <c r="EO74" s="125"/>
      <c r="EP74" s="126"/>
      <c r="EQ74" s="12"/>
      <c r="ER74" s="12"/>
      <c r="ES74" s="48"/>
      <c r="ET74" s="436"/>
      <c r="EU74" s="436"/>
      <c r="EV74" s="437"/>
      <c r="EW74" s="436"/>
      <c r="EX74" s="436"/>
      <c r="EY74" s="436"/>
      <c r="EZ74" s="278"/>
      <c r="FA74" s="124"/>
      <c r="FB74" s="125"/>
      <c r="FC74" s="126"/>
      <c r="FD74" s="12"/>
      <c r="FE74" s="12"/>
      <c r="FF74" s="48"/>
      <c r="FG74" s="436"/>
      <c r="FH74" s="436"/>
      <c r="FI74" s="437"/>
      <c r="FJ74" s="436"/>
      <c r="FK74" s="436"/>
      <c r="FL74" s="436"/>
      <c r="FM74" s="278"/>
      <c r="FN74" s="124"/>
      <c r="FO74" s="125"/>
      <c r="FP74" s="126"/>
      <c r="FQ74" s="12"/>
      <c r="FR74" s="12"/>
      <c r="FS74" s="48"/>
      <c r="FT74" s="436"/>
      <c r="FU74" s="436"/>
      <c r="FV74" s="437"/>
      <c r="FW74" s="436"/>
      <c r="FX74" s="436"/>
      <c r="FY74" s="436"/>
      <c r="FZ74" s="278"/>
      <c r="GA74" s="124"/>
      <c r="GB74" s="125"/>
      <c r="GC74" s="126"/>
      <c r="GD74" s="12"/>
      <c r="GE74" s="12"/>
      <c r="GF74" s="48"/>
      <c r="GG74" s="436"/>
      <c r="GH74" s="436"/>
      <c r="GI74" s="437"/>
      <c r="GJ74" s="436"/>
      <c r="GK74" s="436"/>
      <c r="GL74" s="436"/>
      <c r="GM74" s="278"/>
      <c r="GN74" s="124"/>
      <c r="GO74" s="125"/>
      <c r="GP74" s="126"/>
      <c r="GQ74" s="12"/>
      <c r="GR74" s="12"/>
      <c r="GS74" s="48"/>
      <c r="GT74" s="436"/>
      <c r="GU74" s="436"/>
      <c r="GV74" s="437"/>
      <c r="GW74" s="436"/>
      <c r="GX74" s="436"/>
      <c r="GY74" s="436"/>
      <c r="GZ74" s="278"/>
      <c r="HA74" s="124"/>
      <c r="HB74" s="125"/>
      <c r="HC74" s="126"/>
      <c r="HD74" s="12"/>
      <c r="HE74" s="12"/>
      <c r="HF74" s="48"/>
      <c r="HG74" s="436"/>
      <c r="HH74" s="436"/>
      <c r="HI74" s="437"/>
      <c r="HJ74" s="436"/>
      <c r="HK74" s="436"/>
      <c r="HL74" s="436"/>
      <c r="HM74" s="278"/>
      <c r="HN74" s="124"/>
      <c r="HO74" s="125"/>
      <c r="HP74" s="126"/>
      <c r="HQ74" s="12"/>
      <c r="HR74" s="12"/>
      <c r="HS74" s="48"/>
      <c r="HT74" s="436"/>
      <c r="HU74" s="436"/>
      <c r="HV74" s="437"/>
      <c r="HW74" s="436"/>
      <c r="HX74" s="436"/>
      <c r="HY74" s="436"/>
      <c r="HZ74" s="278"/>
      <c r="IA74" s="124"/>
      <c r="IB74" s="125"/>
      <c r="IC74" s="126"/>
      <c r="ID74" s="12"/>
      <c r="IE74" s="12"/>
      <c r="IF74" s="48"/>
      <c r="IG74" s="436"/>
      <c r="IH74" s="436"/>
      <c r="II74" s="437"/>
      <c r="IJ74" s="436"/>
      <c r="IK74" s="436"/>
      <c r="IL74" s="436"/>
      <c r="IM74" s="278"/>
      <c r="IN74" s="124"/>
      <c r="IO74" s="125"/>
      <c r="IP74" s="126"/>
      <c r="IQ74" s="12"/>
      <c r="IR74" s="12"/>
      <c r="IS74" s="48"/>
      <c r="IT74" s="436"/>
      <c r="IU74" s="436"/>
      <c r="IV74" s="437"/>
    </row>
    <row r="75" spans="1:13" s="102" customFormat="1" ht="18" customHeight="1">
      <c r="A75" s="101"/>
      <c r="B75" s="9"/>
      <c r="C75" s="79" t="s">
        <v>70</v>
      </c>
      <c r="D75" s="32" t="s">
        <v>6</v>
      </c>
      <c r="E75" s="6">
        <v>0.0172</v>
      </c>
      <c r="F75" s="100">
        <f>F73*E75</f>
        <v>2.6832</v>
      </c>
      <c r="G75" s="195"/>
      <c r="H75" s="143"/>
      <c r="I75" s="320"/>
      <c r="J75" s="320"/>
      <c r="K75" s="320"/>
      <c r="L75" s="320">
        <f>F75*K75</f>
        <v>0</v>
      </c>
      <c r="M75" s="320">
        <f>L75+J75+H75</f>
        <v>0</v>
      </c>
    </row>
    <row r="76" spans="1:13" s="102" customFormat="1" ht="18" customHeight="1">
      <c r="A76" s="101"/>
      <c r="B76" s="730"/>
      <c r="C76" s="315" t="s">
        <v>200</v>
      </c>
      <c r="D76" s="32" t="str">
        <f>D73</f>
        <v>grZ.m</v>
      </c>
      <c r="E76" s="32">
        <v>0.938</v>
      </c>
      <c r="F76" s="1">
        <f>E76*F73</f>
        <v>146.328</v>
      </c>
      <c r="G76" s="195"/>
      <c r="H76" s="143">
        <f>F76*G76</f>
        <v>0</v>
      </c>
      <c r="I76" s="320"/>
      <c r="J76" s="320"/>
      <c r="K76" s="320"/>
      <c r="L76" s="320"/>
      <c r="M76" s="320">
        <f>L76+J76+H76</f>
        <v>0</v>
      </c>
    </row>
    <row r="77" spans="1:13" s="102" customFormat="1" ht="18" customHeight="1">
      <c r="A77" s="101"/>
      <c r="B77" s="9"/>
      <c r="C77" s="79" t="s">
        <v>69</v>
      </c>
      <c r="D77" s="32" t="s">
        <v>6</v>
      </c>
      <c r="E77" s="6">
        <v>0.0393</v>
      </c>
      <c r="F77" s="100">
        <f>E77*F73</f>
        <v>6.130800000000001</v>
      </c>
      <c r="G77" s="195"/>
      <c r="H77" s="143">
        <f>G77*F77</f>
        <v>0</v>
      </c>
      <c r="I77" s="320"/>
      <c r="J77" s="320"/>
      <c r="K77" s="320"/>
      <c r="L77" s="320"/>
      <c r="M77" s="320">
        <f>L77+J77+H77</f>
        <v>0</v>
      </c>
    </row>
    <row r="78" spans="1:13" s="102" customFormat="1" ht="21" customHeight="1">
      <c r="A78" s="101">
        <f>A73+1</f>
        <v>12</v>
      </c>
      <c r="B78" s="33" t="s">
        <v>145</v>
      </c>
      <c r="C78" s="96" t="s">
        <v>204</v>
      </c>
      <c r="D78" s="41" t="s">
        <v>94</v>
      </c>
      <c r="E78" s="41"/>
      <c r="F78" s="374">
        <v>112</v>
      </c>
      <c r="G78" s="195"/>
      <c r="H78" s="143"/>
      <c r="I78" s="320"/>
      <c r="J78" s="320"/>
      <c r="K78" s="320"/>
      <c r="L78" s="320"/>
      <c r="M78" s="320"/>
    </row>
    <row r="79" spans="1:256" s="102" customFormat="1" ht="18" customHeight="1">
      <c r="A79" s="101"/>
      <c r="B79" s="33"/>
      <c r="C79" s="79" t="s">
        <v>84</v>
      </c>
      <c r="D79" s="32" t="s">
        <v>139</v>
      </c>
      <c r="E79" s="32">
        <v>1.56</v>
      </c>
      <c r="F79" s="1">
        <f>F78*E79</f>
        <v>174.72</v>
      </c>
      <c r="G79" s="195"/>
      <c r="H79" s="143"/>
      <c r="I79" s="320"/>
      <c r="J79" s="320">
        <f>I79*F79</f>
        <v>0</v>
      </c>
      <c r="K79" s="320"/>
      <c r="L79" s="320"/>
      <c r="M79" s="320">
        <f>L79+J79+H79</f>
        <v>0</v>
      </c>
      <c r="N79" s="124"/>
      <c r="O79" s="125"/>
      <c r="P79" s="126"/>
      <c r="Q79" s="12"/>
      <c r="R79" s="12"/>
      <c r="S79" s="48"/>
      <c r="T79" s="436"/>
      <c r="U79" s="436"/>
      <c r="V79" s="437"/>
      <c r="W79" s="436"/>
      <c r="X79" s="436"/>
      <c r="Y79" s="436"/>
      <c r="Z79" s="278"/>
      <c r="AA79" s="124"/>
      <c r="AB79" s="125"/>
      <c r="AC79" s="126"/>
      <c r="AD79" s="12"/>
      <c r="AE79" s="12"/>
      <c r="AF79" s="48"/>
      <c r="AG79" s="436"/>
      <c r="AH79" s="436"/>
      <c r="AI79" s="437"/>
      <c r="AJ79" s="436"/>
      <c r="AK79" s="436"/>
      <c r="AL79" s="436"/>
      <c r="AM79" s="278"/>
      <c r="AN79" s="124"/>
      <c r="AO79" s="125"/>
      <c r="AP79" s="126"/>
      <c r="AQ79" s="12"/>
      <c r="AR79" s="12"/>
      <c r="AS79" s="48"/>
      <c r="AT79" s="436"/>
      <c r="AU79" s="436"/>
      <c r="AV79" s="437"/>
      <c r="AW79" s="436"/>
      <c r="AX79" s="436"/>
      <c r="AY79" s="436"/>
      <c r="AZ79" s="278"/>
      <c r="BA79" s="124"/>
      <c r="BB79" s="125"/>
      <c r="BC79" s="126"/>
      <c r="BD79" s="12"/>
      <c r="BE79" s="12"/>
      <c r="BF79" s="48"/>
      <c r="BG79" s="436"/>
      <c r="BH79" s="436"/>
      <c r="BI79" s="437"/>
      <c r="BJ79" s="436"/>
      <c r="BK79" s="436"/>
      <c r="BL79" s="436"/>
      <c r="BM79" s="278"/>
      <c r="BN79" s="124"/>
      <c r="BO79" s="125"/>
      <c r="BP79" s="126"/>
      <c r="BQ79" s="12"/>
      <c r="BR79" s="12"/>
      <c r="BS79" s="48"/>
      <c r="BT79" s="436"/>
      <c r="BU79" s="436"/>
      <c r="BV79" s="437"/>
      <c r="BW79" s="436"/>
      <c r="BX79" s="436"/>
      <c r="BY79" s="436"/>
      <c r="BZ79" s="278"/>
      <c r="CA79" s="124"/>
      <c r="CB79" s="125"/>
      <c r="CC79" s="126"/>
      <c r="CD79" s="12"/>
      <c r="CE79" s="12"/>
      <c r="CF79" s="48"/>
      <c r="CG79" s="436"/>
      <c r="CH79" s="436"/>
      <c r="CI79" s="437"/>
      <c r="CJ79" s="436"/>
      <c r="CK79" s="436"/>
      <c r="CL79" s="436"/>
      <c r="CM79" s="278"/>
      <c r="CN79" s="124"/>
      <c r="CO79" s="125"/>
      <c r="CP79" s="126"/>
      <c r="CQ79" s="12"/>
      <c r="CR79" s="12"/>
      <c r="CS79" s="48"/>
      <c r="CT79" s="436"/>
      <c r="CU79" s="436"/>
      <c r="CV79" s="437"/>
      <c r="CW79" s="436"/>
      <c r="CX79" s="436"/>
      <c r="CY79" s="436"/>
      <c r="CZ79" s="278"/>
      <c r="DA79" s="124"/>
      <c r="DB79" s="125"/>
      <c r="DC79" s="126"/>
      <c r="DD79" s="12"/>
      <c r="DE79" s="12"/>
      <c r="DF79" s="48"/>
      <c r="DG79" s="436"/>
      <c r="DH79" s="436"/>
      <c r="DI79" s="437"/>
      <c r="DJ79" s="436"/>
      <c r="DK79" s="436"/>
      <c r="DL79" s="436"/>
      <c r="DM79" s="278"/>
      <c r="DN79" s="124"/>
      <c r="DO79" s="125"/>
      <c r="DP79" s="126"/>
      <c r="DQ79" s="12"/>
      <c r="DR79" s="12"/>
      <c r="DS79" s="48"/>
      <c r="DT79" s="436"/>
      <c r="DU79" s="436"/>
      <c r="DV79" s="437"/>
      <c r="DW79" s="436"/>
      <c r="DX79" s="436"/>
      <c r="DY79" s="436"/>
      <c r="DZ79" s="278"/>
      <c r="EA79" s="124"/>
      <c r="EB79" s="125"/>
      <c r="EC79" s="126"/>
      <c r="ED79" s="12"/>
      <c r="EE79" s="12"/>
      <c r="EF79" s="48"/>
      <c r="EG79" s="436"/>
      <c r="EH79" s="436"/>
      <c r="EI79" s="437"/>
      <c r="EJ79" s="436"/>
      <c r="EK79" s="436"/>
      <c r="EL79" s="436"/>
      <c r="EM79" s="278"/>
      <c r="EN79" s="124"/>
      <c r="EO79" s="125"/>
      <c r="EP79" s="126"/>
      <c r="EQ79" s="12"/>
      <c r="ER79" s="12"/>
      <c r="ES79" s="48"/>
      <c r="ET79" s="436"/>
      <c r="EU79" s="436"/>
      <c r="EV79" s="437"/>
      <c r="EW79" s="436"/>
      <c r="EX79" s="436"/>
      <c r="EY79" s="436"/>
      <c r="EZ79" s="278"/>
      <c r="FA79" s="124"/>
      <c r="FB79" s="125"/>
      <c r="FC79" s="126"/>
      <c r="FD79" s="12"/>
      <c r="FE79" s="12"/>
      <c r="FF79" s="48"/>
      <c r="FG79" s="436"/>
      <c r="FH79" s="436"/>
      <c r="FI79" s="437"/>
      <c r="FJ79" s="436"/>
      <c r="FK79" s="436"/>
      <c r="FL79" s="436"/>
      <c r="FM79" s="278"/>
      <c r="FN79" s="124"/>
      <c r="FO79" s="125"/>
      <c r="FP79" s="126"/>
      <c r="FQ79" s="12"/>
      <c r="FR79" s="12"/>
      <c r="FS79" s="48"/>
      <c r="FT79" s="436"/>
      <c r="FU79" s="436"/>
      <c r="FV79" s="437"/>
      <c r="FW79" s="436"/>
      <c r="FX79" s="436"/>
      <c r="FY79" s="436"/>
      <c r="FZ79" s="278"/>
      <c r="GA79" s="124"/>
      <c r="GB79" s="125"/>
      <c r="GC79" s="126"/>
      <c r="GD79" s="12"/>
      <c r="GE79" s="12"/>
      <c r="GF79" s="48"/>
      <c r="GG79" s="436"/>
      <c r="GH79" s="436"/>
      <c r="GI79" s="437"/>
      <c r="GJ79" s="436"/>
      <c r="GK79" s="436"/>
      <c r="GL79" s="436"/>
      <c r="GM79" s="278"/>
      <c r="GN79" s="124"/>
      <c r="GO79" s="125"/>
      <c r="GP79" s="126"/>
      <c r="GQ79" s="12"/>
      <c r="GR79" s="12"/>
      <c r="GS79" s="48"/>
      <c r="GT79" s="436"/>
      <c r="GU79" s="436"/>
      <c r="GV79" s="437"/>
      <c r="GW79" s="436"/>
      <c r="GX79" s="436"/>
      <c r="GY79" s="436"/>
      <c r="GZ79" s="278"/>
      <c r="HA79" s="124"/>
      <c r="HB79" s="125"/>
      <c r="HC79" s="126"/>
      <c r="HD79" s="12"/>
      <c r="HE79" s="12"/>
      <c r="HF79" s="48"/>
      <c r="HG79" s="436"/>
      <c r="HH79" s="436"/>
      <c r="HI79" s="437"/>
      <c r="HJ79" s="436"/>
      <c r="HK79" s="436"/>
      <c r="HL79" s="436"/>
      <c r="HM79" s="278"/>
      <c r="HN79" s="124"/>
      <c r="HO79" s="125"/>
      <c r="HP79" s="126"/>
      <c r="HQ79" s="12"/>
      <c r="HR79" s="12"/>
      <c r="HS79" s="48"/>
      <c r="HT79" s="436"/>
      <c r="HU79" s="436"/>
      <c r="HV79" s="437"/>
      <c r="HW79" s="436"/>
      <c r="HX79" s="436"/>
      <c r="HY79" s="436"/>
      <c r="HZ79" s="278"/>
      <c r="IA79" s="124"/>
      <c r="IB79" s="125"/>
      <c r="IC79" s="126"/>
      <c r="ID79" s="12"/>
      <c r="IE79" s="12"/>
      <c r="IF79" s="48"/>
      <c r="IG79" s="436"/>
      <c r="IH79" s="436"/>
      <c r="II79" s="437"/>
      <c r="IJ79" s="436"/>
      <c r="IK79" s="436"/>
      <c r="IL79" s="436"/>
      <c r="IM79" s="278"/>
      <c r="IN79" s="124"/>
      <c r="IO79" s="125"/>
      <c r="IP79" s="126"/>
      <c r="IQ79" s="12"/>
      <c r="IR79" s="12"/>
      <c r="IS79" s="48"/>
      <c r="IT79" s="436"/>
      <c r="IU79" s="436"/>
      <c r="IV79" s="437"/>
    </row>
    <row r="80" spans="1:13" s="102" customFormat="1" ht="18" customHeight="1">
      <c r="A80" s="101"/>
      <c r="B80" s="9"/>
      <c r="C80" s="79" t="s">
        <v>70</v>
      </c>
      <c r="D80" s="32" t="s">
        <v>6</v>
      </c>
      <c r="E80" s="6">
        <v>0.0217</v>
      </c>
      <c r="F80" s="100">
        <f>F78*E80</f>
        <v>2.4304</v>
      </c>
      <c r="G80" s="195"/>
      <c r="H80" s="143"/>
      <c r="I80" s="320"/>
      <c r="J80" s="320"/>
      <c r="K80" s="320"/>
      <c r="L80" s="320">
        <f>F80*K80</f>
        <v>0</v>
      </c>
      <c r="M80" s="320">
        <f>L80+J80+H80</f>
        <v>0</v>
      </c>
    </row>
    <row r="81" spans="1:13" s="102" customFormat="1" ht="18" customHeight="1">
      <c r="A81" s="101"/>
      <c r="B81" s="730"/>
      <c r="C81" s="315" t="s">
        <v>199</v>
      </c>
      <c r="D81" s="32" t="str">
        <f>D78</f>
        <v>grZ.m</v>
      </c>
      <c r="E81" s="32">
        <v>0.937</v>
      </c>
      <c r="F81" s="1">
        <f>E81*F78</f>
        <v>104.944</v>
      </c>
      <c r="G81" s="195"/>
      <c r="H81" s="143">
        <f>F81*G81</f>
        <v>0</v>
      </c>
      <c r="I81" s="320"/>
      <c r="J81" s="320"/>
      <c r="K81" s="320"/>
      <c r="L81" s="320"/>
      <c r="M81" s="320">
        <f>L81+J81+H81</f>
        <v>0</v>
      </c>
    </row>
    <row r="82" spans="1:13" s="102" customFormat="1" ht="18" customHeight="1">
      <c r="A82" s="101"/>
      <c r="B82" s="9"/>
      <c r="C82" s="79" t="s">
        <v>69</v>
      </c>
      <c r="D82" s="32" t="s">
        <v>6</v>
      </c>
      <c r="E82" s="6">
        <v>0.0708</v>
      </c>
      <c r="F82" s="100">
        <f>E82*F78</f>
        <v>7.929600000000001</v>
      </c>
      <c r="G82" s="195"/>
      <c r="H82" s="143">
        <f>G82*F82</f>
        <v>0</v>
      </c>
      <c r="I82" s="320"/>
      <c r="J82" s="320"/>
      <c r="K82" s="320"/>
      <c r="L82" s="320"/>
      <c r="M82" s="320">
        <f>L82+J82+H82</f>
        <v>0</v>
      </c>
    </row>
    <row r="83" spans="1:13" s="102" customFormat="1" ht="21" customHeight="1">
      <c r="A83" s="101">
        <f>A78+1</f>
        <v>13</v>
      </c>
      <c r="B83" s="33" t="s">
        <v>144</v>
      </c>
      <c r="C83" s="96" t="s">
        <v>203</v>
      </c>
      <c r="D83" s="41" t="s">
        <v>94</v>
      </c>
      <c r="E83" s="41"/>
      <c r="F83" s="374">
        <v>78</v>
      </c>
      <c r="G83" s="195"/>
      <c r="H83" s="143"/>
      <c r="I83" s="320"/>
      <c r="J83" s="320"/>
      <c r="K83" s="320"/>
      <c r="L83" s="320"/>
      <c r="M83" s="320"/>
    </row>
    <row r="84" spans="1:13" s="102" customFormat="1" ht="18" customHeight="1">
      <c r="A84" s="101"/>
      <c r="B84" s="33"/>
      <c r="C84" s="79" t="s">
        <v>84</v>
      </c>
      <c r="D84" s="32" t="s">
        <v>139</v>
      </c>
      <c r="E84" s="32">
        <v>1.35</v>
      </c>
      <c r="F84" s="1">
        <f>F83*E84</f>
        <v>105.30000000000001</v>
      </c>
      <c r="G84" s="195"/>
      <c r="H84" s="143"/>
      <c r="I84" s="320"/>
      <c r="J84" s="320">
        <f>I84*F84</f>
        <v>0</v>
      </c>
      <c r="K84" s="320"/>
      <c r="L84" s="320"/>
      <c r="M84" s="320">
        <f>L84+J84+H84</f>
        <v>0</v>
      </c>
    </row>
    <row r="85" spans="1:13" s="102" customFormat="1" ht="18" customHeight="1">
      <c r="A85" s="101"/>
      <c r="B85" s="9"/>
      <c r="C85" s="79" t="s">
        <v>70</v>
      </c>
      <c r="D85" s="32" t="s">
        <v>6</v>
      </c>
      <c r="E85" s="6">
        <v>0.0314</v>
      </c>
      <c r="F85" s="100">
        <f>F83*E85</f>
        <v>2.4492</v>
      </c>
      <c r="G85" s="195"/>
      <c r="H85" s="143"/>
      <c r="I85" s="320"/>
      <c r="J85" s="320"/>
      <c r="K85" s="320"/>
      <c r="L85" s="320">
        <f>F85*K85</f>
        <v>0</v>
      </c>
      <c r="M85" s="320">
        <f>L85+J85+H85</f>
        <v>0</v>
      </c>
    </row>
    <row r="86" spans="1:13" s="102" customFormat="1" ht="18" customHeight="1">
      <c r="A86" s="101"/>
      <c r="B86" s="730"/>
      <c r="C86" s="315" t="s">
        <v>198</v>
      </c>
      <c r="D86" s="32" t="str">
        <f>D83</f>
        <v>grZ.m</v>
      </c>
      <c r="E86" s="32">
        <v>0.946</v>
      </c>
      <c r="F86" s="1">
        <f>E86*F83</f>
        <v>73.788</v>
      </c>
      <c r="G86" s="195"/>
      <c r="H86" s="143">
        <f>F86*G86</f>
        <v>0</v>
      </c>
      <c r="I86" s="320"/>
      <c r="J86" s="320"/>
      <c r="K86" s="320"/>
      <c r="L86" s="320"/>
      <c r="M86" s="320">
        <f>L86+J86+H86</f>
        <v>0</v>
      </c>
    </row>
    <row r="87" spans="1:13" s="102" customFormat="1" ht="18" customHeight="1">
      <c r="A87" s="101"/>
      <c r="B87" s="129"/>
      <c r="C87" s="79" t="s">
        <v>69</v>
      </c>
      <c r="D87" s="32" t="s">
        <v>6</v>
      </c>
      <c r="E87" s="6">
        <v>0.0652</v>
      </c>
      <c r="F87" s="100">
        <f>E87*F83</f>
        <v>5.0855999999999995</v>
      </c>
      <c r="G87" s="195"/>
      <c r="H87" s="143">
        <f>G87*F87</f>
        <v>0</v>
      </c>
      <c r="I87" s="320"/>
      <c r="J87" s="320"/>
      <c r="K87" s="320"/>
      <c r="L87" s="320"/>
      <c r="M87" s="320">
        <f>L87+J87+H87</f>
        <v>0</v>
      </c>
    </row>
    <row r="88" spans="1:13" s="102" customFormat="1" ht="21" customHeight="1">
      <c r="A88" s="101">
        <f>A83+1</f>
        <v>14</v>
      </c>
      <c r="B88" s="33" t="s">
        <v>144</v>
      </c>
      <c r="C88" s="96" t="s">
        <v>202</v>
      </c>
      <c r="D88" s="41" t="s">
        <v>94</v>
      </c>
      <c r="E88" s="41"/>
      <c r="F88" s="374">
        <v>64</v>
      </c>
      <c r="G88" s="195"/>
      <c r="H88" s="143"/>
      <c r="I88" s="320"/>
      <c r="J88" s="320"/>
      <c r="K88" s="320"/>
      <c r="L88" s="320"/>
      <c r="M88" s="320"/>
    </row>
    <row r="89" spans="1:13" s="102" customFormat="1" ht="18" customHeight="1">
      <c r="A89" s="101"/>
      <c r="B89" s="33"/>
      <c r="C89" s="79" t="s">
        <v>84</v>
      </c>
      <c r="D89" s="32" t="s">
        <v>139</v>
      </c>
      <c r="E89" s="32">
        <v>1.35</v>
      </c>
      <c r="F89" s="26">
        <f>F88*E89</f>
        <v>86.4</v>
      </c>
      <c r="G89" s="195"/>
      <c r="H89" s="143"/>
      <c r="I89" s="320"/>
      <c r="J89" s="320">
        <f>I89*F89</f>
        <v>0</v>
      </c>
      <c r="K89" s="320"/>
      <c r="L89" s="320"/>
      <c r="M89" s="320">
        <f>L89+J89+H89</f>
        <v>0</v>
      </c>
    </row>
    <row r="90" spans="1:13" s="102" customFormat="1" ht="18" customHeight="1">
      <c r="A90" s="101"/>
      <c r="B90" s="9"/>
      <c r="C90" s="79" t="s">
        <v>70</v>
      </c>
      <c r="D90" s="32" t="s">
        <v>6</v>
      </c>
      <c r="E90" s="6">
        <v>0.0314</v>
      </c>
      <c r="F90" s="100">
        <f>F88*E90</f>
        <v>2.0096</v>
      </c>
      <c r="G90" s="195"/>
      <c r="H90" s="143"/>
      <c r="I90" s="320"/>
      <c r="J90" s="320"/>
      <c r="K90" s="320"/>
      <c r="L90" s="320">
        <f>F90*K90</f>
        <v>0</v>
      </c>
      <c r="M90" s="320">
        <f>L90+J90+H90</f>
        <v>0</v>
      </c>
    </row>
    <row r="91" spans="1:13" s="102" customFormat="1" ht="18" customHeight="1">
      <c r="A91" s="101"/>
      <c r="B91" s="730"/>
      <c r="C91" s="315" t="s">
        <v>197</v>
      </c>
      <c r="D91" s="32" t="str">
        <f>D88</f>
        <v>grZ.m</v>
      </c>
      <c r="E91" s="32">
        <v>0.946</v>
      </c>
      <c r="F91" s="1">
        <f>E91*F88</f>
        <v>60.544</v>
      </c>
      <c r="G91" s="195"/>
      <c r="H91" s="143">
        <f>F91*G91</f>
        <v>0</v>
      </c>
      <c r="I91" s="320"/>
      <c r="J91" s="320"/>
      <c r="K91" s="320"/>
      <c r="L91" s="320"/>
      <c r="M91" s="320">
        <f>L91+J91+H91</f>
        <v>0</v>
      </c>
    </row>
    <row r="92" spans="1:13" s="102" customFormat="1" ht="18" customHeight="1">
      <c r="A92" s="101"/>
      <c r="B92" s="33"/>
      <c r="C92" s="79" t="s">
        <v>69</v>
      </c>
      <c r="D92" s="32" t="s">
        <v>6</v>
      </c>
      <c r="E92" s="32">
        <v>0.0652</v>
      </c>
      <c r="F92" s="1">
        <f>E92*F88</f>
        <v>4.1728</v>
      </c>
      <c r="G92" s="195"/>
      <c r="H92" s="143">
        <f>G92*F92</f>
        <v>0</v>
      </c>
      <c r="I92" s="320"/>
      <c r="J92" s="320"/>
      <c r="K92" s="320"/>
      <c r="L92" s="320"/>
      <c r="M92" s="320">
        <f>L92+J92+H92</f>
        <v>0</v>
      </c>
    </row>
    <row r="93" spans="1:13" s="734" customFormat="1" ht="36" customHeight="1">
      <c r="A93" s="32">
        <f>A88+1</f>
        <v>15</v>
      </c>
      <c r="B93" s="32" t="s">
        <v>46</v>
      </c>
      <c r="C93" s="135" t="s">
        <v>287</v>
      </c>
      <c r="D93" s="16" t="s">
        <v>7</v>
      </c>
      <c r="E93" s="41"/>
      <c r="F93" s="8">
        <f>SUM(F96:F100)</f>
        <v>720</v>
      </c>
      <c r="G93" s="195"/>
      <c r="H93" s="142"/>
      <c r="I93" s="195"/>
      <c r="J93" s="143"/>
      <c r="K93" s="195"/>
      <c r="L93" s="143"/>
      <c r="M93" s="143"/>
    </row>
    <row r="94" spans="1:13" s="738" customFormat="1" ht="18" customHeight="1">
      <c r="A94" s="32"/>
      <c r="B94" s="33"/>
      <c r="C94" s="10" t="s">
        <v>13</v>
      </c>
      <c r="D94" s="6" t="str">
        <f>D93</f>
        <v>grZ.m.</v>
      </c>
      <c r="E94" s="14">
        <v>1</v>
      </c>
      <c r="F94" s="1">
        <f>E94*F93</f>
        <v>720</v>
      </c>
      <c r="G94" s="195"/>
      <c r="H94" s="142"/>
      <c r="I94" s="195"/>
      <c r="J94" s="143">
        <f>I94*F94</f>
        <v>0</v>
      </c>
      <c r="K94" s="195"/>
      <c r="L94" s="143"/>
      <c r="M94" s="143">
        <f aca="true" t="shared" si="4" ref="M94:M100">L94+J94+H94</f>
        <v>0</v>
      </c>
    </row>
    <row r="95" spans="1:13" s="102" customFormat="1" ht="18" customHeight="1">
      <c r="A95" s="90"/>
      <c r="B95" s="9"/>
      <c r="C95" s="79" t="s">
        <v>70</v>
      </c>
      <c r="D95" s="32" t="s">
        <v>6</v>
      </c>
      <c r="E95" s="6">
        <f>0.24</f>
        <v>0.24</v>
      </c>
      <c r="F95" s="100">
        <f>F93*E95</f>
        <v>172.79999999999998</v>
      </c>
      <c r="G95" s="195"/>
      <c r="H95" s="142"/>
      <c r="I95" s="195"/>
      <c r="J95" s="143"/>
      <c r="K95" s="195"/>
      <c r="L95" s="143">
        <f>F95*K95</f>
        <v>0</v>
      </c>
      <c r="M95" s="143">
        <f t="shared" si="4"/>
        <v>0</v>
      </c>
    </row>
    <row r="96" spans="1:15" s="738" customFormat="1" ht="18" customHeight="1">
      <c r="A96" s="32"/>
      <c r="B96" s="33"/>
      <c r="C96" s="135" t="s">
        <v>269</v>
      </c>
      <c r="D96" s="32" t="s">
        <v>7</v>
      </c>
      <c r="E96" s="71">
        <v>1</v>
      </c>
      <c r="F96" s="26">
        <f>F68</f>
        <v>310</v>
      </c>
      <c r="G96" s="195"/>
      <c r="H96" s="142">
        <f>G96*F96</f>
        <v>0</v>
      </c>
      <c r="I96" s="195"/>
      <c r="J96" s="143"/>
      <c r="K96" s="195"/>
      <c r="L96" s="143"/>
      <c r="M96" s="143">
        <f>L96+J96+H96</f>
        <v>0</v>
      </c>
      <c r="O96" s="60"/>
    </row>
    <row r="97" spans="1:15" s="738" customFormat="1" ht="18" customHeight="1">
      <c r="A97" s="32"/>
      <c r="B97" s="33"/>
      <c r="C97" s="135" t="s">
        <v>268</v>
      </c>
      <c r="D97" s="32" t="s">
        <v>7</v>
      </c>
      <c r="E97" s="71">
        <v>1</v>
      </c>
      <c r="F97" s="26">
        <f>F73</f>
        <v>156</v>
      </c>
      <c r="G97" s="195"/>
      <c r="H97" s="142">
        <f>G97*F97</f>
        <v>0</v>
      </c>
      <c r="I97" s="195"/>
      <c r="J97" s="143"/>
      <c r="K97" s="195"/>
      <c r="L97" s="143"/>
      <c r="M97" s="143">
        <f t="shared" si="4"/>
        <v>0</v>
      </c>
      <c r="O97" s="60"/>
    </row>
    <row r="98" spans="1:15" s="738" customFormat="1" ht="18" customHeight="1">
      <c r="A98" s="35"/>
      <c r="B98" s="33"/>
      <c r="C98" s="135" t="s">
        <v>267</v>
      </c>
      <c r="D98" s="32" t="s">
        <v>7</v>
      </c>
      <c r="E98" s="86">
        <v>1</v>
      </c>
      <c r="F98" s="26">
        <f>F78</f>
        <v>112</v>
      </c>
      <c r="G98" s="195"/>
      <c r="H98" s="142">
        <f>G98*F98</f>
        <v>0</v>
      </c>
      <c r="I98" s="195"/>
      <c r="J98" s="143"/>
      <c r="K98" s="195"/>
      <c r="L98" s="143"/>
      <c r="M98" s="143">
        <f t="shared" si="4"/>
        <v>0</v>
      </c>
      <c r="O98" s="60"/>
    </row>
    <row r="99" spans="1:15" s="738" customFormat="1" ht="18" customHeight="1">
      <c r="A99" s="35"/>
      <c r="B99" s="33"/>
      <c r="C99" s="135" t="s">
        <v>288</v>
      </c>
      <c r="D99" s="32" t="s">
        <v>7</v>
      </c>
      <c r="E99" s="86">
        <v>1</v>
      </c>
      <c r="F99" s="26">
        <f>F83</f>
        <v>78</v>
      </c>
      <c r="G99" s="195"/>
      <c r="H99" s="142">
        <f>G99*F99</f>
        <v>0</v>
      </c>
      <c r="I99" s="195"/>
      <c r="J99" s="143"/>
      <c r="K99" s="195"/>
      <c r="L99" s="143"/>
      <c r="M99" s="143">
        <f>L99+J99+H99</f>
        <v>0</v>
      </c>
      <c r="O99" s="60"/>
    </row>
    <row r="100" spans="1:15" s="738" customFormat="1" ht="18" customHeight="1">
      <c r="A100" s="35"/>
      <c r="B100" s="33"/>
      <c r="C100" s="135" t="s">
        <v>289</v>
      </c>
      <c r="D100" s="32" t="s">
        <v>7</v>
      </c>
      <c r="E100" s="86">
        <v>1</v>
      </c>
      <c r="F100" s="26">
        <f>F88</f>
        <v>64</v>
      </c>
      <c r="G100" s="195"/>
      <c r="H100" s="142">
        <f>G100*F100</f>
        <v>0</v>
      </c>
      <c r="I100" s="195"/>
      <c r="J100" s="143"/>
      <c r="K100" s="195"/>
      <c r="L100" s="143"/>
      <c r="M100" s="143">
        <f t="shared" si="4"/>
        <v>0</v>
      </c>
      <c r="O100" s="60"/>
    </row>
    <row r="101" spans="1:13" s="734" customFormat="1" ht="27" customHeight="1">
      <c r="A101" s="32">
        <f>A93+1</f>
        <v>16</v>
      </c>
      <c r="B101" s="33"/>
      <c r="C101" s="42" t="s">
        <v>166</v>
      </c>
      <c r="D101" s="41"/>
      <c r="E101" s="41"/>
      <c r="F101" s="8">
        <f>SUM(F103:F127)</f>
        <v>926</v>
      </c>
      <c r="G101" s="195"/>
      <c r="H101" s="143"/>
      <c r="I101" s="320"/>
      <c r="J101" s="320"/>
      <c r="K101" s="320"/>
      <c r="L101" s="320"/>
      <c r="M101" s="320"/>
    </row>
    <row r="102" spans="1:23" s="316" customFormat="1" ht="17.25" customHeight="1">
      <c r="A102" s="314"/>
      <c r="B102" s="140"/>
      <c r="C102" s="135" t="s">
        <v>598</v>
      </c>
      <c r="D102" s="314" t="s">
        <v>12</v>
      </c>
      <c r="E102" s="314"/>
      <c r="F102" s="2">
        <v>60</v>
      </c>
      <c r="G102" s="320"/>
      <c r="H102" s="143">
        <f aca="true" t="shared" si="5" ref="H102:H127">F102*G102</f>
        <v>0</v>
      </c>
      <c r="I102" s="320"/>
      <c r="J102" s="320"/>
      <c r="K102" s="320"/>
      <c r="L102" s="320"/>
      <c r="M102" s="320">
        <f aca="true" t="shared" si="6" ref="M102:M127">L102+J102+H102</f>
        <v>0</v>
      </c>
      <c r="O102" s="317"/>
      <c r="P102" s="317"/>
      <c r="Q102" s="317"/>
      <c r="R102" s="317"/>
      <c r="S102" s="317"/>
      <c r="T102" s="317"/>
      <c r="U102" s="317"/>
      <c r="V102" s="317"/>
      <c r="W102" s="317"/>
    </row>
    <row r="103" spans="1:23" s="316" customFormat="1" ht="17.25" customHeight="1">
      <c r="A103" s="314"/>
      <c r="B103" s="140"/>
      <c r="C103" s="135" t="s">
        <v>599</v>
      </c>
      <c r="D103" s="314" t="s">
        <v>12</v>
      </c>
      <c r="E103" s="314"/>
      <c r="F103" s="2">
        <v>60</v>
      </c>
      <c r="G103" s="320"/>
      <c r="H103" s="143">
        <f t="shared" si="5"/>
        <v>0</v>
      </c>
      <c r="I103" s="320"/>
      <c r="J103" s="320"/>
      <c r="K103" s="320"/>
      <c r="L103" s="320"/>
      <c r="M103" s="320">
        <f t="shared" si="6"/>
        <v>0</v>
      </c>
      <c r="O103" s="317"/>
      <c r="P103" s="317"/>
      <c r="Q103" s="317"/>
      <c r="R103" s="317"/>
      <c r="S103" s="317"/>
      <c r="T103" s="317"/>
      <c r="U103" s="317"/>
      <c r="V103" s="317"/>
      <c r="W103" s="317"/>
    </row>
    <row r="104" spans="1:23" s="316" customFormat="1" ht="17.25" customHeight="1">
      <c r="A104" s="314"/>
      <c r="B104" s="140"/>
      <c r="C104" s="135" t="s">
        <v>600</v>
      </c>
      <c r="D104" s="314" t="s">
        <v>12</v>
      </c>
      <c r="E104" s="314"/>
      <c r="F104" s="2">
        <v>28</v>
      </c>
      <c r="G104" s="320"/>
      <c r="H104" s="143">
        <f t="shared" si="5"/>
        <v>0</v>
      </c>
      <c r="I104" s="320"/>
      <c r="J104" s="320"/>
      <c r="K104" s="320"/>
      <c r="L104" s="320"/>
      <c r="M104" s="320">
        <f t="shared" si="6"/>
        <v>0</v>
      </c>
      <c r="O104" s="317"/>
      <c r="P104" s="317"/>
      <c r="Q104" s="317"/>
      <c r="R104" s="317"/>
      <c r="S104" s="317"/>
      <c r="T104" s="317"/>
      <c r="U104" s="317"/>
      <c r="V104" s="317"/>
      <c r="W104" s="317"/>
    </row>
    <row r="105" spans="1:23" s="316" customFormat="1" ht="17.25" customHeight="1">
      <c r="A105" s="314"/>
      <c r="B105" s="140"/>
      <c r="C105" s="135" t="s">
        <v>601</v>
      </c>
      <c r="D105" s="314" t="s">
        <v>12</v>
      </c>
      <c r="E105" s="314"/>
      <c r="F105" s="2">
        <v>28</v>
      </c>
      <c r="G105" s="320"/>
      <c r="H105" s="143">
        <f t="shared" si="5"/>
        <v>0</v>
      </c>
      <c r="I105" s="320"/>
      <c r="J105" s="320"/>
      <c r="K105" s="320"/>
      <c r="L105" s="320"/>
      <c r="M105" s="320">
        <f t="shared" si="6"/>
        <v>0</v>
      </c>
      <c r="O105" s="317"/>
      <c r="P105" s="317"/>
      <c r="Q105" s="317"/>
      <c r="R105" s="317"/>
      <c r="S105" s="317"/>
      <c r="T105" s="317"/>
      <c r="U105" s="317"/>
      <c r="V105" s="317"/>
      <c r="W105" s="317"/>
    </row>
    <row r="106" spans="1:23" s="316" customFormat="1" ht="17.25" customHeight="1">
      <c r="A106" s="314"/>
      <c r="B106" s="140"/>
      <c r="C106" s="318" t="s">
        <v>619</v>
      </c>
      <c r="D106" s="314" t="s">
        <v>12</v>
      </c>
      <c r="E106" s="314"/>
      <c r="F106" s="2">
        <v>50</v>
      </c>
      <c r="G106" s="706"/>
      <c r="H106" s="143">
        <f t="shared" si="5"/>
        <v>0</v>
      </c>
      <c r="I106" s="320"/>
      <c r="J106" s="320"/>
      <c r="K106" s="320"/>
      <c r="L106" s="320"/>
      <c r="M106" s="320">
        <f t="shared" si="6"/>
        <v>0</v>
      </c>
      <c r="O106" s="317"/>
      <c r="P106" s="317"/>
      <c r="Q106" s="317"/>
      <c r="R106" s="317"/>
      <c r="S106" s="317"/>
      <c r="T106" s="317"/>
      <c r="U106" s="317"/>
      <c r="V106" s="317"/>
      <c r="W106" s="317"/>
    </row>
    <row r="107" spans="1:23" s="316" customFormat="1" ht="17.25" customHeight="1">
      <c r="A107" s="314"/>
      <c r="B107" s="140"/>
      <c r="C107" s="318" t="s">
        <v>620</v>
      </c>
      <c r="D107" s="314" t="s">
        <v>12</v>
      </c>
      <c r="E107" s="314"/>
      <c r="F107" s="2">
        <v>100</v>
      </c>
      <c r="G107" s="706"/>
      <c r="H107" s="143">
        <f t="shared" si="5"/>
        <v>0</v>
      </c>
      <c r="I107" s="320"/>
      <c r="J107" s="320"/>
      <c r="K107" s="320"/>
      <c r="L107" s="320"/>
      <c r="M107" s="320">
        <f t="shared" si="6"/>
        <v>0</v>
      </c>
      <c r="O107" s="317"/>
      <c r="P107" s="317"/>
      <c r="Q107" s="317"/>
      <c r="R107" s="317"/>
      <c r="S107" s="317"/>
      <c r="T107" s="317"/>
      <c r="U107" s="317"/>
      <c r="V107" s="317"/>
      <c r="W107" s="317"/>
    </row>
    <row r="108" spans="1:23" s="316" customFormat="1" ht="17.25" customHeight="1">
      <c r="A108" s="314"/>
      <c r="B108" s="314"/>
      <c r="C108" s="318" t="s">
        <v>621</v>
      </c>
      <c r="D108" s="314" t="s">
        <v>12</v>
      </c>
      <c r="E108" s="314"/>
      <c r="F108" s="2">
        <v>60</v>
      </c>
      <c r="G108" s="706"/>
      <c r="H108" s="143">
        <f t="shared" si="5"/>
        <v>0</v>
      </c>
      <c r="I108" s="320"/>
      <c r="J108" s="320"/>
      <c r="K108" s="320"/>
      <c r="L108" s="320"/>
      <c r="M108" s="320">
        <f t="shared" si="6"/>
        <v>0</v>
      </c>
      <c r="O108" s="317"/>
      <c r="P108" s="317"/>
      <c r="Q108" s="317"/>
      <c r="R108" s="317"/>
      <c r="S108" s="317"/>
      <c r="T108" s="317"/>
      <c r="U108" s="317"/>
      <c r="V108" s="317"/>
      <c r="W108" s="317"/>
    </row>
    <row r="109" spans="1:23" s="316" customFormat="1" ht="17.25" customHeight="1">
      <c r="A109" s="314"/>
      <c r="B109" s="314"/>
      <c r="C109" s="318" t="s">
        <v>622</v>
      </c>
      <c r="D109" s="314" t="s">
        <v>12</v>
      </c>
      <c r="E109" s="314"/>
      <c r="F109" s="2">
        <v>40</v>
      </c>
      <c r="G109" s="706"/>
      <c r="H109" s="143">
        <f t="shared" si="5"/>
        <v>0</v>
      </c>
      <c r="I109" s="320"/>
      <c r="J109" s="320"/>
      <c r="K109" s="320"/>
      <c r="L109" s="320"/>
      <c r="M109" s="320">
        <f t="shared" si="6"/>
        <v>0</v>
      </c>
      <c r="O109" s="317"/>
      <c r="P109" s="317"/>
      <c r="Q109" s="317"/>
      <c r="R109" s="317"/>
      <c r="S109" s="317"/>
      <c r="T109" s="317"/>
      <c r="U109" s="317"/>
      <c r="V109" s="317"/>
      <c r="W109" s="317"/>
    </row>
    <row r="110" spans="1:23" s="316" customFormat="1" ht="17.25" customHeight="1">
      <c r="A110" s="314"/>
      <c r="B110" s="314"/>
      <c r="C110" s="318" t="s">
        <v>623</v>
      </c>
      <c r="D110" s="314" t="s">
        <v>12</v>
      </c>
      <c r="E110" s="314"/>
      <c r="F110" s="2">
        <v>40</v>
      </c>
      <c r="G110" s="706"/>
      <c r="H110" s="143">
        <f t="shared" si="5"/>
        <v>0</v>
      </c>
      <c r="I110" s="320"/>
      <c r="J110" s="320"/>
      <c r="K110" s="320"/>
      <c r="L110" s="320"/>
      <c r="M110" s="320">
        <f t="shared" si="6"/>
        <v>0</v>
      </c>
      <c r="O110" s="317"/>
      <c r="P110" s="317"/>
      <c r="Q110" s="317"/>
      <c r="R110" s="317"/>
      <c r="S110" s="317"/>
      <c r="T110" s="317"/>
      <c r="U110" s="317"/>
      <c r="V110" s="317"/>
      <c r="W110" s="317"/>
    </row>
    <row r="111" spans="1:23" s="316" customFormat="1" ht="17.25" customHeight="1">
      <c r="A111" s="314"/>
      <c r="B111" s="205"/>
      <c r="C111" s="135" t="s">
        <v>602</v>
      </c>
      <c r="D111" s="314" t="s">
        <v>12</v>
      </c>
      <c r="E111" s="314"/>
      <c r="F111" s="5">
        <v>16</v>
      </c>
      <c r="G111" s="706"/>
      <c r="H111" s="143">
        <f t="shared" si="5"/>
        <v>0</v>
      </c>
      <c r="I111" s="320"/>
      <c r="J111" s="320"/>
      <c r="K111" s="320"/>
      <c r="L111" s="320"/>
      <c r="M111" s="320">
        <f t="shared" si="6"/>
        <v>0</v>
      </c>
      <c r="O111" s="317"/>
      <c r="P111" s="317"/>
      <c r="Q111" s="317"/>
      <c r="R111" s="317"/>
      <c r="S111" s="317"/>
      <c r="T111" s="317"/>
      <c r="U111" s="317"/>
      <c r="V111" s="317"/>
      <c r="W111" s="317"/>
    </row>
    <row r="112" spans="1:23" s="316" customFormat="1" ht="17.25" customHeight="1">
      <c r="A112" s="314"/>
      <c r="B112" s="205"/>
      <c r="C112" s="135" t="s">
        <v>603</v>
      </c>
      <c r="D112" s="314" t="s">
        <v>12</v>
      </c>
      <c r="E112" s="314"/>
      <c r="F112" s="5">
        <v>70</v>
      </c>
      <c r="G112" s="706"/>
      <c r="H112" s="143">
        <f t="shared" si="5"/>
        <v>0</v>
      </c>
      <c r="I112" s="320"/>
      <c r="J112" s="320"/>
      <c r="K112" s="320"/>
      <c r="L112" s="320"/>
      <c r="M112" s="320">
        <f t="shared" si="6"/>
        <v>0</v>
      </c>
      <c r="O112" s="317"/>
      <c r="P112" s="317"/>
      <c r="Q112" s="317"/>
      <c r="R112" s="317"/>
      <c r="S112" s="317"/>
      <c r="T112" s="317"/>
      <c r="U112" s="317"/>
      <c r="V112" s="317"/>
      <c r="W112" s="317"/>
    </row>
    <row r="113" spans="1:23" s="316" customFormat="1" ht="17.25" customHeight="1">
      <c r="A113" s="314"/>
      <c r="B113" s="314"/>
      <c r="C113" s="135" t="s">
        <v>604</v>
      </c>
      <c r="D113" s="314" t="s">
        <v>12</v>
      </c>
      <c r="E113" s="314"/>
      <c r="F113" s="5">
        <v>70</v>
      </c>
      <c r="G113" s="706"/>
      <c r="H113" s="143">
        <f t="shared" si="5"/>
        <v>0</v>
      </c>
      <c r="I113" s="320"/>
      <c r="J113" s="320"/>
      <c r="K113" s="320"/>
      <c r="L113" s="320"/>
      <c r="M113" s="320">
        <f t="shared" si="6"/>
        <v>0</v>
      </c>
      <c r="O113" s="317"/>
      <c r="P113" s="317"/>
      <c r="Q113" s="317"/>
      <c r="R113" s="317"/>
      <c r="S113" s="317"/>
      <c r="T113" s="317"/>
      <c r="U113" s="317"/>
      <c r="V113" s="317"/>
      <c r="W113" s="317"/>
    </row>
    <row r="114" spans="1:23" s="316" customFormat="1" ht="17.25" customHeight="1">
      <c r="A114" s="314"/>
      <c r="B114" s="314"/>
      <c r="C114" s="135" t="s">
        <v>605</v>
      </c>
      <c r="D114" s="314" t="s">
        <v>12</v>
      </c>
      <c r="E114" s="314"/>
      <c r="F114" s="5">
        <v>30</v>
      </c>
      <c r="G114" s="706"/>
      <c r="H114" s="143">
        <f t="shared" si="5"/>
        <v>0</v>
      </c>
      <c r="I114" s="320"/>
      <c r="J114" s="320"/>
      <c r="K114" s="320"/>
      <c r="L114" s="320"/>
      <c r="M114" s="320">
        <f t="shared" si="6"/>
        <v>0</v>
      </c>
      <c r="O114" s="317"/>
      <c r="P114" s="317"/>
      <c r="Q114" s="317"/>
      <c r="R114" s="317"/>
      <c r="S114" s="317"/>
      <c r="T114" s="317"/>
      <c r="U114" s="317"/>
      <c r="V114" s="317"/>
      <c r="W114" s="317"/>
    </row>
    <row r="115" spans="1:23" s="316" customFormat="1" ht="17.25" customHeight="1">
      <c r="A115" s="314"/>
      <c r="B115" s="314"/>
      <c r="C115" s="135" t="s">
        <v>606</v>
      </c>
      <c r="D115" s="314" t="s">
        <v>12</v>
      </c>
      <c r="E115" s="314"/>
      <c r="F115" s="5">
        <v>24</v>
      </c>
      <c r="G115" s="706"/>
      <c r="H115" s="143">
        <f t="shared" si="5"/>
        <v>0</v>
      </c>
      <c r="I115" s="320"/>
      <c r="J115" s="320"/>
      <c r="K115" s="320"/>
      <c r="L115" s="320"/>
      <c r="M115" s="320">
        <f t="shared" si="6"/>
        <v>0</v>
      </c>
      <c r="O115" s="317"/>
      <c r="P115" s="317"/>
      <c r="Q115" s="317"/>
      <c r="R115" s="317"/>
      <c r="S115" s="317"/>
      <c r="T115" s="317"/>
      <c r="U115" s="317"/>
      <c r="V115" s="317"/>
      <c r="W115" s="317"/>
    </row>
    <row r="116" spans="1:23" s="316" customFormat="1" ht="17.25" customHeight="1">
      <c r="A116" s="314"/>
      <c r="B116" s="314"/>
      <c r="C116" s="135" t="s">
        <v>607</v>
      </c>
      <c r="D116" s="314" t="s">
        <v>12</v>
      </c>
      <c r="E116" s="314"/>
      <c r="F116" s="5">
        <v>14</v>
      </c>
      <c r="G116" s="706"/>
      <c r="H116" s="143">
        <f t="shared" si="5"/>
        <v>0</v>
      </c>
      <c r="I116" s="320"/>
      <c r="J116" s="320"/>
      <c r="K116" s="320"/>
      <c r="L116" s="320"/>
      <c r="M116" s="320">
        <f t="shared" si="6"/>
        <v>0</v>
      </c>
      <c r="O116" s="317"/>
      <c r="P116" s="317"/>
      <c r="Q116" s="317"/>
      <c r="R116" s="317"/>
      <c r="S116" s="317"/>
      <c r="T116" s="317"/>
      <c r="U116" s="317"/>
      <c r="V116" s="317"/>
      <c r="W116" s="317"/>
    </row>
    <row r="117" spans="1:23" s="316" customFormat="1" ht="17.25" customHeight="1">
      <c r="A117" s="314"/>
      <c r="B117" s="314"/>
      <c r="C117" s="135" t="s">
        <v>608</v>
      </c>
      <c r="D117" s="314" t="s">
        <v>12</v>
      </c>
      <c r="E117" s="314"/>
      <c r="F117" s="5">
        <v>4</v>
      </c>
      <c r="G117" s="706"/>
      <c r="H117" s="143">
        <f t="shared" si="5"/>
        <v>0</v>
      </c>
      <c r="I117" s="320"/>
      <c r="J117" s="320"/>
      <c r="K117" s="320"/>
      <c r="L117" s="320"/>
      <c r="M117" s="320">
        <f t="shared" si="6"/>
        <v>0</v>
      </c>
      <c r="O117" s="317"/>
      <c r="P117" s="317"/>
      <c r="Q117" s="317"/>
      <c r="R117" s="317"/>
      <c r="S117" s="317"/>
      <c r="T117" s="317"/>
      <c r="U117" s="317"/>
      <c r="V117" s="317"/>
      <c r="W117" s="317"/>
    </row>
    <row r="118" spans="1:23" s="316" customFormat="1" ht="17.25" customHeight="1">
      <c r="A118" s="314"/>
      <c r="B118" s="314"/>
      <c r="C118" s="135" t="s">
        <v>609</v>
      </c>
      <c r="D118" s="314" t="s">
        <v>12</v>
      </c>
      <c r="E118" s="314"/>
      <c r="F118" s="5">
        <v>20</v>
      </c>
      <c r="G118" s="706"/>
      <c r="H118" s="143">
        <f t="shared" si="5"/>
        <v>0</v>
      </c>
      <c r="I118" s="320"/>
      <c r="J118" s="320"/>
      <c r="K118" s="320"/>
      <c r="L118" s="320"/>
      <c r="M118" s="320">
        <f t="shared" si="6"/>
        <v>0</v>
      </c>
      <c r="O118" s="317"/>
      <c r="P118" s="317"/>
      <c r="Q118" s="317"/>
      <c r="R118" s="317"/>
      <c r="S118" s="317"/>
      <c r="T118" s="317"/>
      <c r="U118" s="317"/>
      <c r="V118" s="317"/>
      <c r="W118" s="317"/>
    </row>
    <row r="119" spans="1:23" s="316" customFormat="1" ht="17.25" customHeight="1">
      <c r="A119" s="314"/>
      <c r="B119" s="314"/>
      <c r="C119" s="135" t="s">
        <v>610</v>
      </c>
      <c r="D119" s="314" t="s">
        <v>12</v>
      </c>
      <c r="E119" s="314"/>
      <c r="F119" s="5">
        <v>50</v>
      </c>
      <c r="G119" s="320"/>
      <c r="H119" s="143">
        <f t="shared" si="5"/>
        <v>0</v>
      </c>
      <c r="I119" s="320"/>
      <c r="J119" s="320"/>
      <c r="K119" s="320"/>
      <c r="L119" s="320"/>
      <c r="M119" s="320">
        <f t="shared" si="6"/>
        <v>0</v>
      </c>
      <c r="O119" s="317"/>
      <c r="P119" s="317"/>
      <c r="Q119" s="317"/>
      <c r="R119" s="317"/>
      <c r="S119" s="317"/>
      <c r="T119" s="317"/>
      <c r="U119" s="317"/>
      <c r="V119" s="317"/>
      <c r="W119" s="317"/>
    </row>
    <row r="120" spans="1:23" s="316" customFormat="1" ht="17.25" customHeight="1">
      <c r="A120" s="314"/>
      <c r="B120" s="314"/>
      <c r="C120" s="135" t="s">
        <v>611</v>
      </c>
      <c r="D120" s="314" t="s">
        <v>12</v>
      </c>
      <c r="E120" s="314"/>
      <c r="F120" s="5">
        <v>30</v>
      </c>
      <c r="G120" s="320"/>
      <c r="H120" s="143">
        <f t="shared" si="5"/>
        <v>0</v>
      </c>
      <c r="I120" s="320"/>
      <c r="J120" s="320"/>
      <c r="K120" s="320"/>
      <c r="L120" s="320"/>
      <c r="M120" s="320">
        <f t="shared" si="6"/>
        <v>0</v>
      </c>
      <c r="O120" s="317"/>
      <c r="P120" s="317"/>
      <c r="Q120" s="317"/>
      <c r="R120" s="317"/>
      <c r="S120" s="317"/>
      <c r="T120" s="317"/>
      <c r="U120" s="317"/>
      <c r="V120" s="317"/>
      <c r="W120" s="317"/>
    </row>
    <row r="121" spans="1:23" s="316" customFormat="1" ht="17.25" customHeight="1">
      <c r="A121" s="314"/>
      <c r="B121" s="314"/>
      <c r="C121" s="135" t="s">
        <v>612</v>
      </c>
      <c r="D121" s="314" t="s">
        <v>12</v>
      </c>
      <c r="E121" s="314"/>
      <c r="F121" s="5">
        <v>10</v>
      </c>
      <c r="G121" s="320"/>
      <c r="H121" s="143">
        <f t="shared" si="5"/>
        <v>0</v>
      </c>
      <c r="I121" s="320"/>
      <c r="J121" s="320"/>
      <c r="K121" s="320"/>
      <c r="L121" s="320"/>
      <c r="M121" s="320">
        <f t="shared" si="6"/>
        <v>0</v>
      </c>
      <c r="O121" s="317"/>
      <c r="P121" s="317"/>
      <c r="Q121" s="317"/>
      <c r="R121" s="317"/>
      <c r="S121" s="317"/>
      <c r="T121" s="317"/>
      <c r="U121" s="317"/>
      <c r="V121" s="317"/>
      <c r="W121" s="317"/>
    </row>
    <row r="122" spans="1:23" s="316" customFormat="1" ht="17.25" customHeight="1">
      <c r="A122" s="314"/>
      <c r="B122" s="314"/>
      <c r="C122" s="135" t="s">
        <v>613</v>
      </c>
      <c r="D122" s="314" t="s">
        <v>12</v>
      </c>
      <c r="E122" s="314"/>
      <c r="F122" s="5">
        <v>20</v>
      </c>
      <c r="G122" s="320"/>
      <c r="H122" s="143">
        <f t="shared" si="5"/>
        <v>0</v>
      </c>
      <c r="I122" s="320"/>
      <c r="J122" s="320"/>
      <c r="K122" s="320"/>
      <c r="L122" s="320"/>
      <c r="M122" s="320">
        <f t="shared" si="6"/>
        <v>0</v>
      </c>
      <c r="O122" s="317"/>
      <c r="P122" s="317"/>
      <c r="Q122" s="317"/>
      <c r="R122" s="317"/>
      <c r="S122" s="317"/>
      <c r="T122" s="317"/>
      <c r="U122" s="317"/>
      <c r="V122" s="317"/>
      <c r="W122" s="317"/>
    </row>
    <row r="123" spans="1:23" s="316" customFormat="1" ht="17.25" customHeight="1">
      <c r="A123" s="314"/>
      <c r="B123" s="314"/>
      <c r="C123" s="135" t="s">
        <v>614</v>
      </c>
      <c r="D123" s="314" t="s">
        <v>12</v>
      </c>
      <c r="E123" s="314"/>
      <c r="F123" s="5">
        <v>90</v>
      </c>
      <c r="G123" s="320"/>
      <c r="H123" s="143">
        <f t="shared" si="5"/>
        <v>0</v>
      </c>
      <c r="I123" s="320"/>
      <c r="J123" s="320"/>
      <c r="K123" s="320"/>
      <c r="L123" s="320"/>
      <c r="M123" s="320">
        <f t="shared" si="6"/>
        <v>0</v>
      </c>
      <c r="O123" s="317"/>
      <c r="P123" s="317"/>
      <c r="Q123" s="317"/>
      <c r="R123" s="317"/>
      <c r="S123" s="317"/>
      <c r="T123" s="317"/>
      <c r="U123" s="317"/>
      <c r="V123" s="317"/>
      <c r="W123" s="317"/>
    </row>
    <row r="124" spans="1:23" s="316" customFormat="1" ht="18" customHeight="1">
      <c r="A124" s="314"/>
      <c r="B124" s="314"/>
      <c r="C124" s="135" t="s">
        <v>615</v>
      </c>
      <c r="D124" s="314" t="s">
        <v>12</v>
      </c>
      <c r="E124" s="314"/>
      <c r="F124" s="5">
        <v>18</v>
      </c>
      <c r="G124" s="320"/>
      <c r="H124" s="143">
        <f t="shared" si="5"/>
        <v>0</v>
      </c>
      <c r="I124" s="320"/>
      <c r="J124" s="320"/>
      <c r="K124" s="320"/>
      <c r="L124" s="320"/>
      <c r="M124" s="320">
        <f t="shared" si="6"/>
        <v>0</v>
      </c>
      <c r="O124" s="317"/>
      <c r="P124" s="317"/>
      <c r="Q124" s="317"/>
      <c r="R124" s="317"/>
      <c r="S124" s="317"/>
      <c r="T124" s="317"/>
      <c r="U124" s="317"/>
      <c r="V124" s="317"/>
      <c r="W124" s="317"/>
    </row>
    <row r="125" spans="1:23" s="316" customFormat="1" ht="17.25" customHeight="1">
      <c r="A125" s="314"/>
      <c r="B125" s="314"/>
      <c r="C125" s="135" t="s">
        <v>616</v>
      </c>
      <c r="D125" s="314" t="s">
        <v>12</v>
      </c>
      <c r="E125" s="314"/>
      <c r="F125" s="5">
        <v>12</v>
      </c>
      <c r="G125" s="320"/>
      <c r="H125" s="143">
        <f t="shared" si="5"/>
        <v>0</v>
      </c>
      <c r="I125" s="320"/>
      <c r="J125" s="320"/>
      <c r="K125" s="320"/>
      <c r="L125" s="320"/>
      <c r="M125" s="320">
        <f t="shared" si="6"/>
        <v>0</v>
      </c>
      <c r="O125" s="317"/>
      <c r="P125" s="317"/>
      <c r="Q125" s="317"/>
      <c r="R125" s="317"/>
      <c r="S125" s="317"/>
      <c r="T125" s="317"/>
      <c r="U125" s="317"/>
      <c r="V125" s="317"/>
      <c r="W125" s="317"/>
    </row>
    <row r="126" spans="1:23" s="316" customFormat="1" ht="17.25" customHeight="1">
      <c r="A126" s="314"/>
      <c r="B126" s="314"/>
      <c r="C126" s="135" t="s">
        <v>617</v>
      </c>
      <c r="D126" s="314" t="s">
        <v>12</v>
      </c>
      <c r="E126" s="314"/>
      <c r="F126" s="5">
        <v>30</v>
      </c>
      <c r="G126" s="320"/>
      <c r="H126" s="143">
        <f t="shared" si="5"/>
        <v>0</v>
      </c>
      <c r="I126" s="320"/>
      <c r="J126" s="320"/>
      <c r="K126" s="320"/>
      <c r="L126" s="320"/>
      <c r="M126" s="320">
        <f t="shared" si="6"/>
        <v>0</v>
      </c>
      <c r="O126" s="317"/>
      <c r="P126" s="317"/>
      <c r="Q126" s="317"/>
      <c r="R126" s="317"/>
      <c r="S126" s="317"/>
      <c r="T126" s="317"/>
      <c r="U126" s="317"/>
      <c r="V126" s="317"/>
      <c r="W126" s="317"/>
    </row>
    <row r="127" spans="1:23" s="316" customFormat="1" ht="17.25" customHeight="1">
      <c r="A127" s="314"/>
      <c r="B127" s="314"/>
      <c r="C127" s="135" t="s">
        <v>618</v>
      </c>
      <c r="D127" s="314" t="s">
        <v>12</v>
      </c>
      <c r="E127" s="314"/>
      <c r="F127" s="5">
        <v>12</v>
      </c>
      <c r="G127" s="320"/>
      <c r="H127" s="143">
        <f t="shared" si="5"/>
        <v>0</v>
      </c>
      <c r="I127" s="320"/>
      <c r="J127" s="320"/>
      <c r="K127" s="320"/>
      <c r="L127" s="320"/>
      <c r="M127" s="320">
        <f t="shared" si="6"/>
        <v>0</v>
      </c>
      <c r="O127" s="317"/>
      <c r="P127" s="317"/>
      <c r="Q127" s="317"/>
      <c r="R127" s="317"/>
      <c r="S127" s="317"/>
      <c r="T127" s="317"/>
      <c r="U127" s="317"/>
      <c r="V127" s="317"/>
      <c r="W127" s="317"/>
    </row>
    <row r="128" spans="1:23" s="316" customFormat="1" ht="18" customHeight="1">
      <c r="A128" s="641"/>
      <c r="B128" s="641"/>
      <c r="C128" s="642" t="s">
        <v>290</v>
      </c>
      <c r="D128" s="649"/>
      <c r="E128" s="649"/>
      <c r="F128" s="650"/>
      <c r="G128" s="650"/>
      <c r="H128" s="143"/>
      <c r="I128" s="320"/>
      <c r="J128" s="320"/>
      <c r="K128" s="320"/>
      <c r="L128" s="320"/>
      <c r="M128" s="320"/>
      <c r="N128" s="317"/>
      <c r="O128" s="317"/>
      <c r="P128" s="317"/>
      <c r="Q128" s="317"/>
      <c r="R128" s="317"/>
      <c r="S128" s="317"/>
      <c r="T128" s="317"/>
      <c r="U128" s="317"/>
      <c r="V128" s="317"/>
      <c r="W128" s="317"/>
    </row>
    <row r="129" spans="1:23" s="372" customFormat="1" ht="39" customHeight="1">
      <c r="A129" s="32">
        <f>A101+1</f>
        <v>17</v>
      </c>
      <c r="B129" s="32" t="s">
        <v>630</v>
      </c>
      <c r="C129" s="42" t="s">
        <v>436</v>
      </c>
      <c r="D129" s="41"/>
      <c r="E129" s="72"/>
      <c r="F129" s="24">
        <f>SUM(F132:F133)</f>
        <v>4</v>
      </c>
      <c r="G129" s="24"/>
      <c r="H129" s="143"/>
      <c r="I129" s="320"/>
      <c r="J129" s="320"/>
      <c r="K129" s="320"/>
      <c r="L129" s="320"/>
      <c r="M129" s="320"/>
      <c r="O129" s="56"/>
      <c r="P129" s="734"/>
      <c r="Q129" s="734"/>
      <c r="R129" s="734"/>
      <c r="S129" s="734"/>
      <c r="T129" s="734"/>
      <c r="U129" s="734"/>
      <c r="V129" s="734"/>
      <c r="W129" s="734"/>
    </row>
    <row r="130" spans="1:23" s="29" customFormat="1" ht="18" customHeight="1">
      <c r="A130" s="32"/>
      <c r="B130" s="33"/>
      <c r="C130" s="10" t="s">
        <v>13</v>
      </c>
      <c r="D130" s="6" t="s">
        <v>6</v>
      </c>
      <c r="E130" s="11">
        <v>3.8</v>
      </c>
      <c r="F130" s="2">
        <f>E130*F129</f>
        <v>15.2</v>
      </c>
      <c r="G130" s="1"/>
      <c r="H130" s="143"/>
      <c r="I130" s="320"/>
      <c r="J130" s="320">
        <f>I130*F130</f>
        <v>0</v>
      </c>
      <c r="K130" s="320"/>
      <c r="L130" s="320"/>
      <c r="M130" s="320">
        <f>H130+J130+L130</f>
        <v>0</v>
      </c>
      <c r="O130" s="57"/>
      <c r="P130" s="12"/>
      <c r="Q130" s="12"/>
      <c r="R130" s="12"/>
      <c r="S130" s="12"/>
      <c r="T130" s="12"/>
      <c r="U130" s="12"/>
      <c r="V130" s="12"/>
      <c r="W130" s="12"/>
    </row>
    <row r="131" spans="1:23" s="29" customFormat="1" ht="18" customHeight="1">
      <c r="A131" s="32"/>
      <c r="B131" s="33"/>
      <c r="C131" s="10" t="s">
        <v>70</v>
      </c>
      <c r="D131" s="6" t="s">
        <v>6</v>
      </c>
      <c r="E131" s="11">
        <v>0.08</v>
      </c>
      <c r="F131" s="2">
        <f>E131*F129</f>
        <v>0.32</v>
      </c>
      <c r="G131" s="1"/>
      <c r="H131" s="143"/>
      <c r="I131" s="320"/>
      <c r="J131" s="320"/>
      <c r="K131" s="320"/>
      <c r="L131" s="320">
        <f>K131*F131</f>
        <v>0</v>
      </c>
      <c r="M131" s="320">
        <f>H131+J131+L131</f>
        <v>0</v>
      </c>
      <c r="O131" s="57"/>
      <c r="P131" s="12"/>
      <c r="Q131" s="12"/>
      <c r="R131" s="12"/>
      <c r="S131" s="12"/>
      <c r="T131" s="12"/>
      <c r="U131" s="12"/>
      <c r="V131" s="12"/>
      <c r="W131" s="12"/>
    </row>
    <row r="132" spans="1:23" s="27" customFormat="1" ht="31.5">
      <c r="A132" s="6"/>
      <c r="B132" s="727"/>
      <c r="C132" s="79" t="s">
        <v>435</v>
      </c>
      <c r="D132" s="6" t="s">
        <v>12</v>
      </c>
      <c r="E132" s="71">
        <v>1</v>
      </c>
      <c r="F132" s="2">
        <v>1</v>
      </c>
      <c r="G132" s="1"/>
      <c r="H132" s="143">
        <f>G132*F132</f>
        <v>0</v>
      </c>
      <c r="I132" s="320"/>
      <c r="J132" s="320"/>
      <c r="K132" s="320"/>
      <c r="L132" s="320"/>
      <c r="M132" s="320">
        <f>H132+J132+L132</f>
        <v>0</v>
      </c>
      <c r="O132" s="738"/>
      <c r="P132" s="738"/>
      <c r="Q132" s="738"/>
      <c r="R132" s="738"/>
      <c r="S132" s="738"/>
      <c r="T132" s="738"/>
      <c r="U132" s="738"/>
      <c r="V132" s="738"/>
      <c r="W132" s="738"/>
    </row>
    <row r="133" spans="1:23" s="27" customFormat="1" ht="15.75">
      <c r="A133" s="6"/>
      <c r="B133" s="727"/>
      <c r="C133" s="79" t="s">
        <v>372</v>
      </c>
      <c r="D133" s="6" t="s">
        <v>12</v>
      </c>
      <c r="E133" s="71">
        <v>1</v>
      </c>
      <c r="F133" s="2">
        <v>3</v>
      </c>
      <c r="G133" s="1"/>
      <c r="H133" s="143">
        <f>G133*F133</f>
        <v>0</v>
      </c>
      <c r="I133" s="320"/>
      <c r="J133" s="320"/>
      <c r="K133" s="320"/>
      <c r="L133" s="320"/>
      <c r="M133" s="320">
        <f>H133+J133+L133</f>
        <v>0</v>
      </c>
      <c r="O133" s="738"/>
      <c r="P133" s="738"/>
      <c r="Q133" s="738"/>
      <c r="R133" s="738"/>
      <c r="S133" s="738"/>
      <c r="T133" s="738"/>
      <c r="U133" s="738"/>
      <c r="V133" s="738"/>
      <c r="W133" s="738"/>
    </row>
    <row r="134" spans="1:23" s="29" customFormat="1" ht="18" customHeight="1">
      <c r="A134" s="32"/>
      <c r="B134" s="33"/>
      <c r="C134" s="10" t="s">
        <v>69</v>
      </c>
      <c r="D134" s="6" t="s">
        <v>6</v>
      </c>
      <c r="E134" s="11">
        <v>0.66</v>
      </c>
      <c r="F134" s="2">
        <f>E134*F129</f>
        <v>2.64</v>
      </c>
      <c r="G134" s="1"/>
      <c r="H134" s="143">
        <f>G134*F134</f>
        <v>0</v>
      </c>
      <c r="I134" s="320"/>
      <c r="J134" s="320"/>
      <c r="K134" s="320"/>
      <c r="L134" s="320"/>
      <c r="M134" s="320">
        <f>H134+J134+L134</f>
        <v>0</v>
      </c>
      <c r="O134" s="57"/>
      <c r="P134" s="12"/>
      <c r="Q134" s="12"/>
      <c r="R134" s="12"/>
      <c r="S134" s="12"/>
      <c r="T134" s="12"/>
      <c r="U134" s="12"/>
      <c r="V134" s="12"/>
      <c r="W134" s="12"/>
    </row>
    <row r="135" spans="1:23" s="372" customFormat="1" ht="21" customHeight="1">
      <c r="A135" s="32">
        <f>A129+1</f>
        <v>18</v>
      </c>
      <c r="B135" s="32" t="s">
        <v>82</v>
      </c>
      <c r="C135" s="42" t="s">
        <v>373</v>
      </c>
      <c r="D135" s="41"/>
      <c r="E135" s="72"/>
      <c r="F135" s="24">
        <f>SUM(F138:F138)</f>
        <v>4</v>
      </c>
      <c r="G135" s="24"/>
      <c r="H135" s="143"/>
      <c r="I135" s="320"/>
      <c r="J135" s="320"/>
      <c r="K135" s="320"/>
      <c r="L135" s="320"/>
      <c r="M135" s="320"/>
      <c r="N135" s="432"/>
      <c r="O135" s="56"/>
      <c r="P135" s="734"/>
      <c r="Q135" s="734"/>
      <c r="R135" s="734"/>
      <c r="S135" s="734"/>
      <c r="T135" s="734"/>
      <c r="U135" s="734"/>
      <c r="V135" s="734"/>
      <c r="W135" s="734"/>
    </row>
    <row r="136" spans="1:23" s="29" customFormat="1" ht="18" customHeight="1">
      <c r="A136" s="32"/>
      <c r="B136" s="33"/>
      <c r="C136" s="79" t="s">
        <v>13</v>
      </c>
      <c r="D136" s="6" t="s">
        <v>139</v>
      </c>
      <c r="E136" s="11">
        <v>1.34</v>
      </c>
      <c r="F136" s="2">
        <f>E136*F135</f>
        <v>5.36</v>
      </c>
      <c r="G136" s="1"/>
      <c r="H136" s="143"/>
      <c r="I136" s="320"/>
      <c r="J136" s="320">
        <f>I136*F136</f>
        <v>0</v>
      </c>
      <c r="K136" s="320"/>
      <c r="L136" s="320"/>
      <c r="M136" s="320">
        <f>H136+J136+L136</f>
        <v>0</v>
      </c>
      <c r="N136" s="433"/>
      <c r="O136" s="57"/>
      <c r="P136" s="12"/>
      <c r="Q136" s="12"/>
      <c r="R136" s="12"/>
      <c r="S136" s="12"/>
      <c r="T136" s="12"/>
      <c r="U136" s="12"/>
      <c r="V136" s="12"/>
      <c r="W136" s="12"/>
    </row>
    <row r="137" spans="1:23" s="29" customFormat="1" ht="18" customHeight="1">
      <c r="A137" s="32"/>
      <c r="B137" s="33"/>
      <c r="C137" s="79" t="s">
        <v>70</v>
      </c>
      <c r="D137" s="6" t="s">
        <v>6</v>
      </c>
      <c r="E137" s="11">
        <v>0.05</v>
      </c>
      <c r="F137" s="2">
        <f>E137*F135</f>
        <v>0.2</v>
      </c>
      <c r="G137" s="1"/>
      <c r="H137" s="143"/>
      <c r="I137" s="320"/>
      <c r="J137" s="320"/>
      <c r="K137" s="320"/>
      <c r="L137" s="320">
        <f>K137*F137</f>
        <v>0</v>
      </c>
      <c r="M137" s="320">
        <f>H137+J137+L137</f>
        <v>0</v>
      </c>
      <c r="N137" s="433"/>
      <c r="O137" s="57"/>
      <c r="P137" s="12"/>
      <c r="Q137" s="12"/>
      <c r="R137" s="12"/>
      <c r="S137" s="12"/>
      <c r="T137" s="12"/>
      <c r="U137" s="12"/>
      <c r="V137" s="12"/>
      <c r="W137" s="12"/>
    </row>
    <row r="138" spans="1:23" s="434" customFormat="1" ht="20.25" customHeight="1">
      <c r="A138" s="314"/>
      <c r="B138" s="314"/>
      <c r="C138" s="79" t="s">
        <v>374</v>
      </c>
      <c r="D138" s="314" t="s">
        <v>12</v>
      </c>
      <c r="E138" s="71">
        <v>1</v>
      </c>
      <c r="F138" s="2">
        <v>4</v>
      </c>
      <c r="G138" s="320"/>
      <c r="H138" s="143">
        <f>F138*G138</f>
        <v>0</v>
      </c>
      <c r="I138" s="320"/>
      <c r="J138" s="320"/>
      <c r="K138" s="320"/>
      <c r="L138" s="320"/>
      <c r="M138" s="320">
        <f>L138+J138+H138</f>
        <v>0</v>
      </c>
      <c r="O138" s="435"/>
      <c r="P138" s="435"/>
      <c r="Q138" s="435"/>
      <c r="R138" s="435"/>
      <c r="S138" s="435"/>
      <c r="T138" s="435"/>
      <c r="U138" s="435"/>
      <c r="V138" s="435"/>
      <c r="W138" s="435"/>
    </row>
    <row r="139" spans="1:23" s="434" customFormat="1" ht="20.25" customHeight="1">
      <c r="A139" s="314"/>
      <c r="B139" s="314"/>
      <c r="C139" s="79" t="s">
        <v>101</v>
      </c>
      <c r="D139" s="314" t="s">
        <v>12</v>
      </c>
      <c r="E139" s="71">
        <v>1</v>
      </c>
      <c r="F139" s="2">
        <v>1</v>
      </c>
      <c r="G139" s="322"/>
      <c r="H139" s="143">
        <f>F139*G139</f>
        <v>0</v>
      </c>
      <c r="I139" s="320"/>
      <c r="J139" s="320"/>
      <c r="K139" s="320"/>
      <c r="L139" s="320"/>
      <c r="M139" s="320">
        <f>L139+J139+H139</f>
        <v>0</v>
      </c>
      <c r="O139" s="435"/>
      <c r="P139" s="435"/>
      <c r="Q139" s="435"/>
      <c r="R139" s="435"/>
      <c r="S139" s="435"/>
      <c r="T139" s="435"/>
      <c r="U139" s="435"/>
      <c r="V139" s="435"/>
      <c r="W139" s="435"/>
    </row>
    <row r="140" spans="1:15" s="734" customFormat="1" ht="21" customHeight="1">
      <c r="A140" s="32">
        <f>A135+1</f>
        <v>19</v>
      </c>
      <c r="B140" s="32" t="s">
        <v>82</v>
      </c>
      <c r="C140" s="42" t="s">
        <v>100</v>
      </c>
      <c r="D140" s="73" t="s">
        <v>12</v>
      </c>
      <c r="E140" s="72"/>
      <c r="F140" s="24">
        <f>SUM(F143:F145)</f>
        <v>6</v>
      </c>
      <c r="G140" s="195"/>
      <c r="H140" s="143"/>
      <c r="I140" s="320"/>
      <c r="J140" s="320"/>
      <c r="K140" s="320"/>
      <c r="L140" s="320"/>
      <c r="M140" s="320"/>
      <c r="O140" s="56"/>
    </row>
    <row r="141" spans="1:15" s="12" customFormat="1" ht="18" customHeight="1">
      <c r="A141" s="32"/>
      <c r="B141" s="33"/>
      <c r="C141" s="10" t="s">
        <v>13</v>
      </c>
      <c r="D141" s="6" t="s">
        <v>139</v>
      </c>
      <c r="E141" s="11">
        <v>1.34</v>
      </c>
      <c r="F141" s="2">
        <f>E141*F140</f>
        <v>8.040000000000001</v>
      </c>
      <c r="G141" s="195"/>
      <c r="H141" s="143"/>
      <c r="I141" s="320"/>
      <c r="J141" s="320">
        <f>I141*F141</f>
        <v>0</v>
      </c>
      <c r="K141" s="320"/>
      <c r="L141" s="320"/>
      <c r="M141" s="320">
        <f>H141+J141+L141</f>
        <v>0</v>
      </c>
      <c r="O141" s="57"/>
    </row>
    <row r="142" spans="1:15" s="12" customFormat="1" ht="18" customHeight="1">
      <c r="A142" s="32"/>
      <c r="B142" s="33"/>
      <c r="C142" s="10" t="s">
        <v>70</v>
      </c>
      <c r="D142" s="6" t="s">
        <v>6</v>
      </c>
      <c r="E142" s="11">
        <v>0.05</v>
      </c>
      <c r="F142" s="2">
        <f>E142*F140</f>
        <v>0.30000000000000004</v>
      </c>
      <c r="G142" s="195"/>
      <c r="H142" s="143"/>
      <c r="I142" s="320"/>
      <c r="J142" s="320"/>
      <c r="K142" s="320"/>
      <c r="L142" s="320">
        <f>K142*F142</f>
        <v>0</v>
      </c>
      <c r="M142" s="320">
        <f>H142+J142+L142</f>
        <v>0</v>
      </c>
      <c r="O142" s="57"/>
    </row>
    <row r="143" spans="1:13" s="279" customFormat="1" ht="18" customHeight="1">
      <c r="A143" s="134"/>
      <c r="B143" s="134"/>
      <c r="C143" s="79" t="s">
        <v>370</v>
      </c>
      <c r="D143" s="134" t="s">
        <v>12</v>
      </c>
      <c r="E143" s="71"/>
      <c r="F143" s="448">
        <v>2</v>
      </c>
      <c r="G143" s="195"/>
      <c r="H143" s="143">
        <f>F143*G143</f>
        <v>0</v>
      </c>
      <c r="I143" s="320"/>
      <c r="J143" s="320"/>
      <c r="K143" s="320"/>
      <c r="L143" s="320"/>
      <c r="M143" s="320">
        <f>L143+J143+H143</f>
        <v>0</v>
      </c>
    </row>
    <row r="144" spans="1:13" s="279" customFormat="1" ht="18" customHeight="1">
      <c r="A144" s="134"/>
      <c r="B144" s="134"/>
      <c r="C144" s="79" t="s">
        <v>493</v>
      </c>
      <c r="D144" s="134" t="s">
        <v>12</v>
      </c>
      <c r="E144" s="71"/>
      <c r="F144" s="448">
        <v>3</v>
      </c>
      <c r="G144" s="195"/>
      <c r="H144" s="143">
        <f>F144*G144</f>
        <v>0</v>
      </c>
      <c r="I144" s="320"/>
      <c r="J144" s="320"/>
      <c r="K144" s="320"/>
      <c r="L144" s="320"/>
      <c r="M144" s="320">
        <f>L144+J144+H144</f>
        <v>0</v>
      </c>
    </row>
    <row r="145" spans="1:13" s="279" customFormat="1" ht="18" customHeight="1">
      <c r="A145" s="134"/>
      <c r="B145" s="134"/>
      <c r="C145" s="79" t="s">
        <v>494</v>
      </c>
      <c r="D145" s="134" t="s">
        <v>12</v>
      </c>
      <c r="E145" s="71"/>
      <c r="F145" s="448">
        <v>1</v>
      </c>
      <c r="G145" s="195"/>
      <c r="H145" s="143">
        <f>F145*G145</f>
        <v>0</v>
      </c>
      <c r="I145" s="320"/>
      <c r="J145" s="320"/>
      <c r="K145" s="320"/>
      <c r="L145" s="320"/>
      <c r="M145" s="320">
        <f>L145+J145+H145</f>
        <v>0</v>
      </c>
    </row>
    <row r="146" spans="1:13" s="279" customFormat="1" ht="18" customHeight="1">
      <c r="A146" s="134"/>
      <c r="B146" s="134"/>
      <c r="C146" s="79" t="s">
        <v>101</v>
      </c>
      <c r="D146" s="134" t="s">
        <v>138</v>
      </c>
      <c r="E146" s="71"/>
      <c r="F146" s="448">
        <v>1</v>
      </c>
      <c r="G146" s="195"/>
      <c r="H146" s="143">
        <f>F146*G146</f>
        <v>0</v>
      </c>
      <c r="I146" s="320"/>
      <c r="J146" s="320"/>
      <c r="K146" s="320"/>
      <c r="L146" s="320"/>
      <c r="M146" s="320">
        <f>L146+J146+H146</f>
        <v>0</v>
      </c>
    </row>
    <row r="147" spans="1:15" s="12" customFormat="1" ht="18" customHeight="1">
      <c r="A147" s="32"/>
      <c r="B147" s="33"/>
      <c r="C147" s="10" t="s">
        <v>69</v>
      </c>
      <c r="D147" s="6" t="s">
        <v>6</v>
      </c>
      <c r="E147" s="11">
        <v>0.16</v>
      </c>
      <c r="F147" s="2">
        <f>E147*F140</f>
        <v>0.96</v>
      </c>
      <c r="G147" s="195"/>
      <c r="H147" s="143">
        <f>G147*F147</f>
        <v>0</v>
      </c>
      <c r="I147" s="320"/>
      <c r="J147" s="320"/>
      <c r="K147" s="320"/>
      <c r="L147" s="320"/>
      <c r="M147" s="320">
        <f>H147+J147+L147</f>
        <v>0</v>
      </c>
      <c r="O147" s="57"/>
    </row>
    <row r="148" spans="1:13" s="193" customFormat="1" ht="33" customHeight="1">
      <c r="A148" s="138">
        <f>A140+1</f>
        <v>20</v>
      </c>
      <c r="B148" s="205" t="s">
        <v>75</v>
      </c>
      <c r="C148" s="335" t="s">
        <v>77</v>
      </c>
      <c r="D148" s="203" t="s">
        <v>7</v>
      </c>
      <c r="E148" s="203"/>
      <c r="F148" s="204">
        <v>20</v>
      </c>
      <c r="G148" s="143"/>
      <c r="H148" s="143"/>
      <c r="I148" s="195"/>
      <c r="J148" s="195"/>
      <c r="K148" s="195"/>
      <c r="L148" s="195"/>
      <c r="M148" s="143"/>
    </row>
    <row r="149" spans="1:13" s="144" customFormat="1" ht="17.25" customHeight="1">
      <c r="A149" s="138"/>
      <c r="B149" s="205"/>
      <c r="C149" s="198" t="s">
        <v>13</v>
      </c>
      <c r="D149" s="38" t="s">
        <v>139</v>
      </c>
      <c r="E149" s="216">
        <f>58.3/100</f>
        <v>0.583</v>
      </c>
      <c r="F149" s="143">
        <f>E149*F148</f>
        <v>11.66</v>
      </c>
      <c r="G149" s="143"/>
      <c r="H149" s="143"/>
      <c r="I149" s="195"/>
      <c r="J149" s="195">
        <f>I149*F149</f>
        <v>0</v>
      </c>
      <c r="K149" s="195"/>
      <c r="L149" s="195"/>
      <c r="M149" s="143">
        <f>L149+J149+H149</f>
        <v>0</v>
      </c>
    </row>
    <row r="150" spans="1:13" s="144" customFormat="1" ht="17.25" customHeight="1">
      <c r="A150" s="138"/>
      <c r="B150" s="205"/>
      <c r="C150" s="198" t="s">
        <v>70</v>
      </c>
      <c r="D150" s="139" t="s">
        <v>6</v>
      </c>
      <c r="E150" s="209">
        <v>0.0046</v>
      </c>
      <c r="F150" s="143">
        <f>E150*F148</f>
        <v>0.092</v>
      </c>
      <c r="G150" s="143"/>
      <c r="H150" s="143"/>
      <c r="I150" s="195"/>
      <c r="J150" s="195"/>
      <c r="K150" s="195"/>
      <c r="L150" s="195">
        <f>K150*F150</f>
        <v>0</v>
      </c>
      <c r="M150" s="143">
        <f>L150+J150+H150</f>
        <v>0</v>
      </c>
    </row>
    <row r="151" spans="1:13" s="144" customFormat="1" ht="17.25" customHeight="1">
      <c r="A151" s="138"/>
      <c r="B151" s="140"/>
      <c r="C151" s="338" t="s">
        <v>482</v>
      </c>
      <c r="D151" s="139" t="s">
        <v>7</v>
      </c>
      <c r="E151" s="139">
        <v>0.998</v>
      </c>
      <c r="F151" s="143">
        <f>E151*F148</f>
        <v>19.96</v>
      </c>
      <c r="G151" s="143"/>
      <c r="H151" s="143">
        <f>G151*F151</f>
        <v>0</v>
      </c>
      <c r="I151" s="195"/>
      <c r="J151" s="195"/>
      <c r="K151" s="195"/>
      <c r="L151" s="195"/>
      <c r="M151" s="143">
        <f>L151+J151+H151</f>
        <v>0</v>
      </c>
    </row>
    <row r="152" spans="1:13" s="144" customFormat="1" ht="17.25" customHeight="1">
      <c r="A152" s="138"/>
      <c r="B152" s="205"/>
      <c r="C152" s="198" t="s">
        <v>69</v>
      </c>
      <c r="D152" s="139" t="s">
        <v>6</v>
      </c>
      <c r="E152" s="216">
        <f>20.8/100</f>
        <v>0.20800000000000002</v>
      </c>
      <c r="F152" s="143">
        <f>E152*F148</f>
        <v>4.16</v>
      </c>
      <c r="G152" s="143"/>
      <c r="H152" s="143">
        <f>G152*F152</f>
        <v>0</v>
      </c>
      <c r="I152" s="195"/>
      <c r="J152" s="195"/>
      <c r="K152" s="195"/>
      <c r="L152" s="195"/>
      <c r="M152" s="143">
        <f>L152+J152+H152</f>
        <v>0</v>
      </c>
    </row>
    <row r="153" spans="1:13" s="193" customFormat="1" ht="36" customHeight="1">
      <c r="A153" s="85">
        <f>A148+1</f>
        <v>21</v>
      </c>
      <c r="B153" s="80" t="s">
        <v>169</v>
      </c>
      <c r="C153" s="335" t="s">
        <v>291</v>
      </c>
      <c r="D153" s="78" t="s">
        <v>7</v>
      </c>
      <c r="E153" s="203"/>
      <c r="F153" s="204">
        <v>8</v>
      </c>
      <c r="G153" s="21"/>
      <c r="H153" s="83"/>
      <c r="I153" s="83"/>
      <c r="J153" s="83"/>
      <c r="K153" s="83"/>
      <c r="L153" s="83"/>
      <c r="M153" s="83"/>
    </row>
    <row r="154" spans="1:13" s="144" customFormat="1" ht="17.25" customHeight="1">
      <c r="A154" s="138"/>
      <c r="B154" s="205"/>
      <c r="C154" s="198" t="s">
        <v>13</v>
      </c>
      <c r="D154" s="38" t="s">
        <v>139</v>
      </c>
      <c r="E154" s="105">
        <f>181/1000</f>
        <v>0.181</v>
      </c>
      <c r="F154" s="143">
        <f>E154*F153</f>
        <v>1.448</v>
      </c>
      <c r="G154" s="21"/>
      <c r="H154" s="83"/>
      <c r="I154" s="83"/>
      <c r="J154" s="83">
        <f>I154*F154</f>
        <v>0</v>
      </c>
      <c r="K154" s="83"/>
      <c r="L154" s="83"/>
      <c r="M154" s="83">
        <f>L154+J154+H154</f>
        <v>0</v>
      </c>
    </row>
    <row r="155" spans="1:13" s="144" customFormat="1" ht="17.25" customHeight="1">
      <c r="A155" s="138"/>
      <c r="B155" s="205"/>
      <c r="C155" s="198" t="s">
        <v>70</v>
      </c>
      <c r="D155" s="139" t="s">
        <v>6</v>
      </c>
      <c r="E155" s="728">
        <f>92.1/1000</f>
        <v>0.09209999999999999</v>
      </c>
      <c r="F155" s="143">
        <f>E155*F153</f>
        <v>0.7367999999999999</v>
      </c>
      <c r="G155" s="21"/>
      <c r="H155" s="83"/>
      <c r="I155" s="83"/>
      <c r="J155" s="83"/>
      <c r="K155" s="83"/>
      <c r="L155" s="83">
        <f>K155*F155</f>
        <v>0</v>
      </c>
      <c r="M155" s="83">
        <f>L155+J155+H155</f>
        <v>0</v>
      </c>
    </row>
    <row r="156" spans="1:13" s="144" customFormat="1" ht="17.25" customHeight="1">
      <c r="A156" s="138"/>
      <c r="B156" s="140"/>
      <c r="C156" s="338" t="s">
        <v>495</v>
      </c>
      <c r="D156" s="139" t="s">
        <v>7</v>
      </c>
      <c r="E156" s="85">
        <f>1010*0.001</f>
        <v>1.01</v>
      </c>
      <c r="F156" s="143">
        <f>E156*F153</f>
        <v>8.08</v>
      </c>
      <c r="G156" s="21"/>
      <c r="H156" s="83">
        <f>G156*F156</f>
        <v>0</v>
      </c>
      <c r="I156" s="83"/>
      <c r="J156" s="83"/>
      <c r="K156" s="83"/>
      <c r="L156" s="83"/>
      <c r="M156" s="83">
        <f>L156+J156+H156</f>
        <v>0</v>
      </c>
    </row>
    <row r="157" spans="1:13" s="144" customFormat="1" ht="17.25" customHeight="1">
      <c r="A157" s="138"/>
      <c r="B157" s="205"/>
      <c r="C157" s="198" t="s">
        <v>69</v>
      </c>
      <c r="D157" s="139" t="s">
        <v>6</v>
      </c>
      <c r="E157" s="729">
        <f>5.16/1000</f>
        <v>0.0051600000000000005</v>
      </c>
      <c r="F157" s="143">
        <f>E157*F153</f>
        <v>0.041280000000000004</v>
      </c>
      <c r="G157" s="21"/>
      <c r="H157" s="83">
        <f>G157*F157</f>
        <v>0</v>
      </c>
      <c r="I157" s="83"/>
      <c r="J157" s="83"/>
      <c r="K157" s="83"/>
      <c r="L157" s="83"/>
      <c r="M157" s="83">
        <f>L157+J157+H157</f>
        <v>0</v>
      </c>
    </row>
    <row r="158" spans="1:23" s="316" customFormat="1" ht="24" customHeight="1">
      <c r="A158" s="641"/>
      <c r="B158" s="641"/>
      <c r="C158" s="642" t="s">
        <v>371</v>
      </c>
      <c r="D158" s="649"/>
      <c r="E158" s="649"/>
      <c r="F158" s="650"/>
      <c r="G158" s="650"/>
      <c r="H158" s="143"/>
      <c r="I158" s="320"/>
      <c r="J158" s="320"/>
      <c r="K158" s="320"/>
      <c r="L158" s="320"/>
      <c r="M158" s="320"/>
      <c r="N158" s="317"/>
      <c r="O158" s="317"/>
      <c r="P158" s="317"/>
      <c r="Q158" s="317"/>
      <c r="R158" s="317"/>
      <c r="S158" s="317"/>
      <c r="T158" s="317"/>
      <c r="U158" s="317"/>
      <c r="V158" s="317"/>
      <c r="W158" s="317"/>
    </row>
    <row r="159" spans="1:15" s="734" customFormat="1" ht="33" customHeight="1">
      <c r="A159" s="35">
        <f>A153+1</f>
        <v>22</v>
      </c>
      <c r="B159" s="32" t="s">
        <v>46</v>
      </c>
      <c r="C159" s="42" t="s">
        <v>375</v>
      </c>
      <c r="D159" s="41"/>
      <c r="E159" s="72"/>
      <c r="F159" s="395">
        <f>SUM(F161:F164)</f>
        <v>31</v>
      </c>
      <c r="G159" s="195"/>
      <c r="H159" s="143"/>
      <c r="I159" s="320"/>
      <c r="J159" s="320"/>
      <c r="K159" s="320"/>
      <c r="L159" s="320"/>
      <c r="M159" s="320"/>
      <c r="N159" s="56"/>
      <c r="O159" s="56"/>
    </row>
    <row r="160" spans="1:15" s="12" customFormat="1" ht="18" customHeight="1">
      <c r="A160" s="35"/>
      <c r="B160" s="59"/>
      <c r="C160" s="10" t="s">
        <v>13</v>
      </c>
      <c r="D160" s="6" t="s">
        <v>6</v>
      </c>
      <c r="E160" s="91">
        <v>1</v>
      </c>
      <c r="F160" s="2">
        <f>E160*F159</f>
        <v>31</v>
      </c>
      <c r="G160" s="195"/>
      <c r="H160" s="143"/>
      <c r="I160" s="320"/>
      <c r="J160" s="320">
        <f>I160*F160</f>
        <v>0</v>
      </c>
      <c r="K160" s="320"/>
      <c r="L160" s="320"/>
      <c r="M160" s="320">
        <f>H160+J160+L160</f>
        <v>0</v>
      </c>
      <c r="N160" s="48"/>
      <c r="O160" s="57"/>
    </row>
    <row r="161" spans="1:14" s="738" customFormat="1" ht="33" customHeight="1">
      <c r="A161" s="276"/>
      <c r="B161" s="32"/>
      <c r="C161" s="79" t="s">
        <v>496</v>
      </c>
      <c r="D161" s="6" t="s">
        <v>12</v>
      </c>
      <c r="E161" s="71">
        <v>1</v>
      </c>
      <c r="F161" s="100">
        <v>7</v>
      </c>
      <c r="G161" s="195"/>
      <c r="H161" s="143">
        <f>G161*F161</f>
        <v>0</v>
      </c>
      <c r="I161" s="320"/>
      <c r="J161" s="320"/>
      <c r="K161" s="320"/>
      <c r="L161" s="320"/>
      <c r="M161" s="320">
        <f>H161+J161+L161</f>
        <v>0</v>
      </c>
      <c r="N161" s="48"/>
    </row>
    <row r="162" spans="1:14" s="738" customFormat="1" ht="33" customHeight="1">
      <c r="A162" s="486"/>
      <c r="B162" s="32"/>
      <c r="C162" s="79" t="s">
        <v>497</v>
      </c>
      <c r="D162" s="6" t="s">
        <v>12</v>
      </c>
      <c r="E162" s="71">
        <v>1</v>
      </c>
      <c r="F162" s="100">
        <v>8</v>
      </c>
      <c r="G162" s="195"/>
      <c r="H162" s="143">
        <f>G162*F162</f>
        <v>0</v>
      </c>
      <c r="I162" s="320"/>
      <c r="J162" s="320"/>
      <c r="K162" s="320"/>
      <c r="L162" s="320"/>
      <c r="M162" s="320">
        <f>H162+J162+L162</f>
        <v>0</v>
      </c>
      <c r="N162" s="48"/>
    </row>
    <row r="163" spans="1:14" s="738" customFormat="1" ht="33" customHeight="1">
      <c r="A163" s="486"/>
      <c r="B163" s="32"/>
      <c r="C163" s="79" t="s">
        <v>498</v>
      </c>
      <c r="D163" s="6" t="s">
        <v>12</v>
      </c>
      <c r="E163" s="71">
        <v>1</v>
      </c>
      <c r="F163" s="100">
        <v>10</v>
      </c>
      <c r="G163" s="195"/>
      <c r="H163" s="143">
        <f>G163*F163</f>
        <v>0</v>
      </c>
      <c r="I163" s="320"/>
      <c r="J163" s="320"/>
      <c r="K163" s="320"/>
      <c r="L163" s="320"/>
      <c r="M163" s="320">
        <f>H163+J163+L163</f>
        <v>0</v>
      </c>
      <c r="N163" s="48"/>
    </row>
    <row r="164" spans="1:14" s="738" customFormat="1" ht="33" customHeight="1">
      <c r="A164" s="486"/>
      <c r="B164" s="32"/>
      <c r="C164" s="79" t="s">
        <v>499</v>
      </c>
      <c r="D164" s="6" t="s">
        <v>12</v>
      </c>
      <c r="E164" s="71">
        <v>1</v>
      </c>
      <c r="F164" s="100">
        <v>6</v>
      </c>
      <c r="G164" s="195"/>
      <c r="H164" s="143">
        <f>G164*F164</f>
        <v>0</v>
      </c>
      <c r="I164" s="320"/>
      <c r="J164" s="320"/>
      <c r="K164" s="320"/>
      <c r="L164" s="320"/>
      <c r="M164" s="320">
        <f>H164+J164+L164</f>
        <v>0</v>
      </c>
      <c r="N164" s="48"/>
    </row>
    <row r="165" spans="1:23" s="316" customFormat="1" ht="9" customHeight="1" thickBot="1">
      <c r="A165" s="314"/>
      <c r="B165" s="314"/>
      <c r="C165" s="135"/>
      <c r="D165" s="314"/>
      <c r="E165" s="314"/>
      <c r="F165" s="5"/>
      <c r="G165" s="321"/>
      <c r="H165" s="322"/>
      <c r="I165" s="321"/>
      <c r="J165" s="321"/>
      <c r="K165" s="320"/>
      <c r="L165" s="320"/>
      <c r="M165" s="320"/>
      <c r="O165" s="317"/>
      <c r="P165" s="317"/>
      <c r="Q165" s="317"/>
      <c r="R165" s="317"/>
      <c r="S165" s="317"/>
      <c r="T165" s="317"/>
      <c r="U165" s="317"/>
      <c r="V165" s="317"/>
      <c r="W165" s="317"/>
    </row>
    <row r="166" spans="1:16" s="62" customFormat="1" ht="18" customHeight="1">
      <c r="A166" s="516"/>
      <c r="B166" s="643"/>
      <c r="C166" s="61" t="s">
        <v>9</v>
      </c>
      <c r="D166" s="61"/>
      <c r="E166" s="644"/>
      <c r="F166" s="157"/>
      <c r="G166" s="157"/>
      <c r="H166" s="416">
        <f>SUM(H11:H164)</f>
        <v>0</v>
      </c>
      <c r="I166" s="416"/>
      <c r="J166" s="416">
        <f>SUM(J11:J164)</f>
        <v>0</v>
      </c>
      <c r="K166" s="416"/>
      <c r="L166" s="416">
        <f>SUM(L11:L164)</f>
        <v>0</v>
      </c>
      <c r="M166" s="416">
        <f>SUM(M11:M164)</f>
        <v>0</v>
      </c>
      <c r="N166" s="530"/>
      <c r="O166" s="518"/>
      <c r="P166" s="519"/>
    </row>
    <row r="167" spans="1:16" s="62" customFormat="1" ht="33.75" customHeight="1">
      <c r="A167" s="97"/>
      <c r="B167" s="65"/>
      <c r="C167" s="16" t="s">
        <v>220</v>
      </c>
      <c r="D167" s="683"/>
      <c r="E167" s="16"/>
      <c r="F167" s="680"/>
      <c r="G167" s="34"/>
      <c r="H167" s="162">
        <f>H14+H19+H24+SUM(H161:H164)</f>
        <v>0</v>
      </c>
      <c r="I167" s="162"/>
      <c r="J167" s="162">
        <f>J12+J17+J22+J160</f>
        <v>0</v>
      </c>
      <c r="K167" s="162"/>
      <c r="L167" s="162"/>
      <c r="M167" s="162">
        <f>SUM(H167:L167)</f>
        <v>0</v>
      </c>
      <c r="O167" s="15"/>
      <c r="P167" s="15"/>
    </row>
    <row r="168" spans="1:16" s="62" customFormat="1" ht="17.25" customHeight="1">
      <c r="A168" s="97"/>
      <c r="B168" s="65"/>
      <c r="C168" s="16" t="s">
        <v>9</v>
      </c>
      <c r="D168" s="16"/>
      <c r="E168" s="16"/>
      <c r="F168" s="34"/>
      <c r="G168" s="34"/>
      <c r="H168" s="162"/>
      <c r="I168" s="162"/>
      <c r="J168" s="162"/>
      <c r="K168" s="162"/>
      <c r="L168" s="162"/>
      <c r="M168" s="162">
        <f>M166</f>
        <v>0</v>
      </c>
      <c r="O168" s="15"/>
      <c r="P168" s="15"/>
    </row>
    <row r="169" spans="1:16" s="62" customFormat="1" ht="33" customHeight="1">
      <c r="A169" s="97"/>
      <c r="B169" s="65"/>
      <c r="C169" s="16" t="s">
        <v>221</v>
      </c>
      <c r="D169" s="683"/>
      <c r="E169" s="16"/>
      <c r="F169" s="680"/>
      <c r="G169" s="34"/>
      <c r="H169" s="162"/>
      <c r="I169" s="162"/>
      <c r="J169" s="162"/>
      <c r="K169" s="162"/>
      <c r="L169" s="162"/>
      <c r="M169" s="688">
        <f>J167*D169</f>
        <v>0</v>
      </c>
      <c r="O169" s="15"/>
      <c r="P169" s="15"/>
    </row>
    <row r="170" spans="1:16" s="62" customFormat="1" ht="17.25" customHeight="1">
      <c r="A170" s="97"/>
      <c r="B170" s="65"/>
      <c r="C170" s="16" t="s">
        <v>631</v>
      </c>
      <c r="D170" s="683"/>
      <c r="E170" s="16"/>
      <c r="F170" s="680"/>
      <c r="G170" s="34"/>
      <c r="H170" s="162"/>
      <c r="I170" s="162"/>
      <c r="J170" s="162"/>
      <c r="K170" s="162"/>
      <c r="L170" s="162"/>
      <c r="M170" s="688">
        <f>(M166-SUM(M12:M26)-SUM(M160:M164))*D170</f>
        <v>0</v>
      </c>
      <c r="O170" s="15"/>
      <c r="P170" s="15"/>
    </row>
    <row r="171" spans="1:18" s="62" customFormat="1" ht="17.25" customHeight="1">
      <c r="A171" s="97"/>
      <c r="B171" s="731"/>
      <c r="C171" s="16" t="s">
        <v>9</v>
      </c>
      <c r="D171" s="16"/>
      <c r="E171" s="16"/>
      <c r="F171" s="34"/>
      <c r="G171" s="34"/>
      <c r="H171" s="34"/>
      <c r="I171" s="34"/>
      <c r="J171" s="8"/>
      <c r="K171" s="162"/>
      <c r="L171" s="162"/>
      <c r="M171" s="688">
        <f>M170+M169+M168</f>
        <v>0</v>
      </c>
      <c r="Q171" s="15"/>
      <c r="R171" s="15"/>
    </row>
    <row r="172" spans="1:13" s="62" customFormat="1" ht="33" customHeight="1">
      <c r="A172" s="97"/>
      <c r="B172" s="731"/>
      <c r="C172" s="16" t="s">
        <v>234</v>
      </c>
      <c r="D172" s="683"/>
      <c r="E172" s="683"/>
      <c r="F172" s="34"/>
      <c r="G172" s="34"/>
      <c r="H172" s="680"/>
      <c r="I172" s="680"/>
      <c r="J172" s="8"/>
      <c r="K172" s="162"/>
      <c r="L172" s="162"/>
      <c r="M172" s="688">
        <f>(M171-H167)*D172</f>
        <v>0</v>
      </c>
    </row>
    <row r="173" spans="1:13" s="62" customFormat="1" ht="18" customHeight="1" thickBot="1">
      <c r="A173" s="645"/>
      <c r="B173" s="646"/>
      <c r="C173" s="647" t="s">
        <v>9</v>
      </c>
      <c r="D173" s="64"/>
      <c r="E173" s="648"/>
      <c r="F173" s="110"/>
      <c r="G173" s="110"/>
      <c r="H173" s="165"/>
      <c r="I173" s="165"/>
      <c r="J173" s="165"/>
      <c r="K173" s="165"/>
      <c r="L173" s="165"/>
      <c r="M173" s="166">
        <f>SUM(M171:M172)</f>
        <v>0</v>
      </c>
    </row>
    <row r="174" spans="1:15" s="362" customFormat="1" ht="15.75">
      <c r="A174" s="12"/>
      <c r="B174" s="12"/>
      <c r="C174" s="359"/>
      <c r="D174" s="74"/>
      <c r="E174" s="74"/>
      <c r="F174" s="126"/>
      <c r="G174" s="126"/>
      <c r="H174" s="126"/>
      <c r="I174" s="126"/>
      <c r="J174" s="126"/>
      <c r="K174" s="126"/>
      <c r="L174" s="126"/>
      <c r="M174" s="319"/>
      <c r="N174" s="360"/>
      <c r="O174" s="361"/>
    </row>
    <row r="175" spans="1:16" s="114" customFormat="1" ht="18" customHeight="1">
      <c r="A175" s="182"/>
      <c r="B175" s="182"/>
      <c r="C175" s="107" t="s">
        <v>184</v>
      </c>
      <c r="D175" s="117"/>
      <c r="E175" s="117"/>
      <c r="F175" s="832"/>
      <c r="G175" s="832"/>
      <c r="H175" s="832"/>
      <c r="M175" s="381"/>
      <c r="N175" s="117"/>
      <c r="O175" s="182"/>
      <c r="P175" s="117"/>
    </row>
    <row r="176" spans="1:13" s="233" customFormat="1" ht="12" customHeight="1">
      <c r="A176" s="232"/>
      <c r="B176" s="12"/>
      <c r="D176" s="234"/>
      <c r="E176" s="12"/>
      <c r="F176" s="126"/>
      <c r="G176" s="738"/>
      <c r="H176" s="738"/>
      <c r="I176" s="319"/>
      <c r="J176" s="738"/>
      <c r="K176" s="324"/>
      <c r="L176" s="738"/>
      <c r="M176" s="27"/>
    </row>
    <row r="177" spans="1:13" s="233" customFormat="1" ht="15.75">
      <c r="A177" s="232"/>
      <c r="B177" s="12"/>
      <c r="D177" s="234"/>
      <c r="E177" s="12"/>
      <c r="F177" s="126"/>
      <c r="G177" s="738"/>
      <c r="H177" s="738"/>
      <c r="I177" s="319"/>
      <c r="J177" s="738"/>
      <c r="K177" s="324"/>
      <c r="L177" s="738"/>
      <c r="M177" s="27"/>
    </row>
    <row r="178" spans="1:13" s="651" customFormat="1" ht="15.75">
      <c r="A178" s="53"/>
      <c r="B178" s="53"/>
      <c r="C178" s="656"/>
      <c r="D178" s="75"/>
      <c r="E178" s="75"/>
      <c r="F178" s="363"/>
      <c r="G178" s="325"/>
      <c r="H178" s="326"/>
      <c r="I178" s="326"/>
      <c r="J178" s="326"/>
      <c r="K178" s="326"/>
      <c r="L178" s="326"/>
      <c r="M178" s="327"/>
    </row>
    <row r="179" spans="1:13" s="651" customFormat="1" ht="15.75">
      <c r="A179" s="53"/>
      <c r="B179" s="53"/>
      <c r="C179" s="656"/>
      <c r="D179" s="75"/>
      <c r="E179" s="75"/>
      <c r="F179" s="363"/>
      <c r="G179" s="325"/>
      <c r="H179" s="326"/>
      <c r="I179" s="326"/>
      <c r="J179" s="326"/>
      <c r="K179" s="326"/>
      <c r="L179" s="326"/>
      <c r="M179" s="327"/>
    </row>
    <row r="180" spans="1:13" s="651" customFormat="1" ht="15.75">
      <c r="A180" s="53"/>
      <c r="B180" s="53"/>
      <c r="C180" s="656"/>
      <c r="D180" s="75"/>
      <c r="E180" s="75"/>
      <c r="F180" s="363"/>
      <c r="G180" s="325"/>
      <c r="H180" s="326"/>
      <c r="I180" s="326"/>
      <c r="J180" s="326"/>
      <c r="K180" s="326"/>
      <c r="L180" s="326"/>
      <c r="M180" s="327"/>
    </row>
    <row r="181" spans="1:13" s="651" customFormat="1" ht="15.75">
      <c r="A181" s="53"/>
      <c r="B181" s="53"/>
      <c r="C181" s="656"/>
      <c r="D181" s="75"/>
      <c r="E181" s="75"/>
      <c r="F181" s="363"/>
      <c r="G181" s="325"/>
      <c r="H181" s="326"/>
      <c r="I181" s="326"/>
      <c r="J181" s="326"/>
      <c r="K181" s="326"/>
      <c r="L181" s="326"/>
      <c r="M181" s="327"/>
    </row>
    <row r="182" spans="1:13" s="651" customFormat="1" ht="15.75">
      <c r="A182" s="53"/>
      <c r="B182" s="53"/>
      <c r="C182" s="656"/>
      <c r="D182" s="75"/>
      <c r="E182" s="75"/>
      <c r="F182" s="363"/>
      <c r="G182" s="325"/>
      <c r="H182" s="326"/>
      <c r="I182" s="326"/>
      <c r="J182" s="326"/>
      <c r="K182" s="326"/>
      <c r="L182" s="326"/>
      <c r="M182" s="327"/>
    </row>
    <row r="183" spans="1:13" s="651" customFormat="1" ht="15.75">
      <c r="A183" s="53"/>
      <c r="B183" s="53"/>
      <c r="C183" s="656"/>
      <c r="D183" s="75"/>
      <c r="E183" s="75"/>
      <c r="F183" s="363"/>
      <c r="G183" s="325"/>
      <c r="H183" s="326"/>
      <c r="I183" s="326"/>
      <c r="J183" s="326"/>
      <c r="K183" s="326"/>
      <c r="L183" s="326"/>
      <c r="M183" s="327"/>
    </row>
    <row r="184" spans="1:13" s="651" customFormat="1" ht="15.75">
      <c r="A184" s="53"/>
      <c r="B184" s="53"/>
      <c r="C184" s="656"/>
      <c r="D184" s="75"/>
      <c r="E184" s="75"/>
      <c r="F184" s="363"/>
      <c r="G184" s="325"/>
      <c r="H184" s="326"/>
      <c r="I184" s="326"/>
      <c r="J184" s="326"/>
      <c r="K184" s="326"/>
      <c r="L184" s="326"/>
      <c r="M184" s="327"/>
    </row>
    <row r="185" spans="1:13" s="651" customFormat="1" ht="15.75">
      <c r="A185" s="53"/>
      <c r="B185" s="53"/>
      <c r="C185" s="656"/>
      <c r="D185" s="75"/>
      <c r="E185" s="75"/>
      <c r="F185" s="363"/>
      <c r="G185" s="325"/>
      <c r="H185" s="326"/>
      <c r="I185" s="326"/>
      <c r="J185" s="326"/>
      <c r="K185" s="326"/>
      <c r="L185" s="326"/>
      <c r="M185" s="327"/>
    </row>
    <row r="186" spans="1:13" s="651" customFormat="1" ht="15.75">
      <c r="A186" s="53"/>
      <c r="B186" s="53"/>
      <c r="C186" s="656"/>
      <c r="D186" s="75"/>
      <c r="E186" s="75"/>
      <c r="F186" s="363"/>
      <c r="G186" s="325"/>
      <c r="H186" s="326"/>
      <c r="I186" s="326"/>
      <c r="J186" s="326"/>
      <c r="K186" s="326"/>
      <c r="L186" s="326"/>
      <c r="M186" s="327"/>
    </row>
    <row r="187" spans="1:13" s="651" customFormat="1" ht="15.75">
      <c r="A187" s="53"/>
      <c r="B187" s="53"/>
      <c r="C187" s="656"/>
      <c r="D187" s="75"/>
      <c r="E187" s="75"/>
      <c r="F187" s="363"/>
      <c r="G187" s="325"/>
      <c r="H187" s="326"/>
      <c r="I187" s="326"/>
      <c r="J187" s="328"/>
      <c r="K187" s="326"/>
      <c r="L187" s="328"/>
      <c r="M187" s="327"/>
    </row>
    <row r="188" spans="1:13" s="651" customFormat="1" ht="15.75">
      <c r="A188" s="53"/>
      <c r="B188" s="53"/>
      <c r="C188" s="656"/>
      <c r="D188" s="75"/>
      <c r="E188" s="75"/>
      <c r="F188" s="363"/>
      <c r="G188" s="325"/>
      <c r="H188" s="326"/>
      <c r="I188" s="326"/>
      <c r="J188" s="326"/>
      <c r="K188" s="326"/>
      <c r="L188" s="326"/>
      <c r="M188" s="327"/>
    </row>
    <row r="189" spans="1:13" s="651" customFormat="1" ht="15.75">
      <c r="A189" s="53"/>
      <c r="B189" s="53"/>
      <c r="C189" s="656"/>
      <c r="D189" s="75"/>
      <c r="E189" s="75"/>
      <c r="F189" s="363"/>
      <c r="G189" s="325"/>
      <c r="H189" s="326"/>
      <c r="I189" s="326"/>
      <c r="J189" s="326"/>
      <c r="K189" s="326"/>
      <c r="L189" s="326"/>
      <c r="M189" s="327"/>
    </row>
    <row r="190" spans="1:13" s="651" customFormat="1" ht="15.75">
      <c r="A190" s="53"/>
      <c r="B190" s="53"/>
      <c r="C190" s="656"/>
      <c r="D190" s="75"/>
      <c r="E190" s="75"/>
      <c r="F190" s="363"/>
      <c r="G190" s="325"/>
      <c r="H190" s="326"/>
      <c r="I190" s="326"/>
      <c r="J190" s="326"/>
      <c r="K190" s="326"/>
      <c r="L190" s="326"/>
      <c r="M190" s="327"/>
    </row>
    <row r="191" spans="1:13" s="651" customFormat="1" ht="15.75">
      <c r="A191" s="53"/>
      <c r="B191" s="53"/>
      <c r="C191" s="656"/>
      <c r="D191" s="75"/>
      <c r="E191" s="75"/>
      <c r="F191" s="363"/>
      <c r="G191" s="325"/>
      <c r="H191" s="326"/>
      <c r="I191" s="326"/>
      <c r="J191" s="326"/>
      <c r="K191" s="326"/>
      <c r="L191" s="326"/>
      <c r="M191" s="327"/>
    </row>
    <row r="192" spans="1:13" s="651" customFormat="1" ht="15.75">
      <c r="A192" s="53"/>
      <c r="B192" s="53"/>
      <c r="C192" s="656"/>
      <c r="D192" s="75"/>
      <c r="E192" s="75"/>
      <c r="F192" s="363"/>
      <c r="G192" s="325"/>
      <c r="H192" s="326"/>
      <c r="I192" s="326"/>
      <c r="J192" s="326"/>
      <c r="K192" s="326"/>
      <c r="L192" s="326"/>
      <c r="M192" s="327"/>
    </row>
    <row r="193" spans="1:13" s="651" customFormat="1" ht="15.75">
      <c r="A193" s="53"/>
      <c r="B193" s="53"/>
      <c r="C193" s="656"/>
      <c r="D193" s="75"/>
      <c r="E193" s="75"/>
      <c r="F193" s="363"/>
      <c r="G193" s="325"/>
      <c r="H193" s="326"/>
      <c r="I193" s="326"/>
      <c r="J193" s="326"/>
      <c r="K193" s="326"/>
      <c r="L193" s="326"/>
      <c r="M193" s="327"/>
    </row>
    <row r="194" spans="1:13" s="651" customFormat="1" ht="15.75">
      <c r="A194" s="53"/>
      <c r="B194" s="53"/>
      <c r="C194" s="656"/>
      <c r="D194" s="75"/>
      <c r="E194" s="75"/>
      <c r="F194" s="363"/>
      <c r="G194" s="325"/>
      <c r="H194" s="326"/>
      <c r="I194" s="326"/>
      <c r="J194" s="326"/>
      <c r="K194" s="326"/>
      <c r="L194" s="326"/>
      <c r="M194" s="327"/>
    </row>
    <row r="195" spans="1:13" s="651" customFormat="1" ht="15.75">
      <c r="A195" s="53"/>
      <c r="B195" s="53"/>
      <c r="C195" s="656"/>
      <c r="D195" s="75"/>
      <c r="E195" s="75"/>
      <c r="F195" s="363"/>
      <c r="G195" s="325"/>
      <c r="H195" s="326"/>
      <c r="I195" s="326"/>
      <c r="J195" s="326"/>
      <c r="K195" s="326"/>
      <c r="L195" s="326"/>
      <c r="M195" s="327"/>
    </row>
    <row r="196" spans="1:13" s="651" customFormat="1" ht="15.75">
      <c r="A196" s="53"/>
      <c r="B196" s="53"/>
      <c r="C196" s="656"/>
      <c r="D196" s="75"/>
      <c r="E196" s="75"/>
      <c r="F196" s="363"/>
      <c r="G196" s="325"/>
      <c r="H196" s="326"/>
      <c r="I196" s="326"/>
      <c r="J196" s="326"/>
      <c r="K196" s="326"/>
      <c r="L196" s="326"/>
      <c r="M196" s="327"/>
    </row>
    <row r="197" spans="1:13" s="651" customFormat="1" ht="15.75">
      <c r="A197" s="53"/>
      <c r="B197" s="53"/>
      <c r="C197" s="656"/>
      <c r="D197" s="75"/>
      <c r="E197" s="75"/>
      <c r="F197" s="363"/>
      <c r="G197" s="325"/>
      <c r="H197" s="326"/>
      <c r="I197" s="326"/>
      <c r="J197" s="326"/>
      <c r="K197" s="326"/>
      <c r="L197" s="326"/>
      <c r="M197" s="327"/>
    </row>
    <row r="198" spans="1:13" s="651" customFormat="1" ht="15.75">
      <c r="A198" s="53"/>
      <c r="B198" s="53"/>
      <c r="C198" s="656"/>
      <c r="D198" s="75"/>
      <c r="E198" s="75"/>
      <c r="F198" s="363"/>
      <c r="G198" s="325"/>
      <c r="H198" s="326"/>
      <c r="I198" s="326"/>
      <c r="J198" s="326"/>
      <c r="K198" s="326"/>
      <c r="L198" s="326"/>
      <c r="M198" s="327"/>
    </row>
    <row r="199" spans="1:13" s="651" customFormat="1" ht="15.75">
      <c r="A199" s="53"/>
      <c r="B199" s="53"/>
      <c r="C199" s="656"/>
      <c r="D199" s="75"/>
      <c r="E199" s="75"/>
      <c r="F199" s="363"/>
      <c r="G199" s="325"/>
      <c r="H199" s="326"/>
      <c r="I199" s="326"/>
      <c r="J199" s="326"/>
      <c r="K199" s="326"/>
      <c r="L199" s="326"/>
      <c r="M199" s="327"/>
    </row>
    <row r="200" spans="1:13" s="651" customFormat="1" ht="15.75">
      <c r="A200" s="53"/>
      <c r="B200" s="53"/>
      <c r="C200" s="656"/>
      <c r="D200" s="75"/>
      <c r="E200" s="75"/>
      <c r="F200" s="363"/>
      <c r="G200" s="325"/>
      <c r="H200" s="326"/>
      <c r="I200" s="326"/>
      <c r="J200" s="326"/>
      <c r="K200" s="326"/>
      <c r="L200" s="326"/>
      <c r="M200" s="327"/>
    </row>
    <row r="201" spans="1:13" s="651" customFormat="1" ht="15.75">
      <c r="A201" s="53"/>
      <c r="B201" s="53"/>
      <c r="C201" s="656"/>
      <c r="D201" s="75"/>
      <c r="E201" s="75"/>
      <c r="F201" s="363"/>
      <c r="G201" s="325"/>
      <c r="H201" s="326"/>
      <c r="I201" s="326"/>
      <c r="J201" s="326"/>
      <c r="K201" s="326"/>
      <c r="L201" s="326"/>
      <c r="M201" s="327"/>
    </row>
    <row r="202" spans="1:13" s="651" customFormat="1" ht="15.75">
      <c r="A202" s="53"/>
      <c r="B202" s="53"/>
      <c r="C202" s="656"/>
      <c r="D202" s="75"/>
      <c r="E202" s="75"/>
      <c r="F202" s="363"/>
      <c r="G202" s="325"/>
      <c r="H202" s="326"/>
      <c r="I202" s="326"/>
      <c r="J202" s="326"/>
      <c r="K202" s="326"/>
      <c r="L202" s="326"/>
      <c r="M202" s="327"/>
    </row>
    <row r="203" spans="1:13" s="651" customFormat="1" ht="15.75">
      <c r="A203" s="53"/>
      <c r="B203" s="53"/>
      <c r="C203" s="656"/>
      <c r="D203" s="75"/>
      <c r="E203" s="75"/>
      <c r="F203" s="363"/>
      <c r="G203" s="325"/>
      <c r="H203" s="326"/>
      <c r="I203" s="326"/>
      <c r="J203" s="326"/>
      <c r="K203" s="326"/>
      <c r="L203" s="326"/>
      <c r="M203" s="327"/>
    </row>
    <row r="204" spans="1:13" s="651" customFormat="1" ht="15.75">
      <c r="A204" s="53"/>
      <c r="B204" s="53"/>
      <c r="C204" s="656"/>
      <c r="D204" s="75"/>
      <c r="E204" s="75"/>
      <c r="F204" s="363"/>
      <c r="G204" s="325"/>
      <c r="H204" s="326"/>
      <c r="I204" s="326"/>
      <c r="J204" s="326"/>
      <c r="K204" s="326"/>
      <c r="L204" s="326"/>
      <c r="M204" s="327"/>
    </row>
    <row r="205" spans="1:13" s="651" customFormat="1" ht="15.75">
      <c r="A205" s="53"/>
      <c r="B205" s="53"/>
      <c r="C205" s="656"/>
      <c r="D205" s="75"/>
      <c r="E205" s="75"/>
      <c r="F205" s="363"/>
      <c r="G205" s="325"/>
      <c r="H205" s="326"/>
      <c r="I205" s="326"/>
      <c r="J205" s="326"/>
      <c r="K205" s="326"/>
      <c r="L205" s="326"/>
      <c r="M205" s="327"/>
    </row>
    <row r="206" spans="1:13" s="651" customFormat="1" ht="15.75">
      <c r="A206" s="52"/>
      <c r="B206" s="52"/>
      <c r="D206" s="76"/>
      <c r="E206" s="76"/>
      <c r="F206" s="331"/>
      <c r="G206" s="325"/>
      <c r="H206" s="325"/>
      <c r="I206" s="325"/>
      <c r="J206" s="325"/>
      <c r="K206" s="325"/>
      <c r="L206" s="325"/>
      <c r="M206" s="329"/>
    </row>
    <row r="207" spans="1:13" s="651" customFormat="1" ht="15.75">
      <c r="A207" s="52"/>
      <c r="B207" s="52"/>
      <c r="D207" s="76"/>
      <c r="E207" s="76"/>
      <c r="F207" s="331"/>
      <c r="G207" s="325"/>
      <c r="H207" s="325"/>
      <c r="I207" s="325"/>
      <c r="J207" s="325"/>
      <c r="K207" s="325"/>
      <c r="L207" s="325"/>
      <c r="M207" s="329"/>
    </row>
    <row r="208" spans="1:13" s="651" customFormat="1" ht="15.75">
      <c r="A208" s="52"/>
      <c r="B208" s="52"/>
      <c r="D208" s="76"/>
      <c r="E208" s="76"/>
      <c r="F208" s="331"/>
      <c r="G208" s="325"/>
      <c r="H208" s="325"/>
      <c r="I208" s="325"/>
      <c r="J208" s="325"/>
      <c r="K208" s="325"/>
      <c r="L208" s="325"/>
      <c r="M208" s="329"/>
    </row>
    <row r="209" spans="1:13" s="651" customFormat="1" ht="15.75">
      <c r="A209" s="52"/>
      <c r="B209" s="52"/>
      <c r="D209" s="76"/>
      <c r="E209" s="76"/>
      <c r="F209" s="331"/>
      <c r="G209" s="325"/>
      <c r="H209" s="325"/>
      <c r="I209" s="325"/>
      <c r="J209" s="325"/>
      <c r="K209" s="325"/>
      <c r="L209" s="325"/>
      <c r="M209" s="329"/>
    </row>
    <row r="210" spans="1:13" s="651" customFormat="1" ht="15.75">
      <c r="A210" s="52"/>
      <c r="B210" s="52"/>
      <c r="D210" s="76"/>
      <c r="E210" s="76"/>
      <c r="F210" s="331"/>
      <c r="G210" s="325"/>
      <c r="H210" s="325"/>
      <c r="I210" s="325"/>
      <c r="J210" s="325"/>
      <c r="K210" s="325"/>
      <c r="L210" s="325"/>
      <c r="M210" s="329"/>
    </row>
    <row r="211" spans="1:13" s="651" customFormat="1" ht="15.75">
      <c r="A211" s="52"/>
      <c r="B211" s="52"/>
      <c r="D211" s="76"/>
      <c r="E211" s="76"/>
      <c r="F211" s="331"/>
      <c r="G211" s="325"/>
      <c r="H211" s="325"/>
      <c r="I211" s="325"/>
      <c r="J211" s="325"/>
      <c r="K211" s="325"/>
      <c r="L211" s="325"/>
      <c r="M211" s="329"/>
    </row>
    <row r="212" spans="1:13" s="651" customFormat="1" ht="15.75">
      <c r="A212" s="52"/>
      <c r="B212" s="52"/>
      <c r="D212" s="76"/>
      <c r="E212" s="76"/>
      <c r="F212" s="331"/>
      <c r="G212" s="325"/>
      <c r="H212" s="325"/>
      <c r="I212" s="325"/>
      <c r="J212" s="325"/>
      <c r="K212" s="325"/>
      <c r="L212" s="325"/>
      <c r="M212" s="329"/>
    </row>
    <row r="213" spans="1:13" s="651" customFormat="1" ht="15.75">
      <c r="A213" s="52"/>
      <c r="B213" s="52"/>
      <c r="D213" s="76"/>
      <c r="E213" s="76"/>
      <c r="F213" s="331"/>
      <c r="G213" s="325"/>
      <c r="H213" s="325"/>
      <c r="I213" s="325"/>
      <c r="J213" s="325"/>
      <c r="K213" s="325"/>
      <c r="L213" s="325"/>
      <c r="M213" s="329"/>
    </row>
    <row r="214" spans="1:13" s="651" customFormat="1" ht="15.75">
      <c r="A214" s="52"/>
      <c r="B214" s="52"/>
      <c r="C214" s="279"/>
      <c r="D214" s="52"/>
      <c r="E214" s="54"/>
      <c r="F214" s="331"/>
      <c r="G214" s="330"/>
      <c r="H214" s="325"/>
      <c r="I214" s="325"/>
      <c r="J214" s="331"/>
      <c r="K214" s="325"/>
      <c r="L214" s="331"/>
      <c r="M214" s="329"/>
    </row>
    <row r="215" spans="1:13" s="651" customFormat="1" ht="15.75">
      <c r="A215" s="52"/>
      <c r="B215" s="52"/>
      <c r="C215" s="279"/>
      <c r="D215" s="52"/>
      <c r="E215" s="54"/>
      <c r="F215" s="331"/>
      <c r="G215" s="325"/>
      <c r="H215" s="325"/>
      <c r="I215" s="325"/>
      <c r="J215" s="325"/>
      <c r="K215" s="325"/>
      <c r="L215" s="325"/>
      <c r="M215" s="329"/>
    </row>
    <row r="216" spans="1:13" s="651" customFormat="1" ht="15.75">
      <c r="A216" s="52"/>
      <c r="B216" s="52"/>
      <c r="C216" s="46"/>
      <c r="D216" s="52"/>
      <c r="E216" s="54"/>
      <c r="F216" s="331"/>
      <c r="G216" s="332"/>
      <c r="H216" s="333"/>
      <c r="I216" s="333"/>
      <c r="J216" s="334"/>
      <c r="K216" s="333"/>
      <c r="L216" s="334"/>
      <c r="M216" s="329"/>
    </row>
    <row r="217" spans="1:13" s="651" customFormat="1" ht="15.75">
      <c r="A217" s="52"/>
      <c r="B217" s="52"/>
      <c r="C217" s="46"/>
      <c r="D217" s="52"/>
      <c r="E217" s="54"/>
      <c r="F217" s="331"/>
      <c r="G217" s="332"/>
      <c r="H217" s="333"/>
      <c r="I217" s="333"/>
      <c r="J217" s="334"/>
      <c r="K217" s="333"/>
      <c r="L217" s="334"/>
      <c r="M217" s="329"/>
    </row>
    <row r="218" spans="1:13" s="651" customFormat="1" ht="15.75">
      <c r="A218" s="52"/>
      <c r="B218" s="52"/>
      <c r="C218" s="282"/>
      <c r="D218" s="52"/>
      <c r="E218" s="54"/>
      <c r="F218" s="331"/>
      <c r="G218" s="332"/>
      <c r="H218" s="333"/>
      <c r="I218" s="333"/>
      <c r="J218" s="334"/>
      <c r="K218" s="333"/>
      <c r="L218" s="334"/>
      <c r="M218" s="329"/>
    </row>
    <row r="219" spans="1:13" s="651" customFormat="1" ht="15.75">
      <c r="A219" s="52"/>
      <c r="B219" s="52"/>
      <c r="C219" s="46"/>
      <c r="D219" s="52"/>
      <c r="E219" s="54"/>
      <c r="F219" s="331"/>
      <c r="G219" s="332"/>
      <c r="H219" s="333"/>
      <c r="I219" s="333"/>
      <c r="J219" s="334"/>
      <c r="K219" s="333"/>
      <c r="L219" s="334"/>
      <c r="M219" s="329"/>
    </row>
    <row r="220" spans="1:13" s="651" customFormat="1" ht="15.75">
      <c r="A220" s="52"/>
      <c r="B220" s="52"/>
      <c r="C220" s="46"/>
      <c r="D220" s="52"/>
      <c r="E220" s="54"/>
      <c r="F220" s="331"/>
      <c r="G220" s="332"/>
      <c r="H220" s="333"/>
      <c r="I220" s="333"/>
      <c r="J220" s="334"/>
      <c r="K220" s="333"/>
      <c r="L220" s="334"/>
      <c r="M220" s="329"/>
    </row>
    <row r="221" spans="1:13" s="651" customFormat="1" ht="15.75">
      <c r="A221" s="52"/>
      <c r="B221" s="52"/>
      <c r="C221" s="282"/>
      <c r="D221" s="52"/>
      <c r="E221" s="54"/>
      <c r="F221" s="331"/>
      <c r="G221" s="332"/>
      <c r="H221" s="333"/>
      <c r="I221" s="333"/>
      <c r="J221" s="334"/>
      <c r="K221" s="333"/>
      <c r="L221" s="334"/>
      <c r="M221" s="329"/>
    </row>
    <row r="222" spans="1:13" s="651" customFormat="1" ht="15.75">
      <c r="A222" s="52"/>
      <c r="B222" s="52"/>
      <c r="C222" s="46"/>
      <c r="D222" s="52"/>
      <c r="E222" s="54"/>
      <c r="F222" s="331"/>
      <c r="G222" s="332"/>
      <c r="H222" s="333"/>
      <c r="I222" s="333"/>
      <c r="J222" s="334"/>
      <c r="K222" s="333"/>
      <c r="L222" s="334"/>
      <c r="M222" s="329"/>
    </row>
    <row r="223" spans="1:13" s="651" customFormat="1" ht="15.75">
      <c r="A223" s="52"/>
      <c r="B223" s="52"/>
      <c r="C223" s="46"/>
      <c r="D223" s="52"/>
      <c r="E223" s="54"/>
      <c r="F223" s="331"/>
      <c r="G223" s="332"/>
      <c r="H223" s="333"/>
      <c r="I223" s="333"/>
      <c r="J223" s="334"/>
      <c r="K223" s="333"/>
      <c r="L223" s="334"/>
      <c r="M223" s="329"/>
    </row>
    <row r="224" spans="1:13" s="651" customFormat="1" ht="15.75">
      <c r="A224" s="52"/>
      <c r="B224" s="52"/>
      <c r="C224" s="282"/>
      <c r="D224" s="52"/>
      <c r="E224" s="54"/>
      <c r="F224" s="331"/>
      <c r="G224" s="332"/>
      <c r="H224" s="333"/>
      <c r="I224" s="333"/>
      <c r="J224" s="334"/>
      <c r="K224" s="333"/>
      <c r="L224" s="334"/>
      <c r="M224" s="329"/>
    </row>
    <row r="225" spans="1:13" s="651" customFormat="1" ht="15.75">
      <c r="A225" s="52"/>
      <c r="B225" s="52"/>
      <c r="C225" s="46"/>
      <c r="D225" s="52"/>
      <c r="E225" s="54"/>
      <c r="F225" s="331"/>
      <c r="G225" s="332"/>
      <c r="H225" s="333"/>
      <c r="I225" s="333"/>
      <c r="J225" s="334"/>
      <c r="K225" s="333"/>
      <c r="L225" s="334"/>
      <c r="M225" s="329"/>
    </row>
    <row r="226" spans="1:13" s="651" customFormat="1" ht="15.75">
      <c r="A226" s="52"/>
      <c r="B226" s="52"/>
      <c r="C226" s="46"/>
      <c r="D226" s="52"/>
      <c r="E226" s="54"/>
      <c r="F226" s="331"/>
      <c r="G226" s="332"/>
      <c r="H226" s="333"/>
      <c r="I226" s="333"/>
      <c r="J226" s="334"/>
      <c r="K226" s="333"/>
      <c r="L226" s="334"/>
      <c r="M226" s="329"/>
    </row>
    <row r="227" spans="1:13" s="651" customFormat="1" ht="15.75">
      <c r="A227" s="52"/>
      <c r="B227" s="52"/>
      <c r="C227" s="282"/>
      <c r="D227" s="52"/>
      <c r="E227" s="54"/>
      <c r="F227" s="331"/>
      <c r="G227" s="332"/>
      <c r="H227" s="333"/>
      <c r="I227" s="333"/>
      <c r="J227" s="334"/>
      <c r="K227" s="333"/>
      <c r="L227" s="334"/>
      <c r="M227" s="329"/>
    </row>
    <row r="228" spans="1:13" s="651" customFormat="1" ht="15.75">
      <c r="A228" s="52"/>
      <c r="B228" s="52"/>
      <c r="C228" s="46"/>
      <c r="D228" s="52"/>
      <c r="E228" s="54"/>
      <c r="F228" s="331"/>
      <c r="G228" s="332"/>
      <c r="H228" s="333"/>
      <c r="I228" s="333"/>
      <c r="J228" s="334"/>
      <c r="K228" s="333"/>
      <c r="L228" s="334"/>
      <c r="M228" s="329"/>
    </row>
    <row r="229" spans="1:13" s="651" customFormat="1" ht="15.75">
      <c r="A229" s="52"/>
      <c r="B229" s="52"/>
      <c r="C229" s="46"/>
      <c r="D229" s="52"/>
      <c r="E229" s="54"/>
      <c r="F229" s="331"/>
      <c r="G229" s="332"/>
      <c r="H229" s="333"/>
      <c r="I229" s="333"/>
      <c r="J229" s="334"/>
      <c r="K229" s="333"/>
      <c r="L229" s="334"/>
      <c r="M229" s="329"/>
    </row>
    <row r="230" spans="1:13" s="651" customFormat="1" ht="16.5">
      <c r="A230" s="52"/>
      <c r="B230" s="52"/>
      <c r="C230" s="47"/>
      <c r="D230" s="52"/>
      <c r="E230" s="54"/>
      <c r="F230" s="331"/>
      <c r="G230" s="332"/>
      <c r="H230" s="333"/>
      <c r="I230" s="333"/>
      <c r="J230" s="334"/>
      <c r="K230" s="333"/>
      <c r="L230" s="334"/>
      <c r="M230" s="329"/>
    </row>
    <row r="231" spans="1:13" s="651" customFormat="1" ht="15.75">
      <c r="A231" s="52"/>
      <c r="B231" s="52"/>
      <c r="D231" s="76"/>
      <c r="E231" s="76"/>
      <c r="F231" s="331"/>
      <c r="G231" s="325"/>
      <c r="H231" s="325"/>
      <c r="I231" s="325"/>
      <c r="J231" s="325"/>
      <c r="K231" s="325"/>
      <c r="L231" s="325"/>
      <c r="M231" s="329"/>
    </row>
    <row r="232" spans="1:13" s="651" customFormat="1" ht="15.75">
      <c r="A232" s="52"/>
      <c r="B232" s="52"/>
      <c r="D232" s="76"/>
      <c r="E232" s="76"/>
      <c r="F232" s="331"/>
      <c r="G232" s="325"/>
      <c r="H232" s="325"/>
      <c r="I232" s="325"/>
      <c r="J232" s="325"/>
      <c r="K232" s="325"/>
      <c r="L232" s="325"/>
      <c r="M232" s="329"/>
    </row>
    <row r="233" spans="1:13" s="651" customFormat="1" ht="15.75">
      <c r="A233" s="52"/>
      <c r="B233" s="52"/>
      <c r="D233" s="76"/>
      <c r="E233" s="76"/>
      <c r="F233" s="331"/>
      <c r="G233" s="325"/>
      <c r="H233" s="325"/>
      <c r="I233" s="325"/>
      <c r="J233" s="325"/>
      <c r="K233" s="325"/>
      <c r="L233" s="325"/>
      <c r="M233" s="329"/>
    </row>
    <row r="234" spans="1:13" s="651" customFormat="1" ht="15.75">
      <c r="A234" s="52"/>
      <c r="B234" s="52"/>
      <c r="D234" s="76"/>
      <c r="E234" s="76"/>
      <c r="F234" s="331"/>
      <c r="G234" s="325"/>
      <c r="H234" s="325"/>
      <c r="I234" s="325"/>
      <c r="J234" s="325"/>
      <c r="K234" s="325"/>
      <c r="L234" s="325"/>
      <c r="M234" s="329"/>
    </row>
    <row r="235" spans="1:13" s="651" customFormat="1" ht="15.75">
      <c r="A235" s="52"/>
      <c r="B235" s="52"/>
      <c r="D235" s="76"/>
      <c r="E235" s="76"/>
      <c r="F235" s="331"/>
      <c r="G235" s="325"/>
      <c r="H235" s="325"/>
      <c r="I235" s="325"/>
      <c r="J235" s="325"/>
      <c r="K235" s="325"/>
      <c r="L235" s="325"/>
      <c r="M235" s="329"/>
    </row>
    <row r="236" spans="1:13" s="651" customFormat="1" ht="15.75">
      <c r="A236" s="52"/>
      <c r="B236" s="52"/>
      <c r="D236" s="76"/>
      <c r="E236" s="76"/>
      <c r="F236" s="331"/>
      <c r="G236" s="325"/>
      <c r="H236" s="325"/>
      <c r="I236" s="325"/>
      <c r="J236" s="325"/>
      <c r="K236" s="325"/>
      <c r="L236" s="325"/>
      <c r="M236" s="329"/>
    </row>
    <row r="237" spans="1:13" s="651" customFormat="1" ht="15.75">
      <c r="A237" s="52"/>
      <c r="B237" s="52"/>
      <c r="D237" s="76"/>
      <c r="E237" s="76"/>
      <c r="F237" s="331"/>
      <c r="G237" s="325"/>
      <c r="H237" s="325"/>
      <c r="I237" s="325"/>
      <c r="J237" s="325"/>
      <c r="K237" s="325"/>
      <c r="L237" s="325"/>
      <c r="M237" s="329"/>
    </row>
    <row r="238" spans="1:13" s="651" customFormat="1" ht="15.75">
      <c r="A238" s="53"/>
      <c r="B238" s="53"/>
      <c r="C238" s="656"/>
      <c r="D238" s="75"/>
      <c r="E238" s="75"/>
      <c r="F238" s="363"/>
      <c r="G238" s="325"/>
      <c r="H238" s="326"/>
      <c r="I238" s="326"/>
      <c r="J238" s="326"/>
      <c r="K238" s="326"/>
      <c r="L238" s="326"/>
      <c r="M238" s="327"/>
    </row>
    <row r="239" spans="1:13" s="651" customFormat="1" ht="15.75">
      <c r="A239" s="53"/>
      <c r="B239" s="53"/>
      <c r="C239" s="656"/>
      <c r="D239" s="75"/>
      <c r="E239" s="75"/>
      <c r="F239" s="363"/>
      <c r="G239" s="325"/>
      <c r="H239" s="326"/>
      <c r="I239" s="326"/>
      <c r="J239" s="326"/>
      <c r="K239" s="326"/>
      <c r="L239" s="326"/>
      <c r="M239" s="327"/>
    </row>
    <row r="240" spans="1:13" s="651" customFormat="1" ht="15.75">
      <c r="A240" s="53"/>
      <c r="B240" s="53"/>
      <c r="C240" s="656"/>
      <c r="D240" s="75"/>
      <c r="E240" s="75"/>
      <c r="F240" s="363"/>
      <c r="G240" s="325"/>
      <c r="H240" s="326"/>
      <c r="I240" s="326"/>
      <c r="J240" s="326"/>
      <c r="K240" s="326"/>
      <c r="L240" s="326"/>
      <c r="M240" s="327"/>
    </row>
    <row r="241" spans="1:13" s="651" customFormat="1" ht="15.75">
      <c r="A241" s="53"/>
      <c r="B241" s="53"/>
      <c r="C241" s="656"/>
      <c r="D241" s="75"/>
      <c r="E241" s="75"/>
      <c r="F241" s="363"/>
      <c r="G241" s="325"/>
      <c r="H241" s="326"/>
      <c r="I241" s="326"/>
      <c r="J241" s="326"/>
      <c r="K241" s="326"/>
      <c r="L241" s="326"/>
      <c r="M241" s="327"/>
    </row>
    <row r="242" spans="1:13" s="651" customFormat="1" ht="15.75">
      <c r="A242" s="53"/>
      <c r="B242" s="53"/>
      <c r="C242" s="656"/>
      <c r="D242" s="75"/>
      <c r="E242" s="75"/>
      <c r="F242" s="363"/>
      <c r="G242" s="325"/>
      <c r="H242" s="326"/>
      <c r="I242" s="326"/>
      <c r="J242" s="326"/>
      <c r="K242" s="326"/>
      <c r="L242" s="326"/>
      <c r="M242" s="327"/>
    </row>
    <row r="243" spans="1:13" s="651" customFormat="1" ht="15.75">
      <c r="A243" s="53"/>
      <c r="B243" s="53"/>
      <c r="C243" s="656"/>
      <c r="D243" s="75"/>
      <c r="E243" s="75"/>
      <c r="F243" s="363"/>
      <c r="G243" s="325"/>
      <c r="H243" s="326"/>
      <c r="I243" s="326"/>
      <c r="J243" s="326"/>
      <c r="K243" s="326"/>
      <c r="L243" s="326"/>
      <c r="M243" s="327"/>
    </row>
    <row r="244" spans="1:13" s="651" customFormat="1" ht="15.75">
      <c r="A244" s="53"/>
      <c r="B244" s="53"/>
      <c r="C244" s="656"/>
      <c r="D244" s="75"/>
      <c r="E244" s="75"/>
      <c r="F244" s="363"/>
      <c r="G244" s="325"/>
      <c r="H244" s="326"/>
      <c r="I244" s="326"/>
      <c r="J244" s="326"/>
      <c r="K244" s="326"/>
      <c r="L244" s="326"/>
      <c r="M244" s="327"/>
    </row>
    <row r="245" spans="1:13" s="651" customFormat="1" ht="15.75">
      <c r="A245" s="53"/>
      <c r="B245" s="53"/>
      <c r="C245" s="656"/>
      <c r="D245" s="75"/>
      <c r="E245" s="75"/>
      <c r="F245" s="363"/>
      <c r="G245" s="325"/>
      <c r="H245" s="326"/>
      <c r="I245" s="326"/>
      <c r="J245" s="326"/>
      <c r="K245" s="326"/>
      <c r="L245" s="326"/>
      <c r="M245" s="327"/>
    </row>
    <row r="246" spans="1:13" s="651" customFormat="1" ht="15.75">
      <c r="A246" s="53"/>
      <c r="B246" s="53"/>
      <c r="C246" s="656"/>
      <c r="D246" s="75"/>
      <c r="E246" s="75"/>
      <c r="F246" s="363"/>
      <c r="G246" s="325"/>
      <c r="H246" s="326"/>
      <c r="I246" s="326"/>
      <c r="J246" s="326"/>
      <c r="K246" s="326"/>
      <c r="L246" s="326"/>
      <c r="M246" s="327"/>
    </row>
    <row r="247" spans="1:13" s="651" customFormat="1" ht="15.75">
      <c r="A247" s="53"/>
      <c r="B247" s="53"/>
      <c r="C247" s="656"/>
      <c r="D247" s="75"/>
      <c r="E247" s="75"/>
      <c r="F247" s="363"/>
      <c r="G247" s="325"/>
      <c r="H247" s="326"/>
      <c r="I247" s="326"/>
      <c r="J247" s="326"/>
      <c r="K247" s="326"/>
      <c r="L247" s="326"/>
      <c r="M247" s="327"/>
    </row>
    <row r="248" spans="1:13" s="651" customFormat="1" ht="15.75">
      <c r="A248" s="53"/>
      <c r="B248" s="53"/>
      <c r="C248" s="656"/>
      <c r="D248" s="75"/>
      <c r="E248" s="75"/>
      <c r="F248" s="363"/>
      <c r="G248" s="325"/>
      <c r="H248" s="326"/>
      <c r="I248" s="326"/>
      <c r="J248" s="326"/>
      <c r="K248" s="326"/>
      <c r="L248" s="326"/>
      <c r="M248" s="327"/>
    </row>
    <row r="249" spans="1:13" s="651" customFormat="1" ht="15.75">
      <c r="A249" s="53"/>
      <c r="B249" s="53"/>
      <c r="C249" s="656"/>
      <c r="D249" s="75"/>
      <c r="E249" s="75"/>
      <c r="F249" s="363"/>
      <c r="G249" s="325"/>
      <c r="H249" s="326"/>
      <c r="I249" s="326"/>
      <c r="J249" s="326"/>
      <c r="K249" s="326"/>
      <c r="L249" s="326"/>
      <c r="M249" s="327"/>
    </row>
    <row r="250" spans="1:13" s="651" customFormat="1" ht="15.75">
      <c r="A250" s="53"/>
      <c r="B250" s="53"/>
      <c r="C250" s="656"/>
      <c r="D250" s="75"/>
      <c r="E250" s="75"/>
      <c r="F250" s="363"/>
      <c r="G250" s="325"/>
      <c r="H250" s="326"/>
      <c r="I250" s="326"/>
      <c r="J250" s="326"/>
      <c r="K250" s="326"/>
      <c r="L250" s="326"/>
      <c r="M250" s="327"/>
    </row>
    <row r="251" spans="1:13" s="651" customFormat="1" ht="15.75">
      <c r="A251" s="53"/>
      <c r="B251" s="53"/>
      <c r="C251" s="656"/>
      <c r="D251" s="75"/>
      <c r="E251" s="75"/>
      <c r="F251" s="363"/>
      <c r="G251" s="325"/>
      <c r="H251" s="326"/>
      <c r="I251" s="326"/>
      <c r="J251" s="326"/>
      <c r="K251" s="326"/>
      <c r="L251" s="326"/>
      <c r="M251" s="327"/>
    </row>
    <row r="252" spans="1:13" s="651" customFormat="1" ht="15.75">
      <c r="A252" s="53"/>
      <c r="B252" s="53"/>
      <c r="C252" s="656"/>
      <c r="D252" s="75"/>
      <c r="E252" s="75"/>
      <c r="F252" s="363"/>
      <c r="G252" s="325"/>
      <c r="H252" s="326"/>
      <c r="I252" s="326"/>
      <c r="J252" s="326"/>
      <c r="K252" s="326"/>
      <c r="L252" s="326"/>
      <c r="M252" s="327"/>
    </row>
    <row r="253" spans="1:13" s="651" customFormat="1" ht="15.75">
      <c r="A253" s="53"/>
      <c r="B253" s="53"/>
      <c r="C253" s="656"/>
      <c r="D253" s="75"/>
      <c r="E253" s="75"/>
      <c r="F253" s="363"/>
      <c r="G253" s="325"/>
      <c r="H253" s="326"/>
      <c r="I253" s="326"/>
      <c r="J253" s="326"/>
      <c r="K253" s="326"/>
      <c r="L253" s="326"/>
      <c r="M253" s="327"/>
    </row>
    <row r="254" spans="1:13" s="651" customFormat="1" ht="15.75">
      <c r="A254" s="53"/>
      <c r="B254" s="53"/>
      <c r="C254" s="656"/>
      <c r="D254" s="75"/>
      <c r="E254" s="75"/>
      <c r="F254" s="363"/>
      <c r="G254" s="325"/>
      <c r="H254" s="326"/>
      <c r="I254" s="326"/>
      <c r="J254" s="326"/>
      <c r="K254" s="326"/>
      <c r="L254" s="326"/>
      <c r="M254" s="327"/>
    </row>
    <row r="255" spans="1:13" s="651" customFormat="1" ht="15.75">
      <c r="A255" s="53"/>
      <c r="B255" s="53"/>
      <c r="C255" s="656"/>
      <c r="D255" s="75"/>
      <c r="E255" s="75"/>
      <c r="F255" s="363"/>
      <c r="G255" s="325"/>
      <c r="H255" s="326"/>
      <c r="I255" s="326"/>
      <c r="J255" s="326"/>
      <c r="K255" s="326"/>
      <c r="L255" s="326"/>
      <c r="M255" s="327"/>
    </row>
    <row r="256" spans="1:13" s="651" customFormat="1" ht="15.75">
      <c r="A256" s="53"/>
      <c r="B256" s="53"/>
      <c r="C256" s="656"/>
      <c r="D256" s="75"/>
      <c r="E256" s="75"/>
      <c r="F256" s="363"/>
      <c r="G256" s="325"/>
      <c r="H256" s="326"/>
      <c r="I256" s="326"/>
      <c r="J256" s="326"/>
      <c r="K256" s="326"/>
      <c r="L256" s="326"/>
      <c r="M256" s="327"/>
    </row>
    <row r="257" spans="1:13" s="651" customFormat="1" ht="15.75">
      <c r="A257" s="53"/>
      <c r="B257" s="53"/>
      <c r="C257" s="656"/>
      <c r="D257" s="75"/>
      <c r="E257" s="75"/>
      <c r="F257" s="363"/>
      <c r="G257" s="325"/>
      <c r="H257" s="326"/>
      <c r="I257" s="326"/>
      <c r="J257" s="326"/>
      <c r="K257" s="326"/>
      <c r="L257" s="326"/>
      <c r="M257" s="327"/>
    </row>
    <row r="258" spans="1:13" s="651" customFormat="1" ht="15.75">
      <c r="A258" s="53"/>
      <c r="B258" s="53"/>
      <c r="C258" s="656"/>
      <c r="D258" s="75"/>
      <c r="E258" s="75"/>
      <c r="F258" s="363"/>
      <c r="G258" s="325"/>
      <c r="H258" s="326"/>
      <c r="I258" s="326"/>
      <c r="J258" s="326"/>
      <c r="K258" s="326"/>
      <c r="L258" s="326"/>
      <c r="M258" s="327"/>
    </row>
    <row r="259" spans="1:13" s="651" customFormat="1" ht="15.75">
      <c r="A259" s="53"/>
      <c r="B259" s="53"/>
      <c r="C259" s="656"/>
      <c r="D259" s="75"/>
      <c r="E259" s="75"/>
      <c r="F259" s="363"/>
      <c r="G259" s="325"/>
      <c r="H259" s="326"/>
      <c r="I259" s="326"/>
      <c r="J259" s="326"/>
      <c r="K259" s="326"/>
      <c r="L259" s="326"/>
      <c r="M259" s="327"/>
    </row>
    <row r="260" spans="1:13" s="651" customFormat="1" ht="15.75">
      <c r="A260" s="53"/>
      <c r="B260" s="53"/>
      <c r="C260" s="656"/>
      <c r="D260" s="75"/>
      <c r="E260" s="75"/>
      <c r="F260" s="363"/>
      <c r="G260" s="325"/>
      <c r="H260" s="326"/>
      <c r="I260" s="326"/>
      <c r="J260" s="326"/>
      <c r="K260" s="326"/>
      <c r="L260" s="326"/>
      <c r="M260" s="327"/>
    </row>
    <row r="261" spans="1:13" s="651" customFormat="1" ht="15.75">
      <c r="A261" s="53"/>
      <c r="B261" s="53"/>
      <c r="C261" s="656"/>
      <c r="D261" s="75"/>
      <c r="E261" s="75"/>
      <c r="F261" s="363"/>
      <c r="G261" s="325"/>
      <c r="H261" s="326"/>
      <c r="I261" s="326"/>
      <c r="J261" s="326"/>
      <c r="K261" s="326"/>
      <c r="L261" s="326"/>
      <c r="M261" s="327"/>
    </row>
    <row r="262" spans="1:13" s="651" customFormat="1" ht="15.75">
      <c r="A262" s="53"/>
      <c r="B262" s="53"/>
      <c r="C262" s="656"/>
      <c r="D262" s="75"/>
      <c r="E262" s="75"/>
      <c r="F262" s="363"/>
      <c r="G262" s="325"/>
      <c r="H262" s="326"/>
      <c r="I262" s="326"/>
      <c r="J262" s="326"/>
      <c r="K262" s="326"/>
      <c r="L262" s="326"/>
      <c r="M262" s="327"/>
    </row>
    <row r="263" spans="1:13" s="651" customFormat="1" ht="15.75">
      <c r="A263" s="53"/>
      <c r="B263" s="53"/>
      <c r="C263" s="656"/>
      <c r="D263" s="75"/>
      <c r="E263" s="75"/>
      <c r="F263" s="363"/>
      <c r="G263" s="325"/>
      <c r="H263" s="326"/>
      <c r="I263" s="326"/>
      <c r="J263" s="326"/>
      <c r="K263" s="326"/>
      <c r="L263" s="326"/>
      <c r="M263" s="327"/>
    </row>
    <row r="264" spans="1:13" s="651" customFormat="1" ht="15.75">
      <c r="A264" s="53"/>
      <c r="B264" s="53"/>
      <c r="C264" s="656"/>
      <c r="D264" s="75"/>
      <c r="E264" s="75"/>
      <c r="F264" s="363"/>
      <c r="G264" s="325"/>
      <c r="H264" s="326"/>
      <c r="I264" s="326"/>
      <c r="J264" s="326"/>
      <c r="K264" s="326"/>
      <c r="L264" s="326"/>
      <c r="M264" s="327"/>
    </row>
    <row r="265" spans="1:13" s="651" customFormat="1" ht="15.75">
      <c r="A265" s="53"/>
      <c r="B265" s="53"/>
      <c r="C265" s="656"/>
      <c r="D265" s="75"/>
      <c r="E265" s="75"/>
      <c r="F265" s="363"/>
      <c r="G265" s="325"/>
      <c r="H265" s="326"/>
      <c r="I265" s="326"/>
      <c r="J265" s="326"/>
      <c r="K265" s="326"/>
      <c r="L265" s="326"/>
      <c r="M265" s="327"/>
    </row>
    <row r="266" spans="1:13" s="651" customFormat="1" ht="15.75">
      <c r="A266" s="53"/>
      <c r="B266" s="53"/>
      <c r="C266" s="656"/>
      <c r="D266" s="75"/>
      <c r="E266" s="75"/>
      <c r="F266" s="363"/>
      <c r="G266" s="325"/>
      <c r="H266" s="326"/>
      <c r="I266" s="326"/>
      <c r="J266" s="326"/>
      <c r="K266" s="326"/>
      <c r="L266" s="326"/>
      <c r="M266" s="327"/>
    </row>
    <row r="267" spans="1:13" s="651" customFormat="1" ht="15.75">
      <c r="A267" s="53"/>
      <c r="B267" s="53"/>
      <c r="C267" s="656"/>
      <c r="D267" s="75"/>
      <c r="E267" s="75"/>
      <c r="F267" s="363"/>
      <c r="G267" s="325"/>
      <c r="H267" s="326"/>
      <c r="I267" s="326"/>
      <c r="J267" s="326"/>
      <c r="K267" s="326"/>
      <c r="L267" s="326"/>
      <c r="M267" s="327"/>
    </row>
    <row r="268" spans="1:13" s="651" customFormat="1" ht="15.75">
      <c r="A268" s="53"/>
      <c r="B268" s="53"/>
      <c r="C268" s="656"/>
      <c r="D268" s="75"/>
      <c r="E268" s="75"/>
      <c r="F268" s="363"/>
      <c r="G268" s="325"/>
      <c r="H268" s="326"/>
      <c r="I268" s="326"/>
      <c r="J268" s="326"/>
      <c r="K268" s="326"/>
      <c r="L268" s="326"/>
      <c r="M268" s="327"/>
    </row>
    <row r="269" spans="1:13" s="651" customFormat="1" ht="15.75">
      <c r="A269" s="53"/>
      <c r="B269" s="53"/>
      <c r="C269" s="656"/>
      <c r="D269" s="75"/>
      <c r="E269" s="75"/>
      <c r="F269" s="363"/>
      <c r="G269" s="325"/>
      <c r="H269" s="326"/>
      <c r="I269" s="326"/>
      <c r="J269" s="326"/>
      <c r="K269" s="326"/>
      <c r="L269" s="326"/>
      <c r="M269" s="327"/>
    </row>
    <row r="270" spans="1:13" s="651" customFormat="1" ht="15.75">
      <c r="A270" s="53"/>
      <c r="B270" s="53"/>
      <c r="C270" s="656"/>
      <c r="D270" s="75"/>
      <c r="E270" s="75"/>
      <c r="F270" s="363"/>
      <c r="G270" s="325"/>
      <c r="H270" s="326"/>
      <c r="I270" s="326"/>
      <c r="J270" s="326"/>
      <c r="K270" s="326"/>
      <c r="L270" s="326"/>
      <c r="M270" s="327"/>
    </row>
    <row r="271" spans="1:13" s="651" customFormat="1" ht="15.75">
      <c r="A271" s="53"/>
      <c r="B271" s="53"/>
      <c r="C271" s="656"/>
      <c r="D271" s="75"/>
      <c r="E271" s="75"/>
      <c r="F271" s="363"/>
      <c r="G271" s="325"/>
      <c r="H271" s="326"/>
      <c r="I271" s="326"/>
      <c r="J271" s="326"/>
      <c r="K271" s="326"/>
      <c r="L271" s="326"/>
      <c r="M271" s="327"/>
    </row>
    <row r="272" spans="1:13" s="651" customFormat="1" ht="15.75">
      <c r="A272" s="53"/>
      <c r="B272" s="53"/>
      <c r="C272" s="656"/>
      <c r="D272" s="75"/>
      <c r="E272" s="75"/>
      <c r="F272" s="363"/>
      <c r="G272" s="325"/>
      <c r="H272" s="326"/>
      <c r="I272" s="326"/>
      <c r="J272" s="326"/>
      <c r="K272" s="326"/>
      <c r="L272" s="326"/>
      <c r="M272" s="327"/>
    </row>
    <row r="273" spans="1:13" s="651" customFormat="1" ht="15.75">
      <c r="A273" s="53"/>
      <c r="B273" s="53"/>
      <c r="C273" s="656"/>
      <c r="D273" s="75"/>
      <c r="E273" s="75"/>
      <c r="F273" s="363"/>
      <c r="G273" s="325"/>
      <c r="H273" s="326"/>
      <c r="I273" s="326"/>
      <c r="J273" s="326"/>
      <c r="K273" s="326"/>
      <c r="L273" s="326"/>
      <c r="M273" s="327"/>
    </row>
    <row r="274" spans="1:13" s="651" customFormat="1" ht="15.75">
      <c r="A274" s="53"/>
      <c r="B274" s="53"/>
      <c r="C274" s="656"/>
      <c r="D274" s="75"/>
      <c r="E274" s="75"/>
      <c r="F274" s="363"/>
      <c r="G274" s="325"/>
      <c r="H274" s="326"/>
      <c r="I274" s="326"/>
      <c r="J274" s="326"/>
      <c r="K274" s="326"/>
      <c r="L274" s="326"/>
      <c r="M274" s="327"/>
    </row>
    <row r="275" ht="15.75">
      <c r="G275" s="325"/>
    </row>
    <row r="276" ht="15.75">
      <c r="G276" s="325"/>
    </row>
    <row r="277" ht="15.75">
      <c r="G277" s="325"/>
    </row>
    <row r="278" ht="15.75">
      <c r="G278" s="325"/>
    </row>
    <row r="279" ht="15.75">
      <c r="G279" s="325"/>
    </row>
    <row r="280" ht="15.75">
      <c r="G280" s="325"/>
    </row>
    <row r="281" ht="15.75">
      <c r="G281" s="325"/>
    </row>
    <row r="282" ht="15.75">
      <c r="G282" s="325"/>
    </row>
    <row r="283" ht="15.75">
      <c r="G283" s="325"/>
    </row>
    <row r="284" ht="15.75">
      <c r="G284" s="325"/>
    </row>
    <row r="285" ht="15.75">
      <c r="G285" s="325"/>
    </row>
    <row r="286" ht="15.75">
      <c r="G286" s="325"/>
    </row>
    <row r="287" ht="15.75">
      <c r="G287" s="325"/>
    </row>
    <row r="288" ht="15.75">
      <c r="G288" s="325"/>
    </row>
    <row r="289" ht="15.75">
      <c r="G289" s="325"/>
    </row>
    <row r="290" ht="15.75">
      <c r="G290" s="325"/>
    </row>
    <row r="291" ht="15.75">
      <c r="G291" s="325"/>
    </row>
    <row r="292" ht="15.75">
      <c r="G292" s="325"/>
    </row>
    <row r="293" ht="15.75">
      <c r="G293" s="325"/>
    </row>
    <row r="294" ht="15.75">
      <c r="G294" s="325"/>
    </row>
    <row r="295" ht="15.75">
      <c r="G295" s="325"/>
    </row>
    <row r="296" ht="15.75">
      <c r="G296" s="325"/>
    </row>
    <row r="297" ht="15.75">
      <c r="G297" s="325"/>
    </row>
    <row r="298" ht="15.75">
      <c r="G298" s="325"/>
    </row>
    <row r="299" ht="15.75">
      <c r="G299" s="325"/>
    </row>
    <row r="300" ht="15.75">
      <c r="G300" s="325"/>
    </row>
    <row r="301" ht="15.75">
      <c r="G301" s="325"/>
    </row>
    <row r="302" ht="15.75">
      <c r="G302" s="325"/>
    </row>
    <row r="303" ht="15.75">
      <c r="G303" s="325"/>
    </row>
    <row r="304" ht="15.75">
      <c r="G304" s="325"/>
    </row>
    <row r="305" ht="15.75">
      <c r="G305" s="325"/>
    </row>
    <row r="306" ht="15.75">
      <c r="G306" s="325"/>
    </row>
    <row r="307" ht="15.75">
      <c r="G307" s="325"/>
    </row>
    <row r="308" ht="15.75">
      <c r="G308" s="325"/>
    </row>
    <row r="309" ht="15.75">
      <c r="G309" s="325"/>
    </row>
    <row r="310" ht="15.75">
      <c r="G310" s="325"/>
    </row>
    <row r="311" ht="15.75">
      <c r="G311" s="325"/>
    </row>
    <row r="312" ht="15.75">
      <c r="G312" s="325"/>
    </row>
    <row r="313" ht="15.75">
      <c r="G313" s="325"/>
    </row>
    <row r="314" ht="15.75">
      <c r="G314" s="325"/>
    </row>
    <row r="315" ht="15.75">
      <c r="G315" s="325"/>
    </row>
    <row r="316" ht="15.75">
      <c r="G316" s="325"/>
    </row>
    <row r="317" ht="15.75">
      <c r="G317" s="325"/>
    </row>
    <row r="318" ht="15.75">
      <c r="G318" s="325"/>
    </row>
    <row r="319" ht="15.75">
      <c r="G319" s="325"/>
    </row>
    <row r="320" ht="15.75">
      <c r="G320" s="325"/>
    </row>
    <row r="321" ht="15.75">
      <c r="G321" s="325"/>
    </row>
    <row r="322" ht="15.75">
      <c r="G322" s="325"/>
    </row>
    <row r="323" ht="15.75">
      <c r="G323" s="325"/>
    </row>
    <row r="324" ht="15.75">
      <c r="G324" s="325"/>
    </row>
    <row r="325" ht="15.75">
      <c r="G325" s="325"/>
    </row>
    <row r="326" ht="15.75">
      <c r="G326" s="325"/>
    </row>
    <row r="327" ht="15.75">
      <c r="G327" s="325"/>
    </row>
    <row r="328" ht="15.75">
      <c r="G328" s="325"/>
    </row>
    <row r="329" ht="15.75">
      <c r="G329" s="325"/>
    </row>
    <row r="330" ht="15.75">
      <c r="G330" s="325"/>
    </row>
    <row r="331" ht="15.75">
      <c r="G331" s="325"/>
    </row>
    <row r="332" ht="15.75">
      <c r="G332" s="325"/>
    </row>
    <row r="333" ht="15.75">
      <c r="G333" s="325"/>
    </row>
    <row r="334" ht="15.75">
      <c r="G334" s="325"/>
    </row>
    <row r="335" ht="15.75">
      <c r="G335" s="325"/>
    </row>
    <row r="336" ht="15.75">
      <c r="G336" s="325"/>
    </row>
    <row r="337" ht="15.75">
      <c r="G337" s="325"/>
    </row>
    <row r="338" ht="15.75">
      <c r="G338" s="325"/>
    </row>
    <row r="339" ht="15.75">
      <c r="G339" s="325"/>
    </row>
    <row r="340" ht="15.75">
      <c r="G340" s="325"/>
    </row>
    <row r="341" ht="15.75">
      <c r="G341" s="325"/>
    </row>
    <row r="342" ht="15.75">
      <c r="G342" s="325"/>
    </row>
    <row r="343" ht="15.75">
      <c r="G343" s="325"/>
    </row>
    <row r="344" ht="15.75">
      <c r="G344" s="325"/>
    </row>
    <row r="345" ht="15.75">
      <c r="G345" s="325"/>
    </row>
    <row r="346" ht="15.75">
      <c r="G346" s="325"/>
    </row>
    <row r="347" ht="15.75">
      <c r="G347" s="325"/>
    </row>
    <row r="348" ht="15.75">
      <c r="G348" s="325"/>
    </row>
    <row r="349" ht="15.75">
      <c r="G349" s="325"/>
    </row>
    <row r="350" ht="15.75">
      <c r="G350" s="325"/>
    </row>
    <row r="351" ht="15.75">
      <c r="G351" s="325"/>
    </row>
    <row r="352" ht="15.75">
      <c r="G352" s="325"/>
    </row>
    <row r="353" ht="15.75">
      <c r="G353" s="325"/>
    </row>
    <row r="354" ht="15.75">
      <c r="G354" s="325"/>
    </row>
    <row r="355" ht="15.75">
      <c r="G355" s="325"/>
    </row>
    <row r="356" ht="15.75">
      <c r="G356" s="325"/>
    </row>
    <row r="357" ht="15.75">
      <c r="G357" s="325"/>
    </row>
    <row r="358" ht="15.75">
      <c r="G358" s="325"/>
    </row>
    <row r="359" ht="15.75">
      <c r="G359" s="325"/>
    </row>
    <row r="360" ht="15.75">
      <c r="G360" s="325"/>
    </row>
    <row r="361" ht="15.75">
      <c r="G361" s="325"/>
    </row>
    <row r="362" ht="15.75">
      <c r="G362" s="325"/>
    </row>
    <row r="363" ht="15.75">
      <c r="G363" s="325"/>
    </row>
    <row r="364" ht="15.75">
      <c r="G364" s="325"/>
    </row>
    <row r="365" ht="15.75">
      <c r="G365" s="325"/>
    </row>
    <row r="366" ht="15.75">
      <c r="G366" s="325"/>
    </row>
    <row r="367" ht="15.75">
      <c r="G367" s="325"/>
    </row>
    <row r="368" ht="15.75">
      <c r="G368" s="325"/>
    </row>
    <row r="369" ht="15.75">
      <c r="G369" s="325"/>
    </row>
    <row r="370" ht="15.75">
      <c r="G370" s="325"/>
    </row>
    <row r="371" ht="15.75">
      <c r="G371" s="325"/>
    </row>
    <row r="372" ht="15.75">
      <c r="G372" s="325"/>
    </row>
    <row r="373" ht="15.75">
      <c r="G373" s="325"/>
    </row>
    <row r="374" ht="15.75">
      <c r="G374" s="325"/>
    </row>
    <row r="375" ht="15.75">
      <c r="G375" s="325"/>
    </row>
    <row r="376" ht="15.75">
      <c r="G376" s="325"/>
    </row>
    <row r="377" ht="15.75">
      <c r="G377" s="325"/>
    </row>
    <row r="378" ht="15.75">
      <c r="G378" s="325"/>
    </row>
    <row r="379" ht="15.75">
      <c r="G379" s="325"/>
    </row>
    <row r="380" ht="15.75">
      <c r="G380" s="325"/>
    </row>
    <row r="381" ht="15.75">
      <c r="G381" s="325"/>
    </row>
    <row r="382" ht="15.75">
      <c r="G382" s="325"/>
    </row>
    <row r="383" ht="15.75">
      <c r="G383" s="325"/>
    </row>
    <row r="384" ht="15.75">
      <c r="G384" s="325"/>
    </row>
    <row r="385" ht="15.75">
      <c r="G385" s="325"/>
    </row>
    <row r="386" ht="15.75">
      <c r="G386" s="325"/>
    </row>
    <row r="387" ht="15.75">
      <c r="G387" s="325"/>
    </row>
    <row r="388" ht="15.75">
      <c r="G388" s="325"/>
    </row>
    <row r="389" ht="15.75">
      <c r="G389" s="325"/>
    </row>
    <row r="390" ht="15.75">
      <c r="G390" s="325"/>
    </row>
    <row r="391" ht="15.75">
      <c r="G391" s="325"/>
    </row>
    <row r="392" ht="15.75">
      <c r="G392" s="325"/>
    </row>
    <row r="393" ht="15.75">
      <c r="G393" s="325"/>
    </row>
    <row r="394" ht="15.75">
      <c r="G394" s="325"/>
    </row>
    <row r="395" ht="15.75">
      <c r="G395" s="325"/>
    </row>
    <row r="396" ht="15.75">
      <c r="G396" s="325"/>
    </row>
    <row r="397" ht="15.75">
      <c r="G397" s="325"/>
    </row>
    <row r="398" ht="15.75">
      <c r="G398" s="325"/>
    </row>
    <row r="399" ht="15.75">
      <c r="G399" s="325"/>
    </row>
    <row r="400" ht="15.75">
      <c r="G400" s="325"/>
    </row>
    <row r="401" ht="15.75">
      <c r="G401" s="325"/>
    </row>
    <row r="402" ht="15.75">
      <c r="G402" s="325"/>
    </row>
    <row r="403" ht="15.75">
      <c r="G403" s="325"/>
    </row>
    <row r="404" ht="15.75">
      <c r="G404" s="325"/>
    </row>
    <row r="405" ht="15.75">
      <c r="G405" s="325"/>
    </row>
    <row r="406" ht="15.75">
      <c r="G406" s="325"/>
    </row>
    <row r="407" ht="15.75">
      <c r="G407" s="325"/>
    </row>
    <row r="408" ht="15.75">
      <c r="G408" s="325"/>
    </row>
    <row r="409" ht="15.75">
      <c r="G409" s="325"/>
    </row>
    <row r="410" ht="15.75">
      <c r="G410" s="325"/>
    </row>
    <row r="411" ht="15.75">
      <c r="G411" s="325"/>
    </row>
    <row r="412" ht="15.75">
      <c r="G412" s="325"/>
    </row>
    <row r="413" ht="15.75">
      <c r="G413" s="325"/>
    </row>
    <row r="414" ht="15.75">
      <c r="G414" s="325"/>
    </row>
    <row r="415" ht="15.75">
      <c r="G415" s="325"/>
    </row>
    <row r="416" ht="15.75">
      <c r="G416" s="325"/>
    </row>
    <row r="417" ht="15.75">
      <c r="G417" s="325"/>
    </row>
    <row r="418" ht="15.75">
      <c r="G418" s="325"/>
    </row>
    <row r="419" ht="15.75">
      <c r="G419" s="325"/>
    </row>
    <row r="420" ht="15.75">
      <c r="G420" s="325"/>
    </row>
    <row r="421" ht="15.75">
      <c r="G421" s="325"/>
    </row>
    <row r="422" ht="15.75">
      <c r="G422" s="325"/>
    </row>
    <row r="423" ht="15.75">
      <c r="G423" s="325"/>
    </row>
    <row r="424" ht="15.75">
      <c r="G424" s="325"/>
    </row>
    <row r="425" ht="15.75">
      <c r="G425" s="325"/>
    </row>
    <row r="426" ht="15.75">
      <c r="G426" s="325"/>
    </row>
    <row r="427" ht="15.75">
      <c r="G427" s="325"/>
    </row>
    <row r="428" ht="15.75">
      <c r="G428" s="325"/>
    </row>
    <row r="429" ht="15.75">
      <c r="G429" s="325"/>
    </row>
    <row r="430" ht="15.75">
      <c r="G430" s="325"/>
    </row>
    <row r="431" ht="15.75">
      <c r="G431" s="325"/>
    </row>
    <row r="432" ht="15.75">
      <c r="G432" s="325"/>
    </row>
    <row r="433" ht="15.75">
      <c r="G433" s="325"/>
    </row>
    <row r="434" ht="15.75">
      <c r="G434" s="325"/>
    </row>
    <row r="435" ht="15.75">
      <c r="G435" s="325"/>
    </row>
    <row r="436" ht="15.75">
      <c r="G436" s="325"/>
    </row>
    <row r="437" ht="15.75">
      <c r="G437" s="325"/>
    </row>
    <row r="438" ht="15.75">
      <c r="G438" s="325"/>
    </row>
    <row r="439" ht="15.75">
      <c r="G439" s="325"/>
    </row>
    <row r="440" ht="15.75">
      <c r="G440" s="325"/>
    </row>
    <row r="441" ht="15.75">
      <c r="G441" s="325"/>
    </row>
    <row r="442" ht="15.75">
      <c r="G442" s="325"/>
    </row>
    <row r="443" ht="15.75">
      <c r="G443" s="325"/>
    </row>
    <row r="444" ht="15.75">
      <c r="G444" s="325"/>
    </row>
    <row r="445" ht="15.75">
      <c r="G445" s="325"/>
    </row>
    <row r="446" ht="15.75">
      <c r="G446" s="325"/>
    </row>
    <row r="447" ht="15.75">
      <c r="G447" s="325"/>
    </row>
    <row r="448" ht="15.75">
      <c r="G448" s="325"/>
    </row>
    <row r="449" ht="15.75">
      <c r="G449" s="325"/>
    </row>
    <row r="450" ht="15.75">
      <c r="G450" s="325"/>
    </row>
    <row r="451" ht="15.75">
      <c r="G451" s="325"/>
    </row>
    <row r="452" ht="15.75">
      <c r="G452" s="325"/>
    </row>
    <row r="453" ht="15.75">
      <c r="G453" s="325"/>
    </row>
    <row r="454" ht="15.75">
      <c r="G454" s="325"/>
    </row>
    <row r="455" ht="15.75">
      <c r="G455" s="325"/>
    </row>
    <row r="456" ht="15.75">
      <c r="G456" s="325"/>
    </row>
    <row r="457" ht="15.75">
      <c r="G457" s="325"/>
    </row>
    <row r="458" ht="15.75">
      <c r="G458" s="325"/>
    </row>
    <row r="459" ht="15.75">
      <c r="G459" s="325"/>
    </row>
    <row r="460" ht="15.75">
      <c r="G460" s="325"/>
    </row>
    <row r="461" ht="15.75">
      <c r="G461" s="325"/>
    </row>
    <row r="462" ht="15.75">
      <c r="G462" s="325"/>
    </row>
    <row r="463" ht="15.75">
      <c r="G463" s="325"/>
    </row>
    <row r="464" ht="15.75">
      <c r="G464" s="325"/>
    </row>
    <row r="465" ht="15.75">
      <c r="G465" s="325"/>
    </row>
    <row r="466" ht="15.75">
      <c r="G466" s="325"/>
    </row>
    <row r="467" ht="15.75">
      <c r="G467" s="325"/>
    </row>
    <row r="468" ht="15.75">
      <c r="G468" s="325"/>
    </row>
    <row r="469" ht="15.75">
      <c r="G469" s="325"/>
    </row>
    <row r="470" ht="15.75">
      <c r="G470" s="325"/>
    </row>
    <row r="471" ht="15.75">
      <c r="G471" s="325"/>
    </row>
    <row r="472" ht="15.75">
      <c r="G472" s="325"/>
    </row>
    <row r="473" ht="15.75">
      <c r="G473" s="325"/>
    </row>
    <row r="474" ht="15.75">
      <c r="G474" s="325"/>
    </row>
    <row r="475" ht="15.75">
      <c r="G475" s="325"/>
    </row>
    <row r="476" ht="15.75">
      <c r="G476" s="325"/>
    </row>
    <row r="477" ht="15.75">
      <c r="G477" s="325"/>
    </row>
    <row r="478" ht="15.75">
      <c r="G478" s="325"/>
    </row>
    <row r="479" ht="15.75">
      <c r="G479" s="325"/>
    </row>
    <row r="480" ht="15.75">
      <c r="G480" s="325"/>
    </row>
    <row r="481" ht="15.75">
      <c r="G481" s="325"/>
    </row>
    <row r="482" ht="15.75">
      <c r="G482" s="325"/>
    </row>
    <row r="483" ht="15.75">
      <c r="G483" s="325"/>
    </row>
    <row r="484" ht="15.75">
      <c r="G484" s="325"/>
    </row>
    <row r="485" ht="15.75">
      <c r="G485" s="325"/>
    </row>
    <row r="486" ht="15.75">
      <c r="G486" s="325"/>
    </row>
    <row r="487" ht="15.75">
      <c r="G487" s="325"/>
    </row>
    <row r="488" ht="15.75">
      <c r="G488" s="325"/>
    </row>
    <row r="489" ht="15.75">
      <c r="G489" s="325"/>
    </row>
    <row r="490" ht="15.75">
      <c r="G490" s="325"/>
    </row>
    <row r="491" ht="15.75">
      <c r="G491" s="325"/>
    </row>
    <row r="492" ht="15.75">
      <c r="G492" s="325"/>
    </row>
    <row r="493" ht="15.75">
      <c r="G493" s="325"/>
    </row>
    <row r="494" ht="15.75">
      <c r="G494" s="325"/>
    </row>
    <row r="495" ht="15.75">
      <c r="G495" s="325"/>
    </row>
    <row r="496" ht="15.75">
      <c r="G496" s="325"/>
    </row>
    <row r="497" ht="15.75">
      <c r="G497" s="325"/>
    </row>
    <row r="498" ht="15.75">
      <c r="G498" s="325"/>
    </row>
    <row r="499" ht="15.75">
      <c r="G499" s="325"/>
    </row>
    <row r="500" ht="15.75">
      <c r="G500" s="325"/>
    </row>
    <row r="501" ht="15.75">
      <c r="G501" s="325"/>
    </row>
    <row r="502" ht="15.75">
      <c r="G502" s="325"/>
    </row>
    <row r="503" ht="15.75">
      <c r="G503" s="325"/>
    </row>
    <row r="504" ht="15.75">
      <c r="G504" s="325"/>
    </row>
    <row r="505" ht="15.75">
      <c r="G505" s="325"/>
    </row>
    <row r="506" ht="15.75">
      <c r="G506" s="325"/>
    </row>
    <row r="507" ht="15.75">
      <c r="G507" s="325"/>
    </row>
    <row r="508" ht="15.75">
      <c r="G508" s="325"/>
    </row>
    <row r="509" ht="15.75">
      <c r="G509" s="325"/>
    </row>
  </sheetData>
  <sheetProtection/>
  <autoFilter ref="A9:M170"/>
  <mergeCells count="14">
    <mergeCell ref="F175:H175"/>
    <mergeCell ref="A5:M5"/>
    <mergeCell ref="A7:A8"/>
    <mergeCell ref="C7:C8"/>
    <mergeCell ref="D7:D8"/>
    <mergeCell ref="A1:M1"/>
    <mergeCell ref="M7:M8"/>
    <mergeCell ref="A3:M3"/>
    <mergeCell ref="F7:F8"/>
    <mergeCell ref="B7:B8"/>
    <mergeCell ref="G7:H7"/>
    <mergeCell ref="I7:J7"/>
    <mergeCell ref="K7:L7"/>
    <mergeCell ref="E7:E8"/>
  </mergeCells>
  <printOptions horizontalCentered="1"/>
  <pageMargins left="0.2" right="0.2" top="0.5" bottom="0.5" header="0.433070866141732" footer="0.196850393700787"/>
  <pageSetup cellComments="asDisplayed" horizontalDpi="600" verticalDpi="600" orientation="landscape" paperSize="9" scale="79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615"/>
  <sheetViews>
    <sheetView view="pageBreakPreview" zoomScaleSheetLayoutView="100" zoomScalePageLayoutView="0" workbookViewId="0" topLeftCell="A1">
      <selection activeCell="G26" sqref="G26:I26"/>
    </sheetView>
  </sheetViews>
  <sheetFormatPr defaultColWidth="9.140625" defaultRowHeight="12.75"/>
  <cols>
    <col min="1" max="1" width="3.8515625" style="469" customWidth="1"/>
    <col min="2" max="2" width="9.8515625" style="469" customWidth="1"/>
    <col min="3" max="3" width="48.8515625" style="471" customWidth="1"/>
    <col min="4" max="4" width="7.8515625" style="471" customWidth="1"/>
    <col min="5" max="5" width="7.7109375" style="469" customWidth="1"/>
    <col min="6" max="6" width="8.7109375" style="471" customWidth="1"/>
    <col min="7" max="7" width="9.421875" style="471" customWidth="1"/>
    <col min="8" max="8" width="11.421875" style="471" customWidth="1"/>
    <col min="9" max="9" width="9.421875" style="475" customWidth="1"/>
    <col min="10" max="10" width="11.421875" style="471" customWidth="1"/>
    <col min="11" max="11" width="9.421875" style="475" customWidth="1"/>
    <col min="12" max="12" width="10.8515625" style="471" customWidth="1"/>
    <col min="13" max="13" width="12.140625" style="469" customWidth="1"/>
    <col min="14" max="14" width="11.00390625" style="470" customWidth="1"/>
    <col min="15" max="15" width="12.8515625" style="471" customWidth="1"/>
    <col min="16" max="16" width="12.57421875" style="471" customWidth="1"/>
    <col min="17" max="16384" width="9.140625" style="471" customWidth="1"/>
  </cols>
  <sheetData>
    <row r="1" spans="1:13" s="273" customFormat="1" ht="42" customHeight="1">
      <c r="A1" s="812" t="str">
        <f>კრებსიტი!A1</f>
        <v>სსიპ წიაღის ეროვნული სააგენტოსთვის დავით აღმაშენებლის გამზირზე #150 მდებარე შენობის მე-8 სართულის (საერთო ფართი 889.32 კვ.მ.) სარემონტო-სამონტაჟო სამუშაოებისთვის საჭირო საპროექტო-სახარჯთაღრიცხვო დოკუმენტაციის შედგენა. 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</row>
    <row r="2" spans="1:5" s="111" customFormat="1" ht="9" customHeight="1">
      <c r="A2" s="228"/>
      <c r="B2" s="228"/>
      <c r="D2" s="228"/>
      <c r="E2" s="228"/>
    </row>
    <row r="3" spans="1:16" s="274" customFormat="1" ht="19.5" customHeight="1">
      <c r="A3" s="789" t="s">
        <v>136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49"/>
      <c r="O3" s="49"/>
      <c r="P3" s="49"/>
    </row>
    <row r="4" spans="1:16" s="274" customFormat="1" ht="9" customHeight="1">
      <c r="A4" s="12"/>
      <c r="B4" s="12"/>
      <c r="C4" s="733"/>
      <c r="D4" s="733"/>
      <c r="E4" s="12"/>
      <c r="F4" s="738"/>
      <c r="G4" s="738"/>
      <c r="H4" s="738"/>
      <c r="I4" s="738"/>
      <c r="J4" s="738"/>
      <c r="K4" s="738"/>
      <c r="L4" s="738"/>
      <c r="M4" s="738"/>
      <c r="N4" s="49"/>
      <c r="O4" s="49"/>
      <c r="P4" s="49"/>
    </row>
    <row r="5" spans="1:16" s="275" customFormat="1" ht="20.25" customHeight="1">
      <c r="A5" s="833" t="s">
        <v>390</v>
      </c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50"/>
      <c r="O5" s="50"/>
      <c r="P5" s="50"/>
    </row>
    <row r="6" spans="1:16" s="274" customFormat="1" ht="14.25" customHeight="1" thickBot="1">
      <c r="A6" s="13"/>
      <c r="B6" s="13"/>
      <c r="C6" s="13"/>
      <c r="D6" s="13"/>
      <c r="E6" s="13"/>
      <c r="F6" s="299"/>
      <c r="G6" s="299"/>
      <c r="H6" s="299"/>
      <c r="I6" s="299"/>
      <c r="J6" s="299"/>
      <c r="K6" s="738"/>
      <c r="L6" s="738"/>
      <c r="M6" s="319"/>
      <c r="N6" s="48"/>
      <c r="O6" s="12"/>
      <c r="P6" s="12"/>
    </row>
    <row r="7" spans="1:15" s="452" customFormat="1" ht="36" customHeight="1" thickBot="1" thickTop="1">
      <c r="A7" s="841" t="s">
        <v>4</v>
      </c>
      <c r="B7" s="841" t="s">
        <v>5</v>
      </c>
      <c r="C7" s="791" t="s">
        <v>2</v>
      </c>
      <c r="D7" s="841" t="s">
        <v>0</v>
      </c>
      <c r="E7" s="837" t="s">
        <v>35</v>
      </c>
      <c r="F7" s="837" t="s">
        <v>53</v>
      </c>
      <c r="G7" s="839" t="s">
        <v>34</v>
      </c>
      <c r="H7" s="840"/>
      <c r="I7" s="841" t="s">
        <v>31</v>
      </c>
      <c r="J7" s="841"/>
      <c r="K7" s="841" t="s">
        <v>36</v>
      </c>
      <c r="L7" s="841"/>
      <c r="M7" s="842" t="s">
        <v>32</v>
      </c>
      <c r="N7" s="451"/>
      <c r="O7" s="452" t="s">
        <v>32</v>
      </c>
    </row>
    <row r="8" spans="1:14" s="452" customFormat="1" ht="29.25" customHeight="1" thickBot="1" thickTop="1">
      <c r="A8" s="841"/>
      <c r="B8" s="841"/>
      <c r="C8" s="791"/>
      <c r="D8" s="841"/>
      <c r="E8" s="838"/>
      <c r="F8" s="838"/>
      <c r="G8" s="454" t="s">
        <v>167</v>
      </c>
      <c r="H8" s="744" t="s">
        <v>26</v>
      </c>
      <c r="I8" s="454" t="s">
        <v>33</v>
      </c>
      <c r="J8" s="744" t="s">
        <v>26</v>
      </c>
      <c r="K8" s="454" t="s">
        <v>33</v>
      </c>
      <c r="L8" s="744" t="s">
        <v>26</v>
      </c>
      <c r="M8" s="843"/>
      <c r="N8" s="451"/>
    </row>
    <row r="9" spans="1:15" s="456" customFormat="1" ht="14.25" customHeight="1" thickBot="1" thickTop="1">
      <c r="A9" s="455">
        <v>1</v>
      </c>
      <c r="B9" s="455">
        <v>2</v>
      </c>
      <c r="C9" s="455">
        <v>3</v>
      </c>
      <c r="D9" s="455">
        <v>4</v>
      </c>
      <c r="E9" s="455">
        <v>5</v>
      </c>
      <c r="F9" s="455">
        <v>6</v>
      </c>
      <c r="G9" s="455">
        <v>7</v>
      </c>
      <c r="H9" s="455">
        <v>8</v>
      </c>
      <c r="I9" s="455">
        <v>9</v>
      </c>
      <c r="J9" s="455">
        <v>10</v>
      </c>
      <c r="K9" s="455">
        <v>11</v>
      </c>
      <c r="L9" s="455">
        <v>12</v>
      </c>
      <c r="M9" s="455">
        <v>13</v>
      </c>
      <c r="N9" s="453"/>
      <c r="O9" s="456">
        <v>13</v>
      </c>
    </row>
    <row r="10" spans="1:14" s="62" customFormat="1" ht="54" customHeight="1" thickTop="1">
      <c r="A10" s="16">
        <v>1</v>
      </c>
      <c r="B10" s="33" t="s">
        <v>471</v>
      </c>
      <c r="C10" s="3" t="s">
        <v>478</v>
      </c>
      <c r="D10" s="16" t="s">
        <v>8</v>
      </c>
      <c r="E10" s="14"/>
      <c r="F10" s="494">
        <f>14*1.4*17.1/1000</f>
        <v>0.33515999999999996</v>
      </c>
      <c r="G10" s="457"/>
      <c r="H10" s="458"/>
      <c r="I10" s="137"/>
      <c r="J10" s="196"/>
      <c r="K10" s="137"/>
      <c r="L10" s="196"/>
      <c r="M10" s="196"/>
      <c r="N10" s="32"/>
    </row>
    <row r="11" spans="1:15" s="313" customFormat="1" ht="18" customHeight="1">
      <c r="A11" s="35"/>
      <c r="B11" s="32"/>
      <c r="C11" s="3" t="s">
        <v>13</v>
      </c>
      <c r="D11" s="32" t="str">
        <f>D10</f>
        <v>tona</v>
      </c>
      <c r="E11" s="14">
        <v>53.8</v>
      </c>
      <c r="F11" s="1">
        <f>F10*E11</f>
        <v>18.031608</v>
      </c>
      <c r="G11" s="195"/>
      <c r="H11" s="143"/>
      <c r="I11" s="195"/>
      <c r="J11" s="143">
        <f>I11*F11</f>
        <v>0</v>
      </c>
      <c r="K11" s="195"/>
      <c r="L11" s="143"/>
      <c r="M11" s="143">
        <f aca="true" t="shared" si="0" ref="M11:M16">L11+J11+H11</f>
        <v>0</v>
      </c>
      <c r="N11" s="501"/>
      <c r="O11" s="313">
        <v>5731.25</v>
      </c>
    </row>
    <row r="12" spans="1:14" s="313" customFormat="1" ht="18" customHeight="1">
      <c r="A12" s="35"/>
      <c r="B12" s="32"/>
      <c r="C12" s="3" t="s">
        <v>70</v>
      </c>
      <c r="D12" s="32" t="s">
        <v>6</v>
      </c>
      <c r="E12" s="14">
        <v>18.4</v>
      </c>
      <c r="F12" s="1">
        <f>F10*E12</f>
        <v>6.166943999999999</v>
      </c>
      <c r="G12" s="195"/>
      <c r="H12" s="143"/>
      <c r="I12" s="195"/>
      <c r="J12" s="143"/>
      <c r="K12" s="195"/>
      <c r="L12" s="143">
        <f>K12*F12</f>
        <v>0</v>
      </c>
      <c r="M12" s="143">
        <f t="shared" si="0"/>
        <v>0</v>
      </c>
      <c r="N12" s="501"/>
    </row>
    <row r="13" spans="1:16" s="313" customFormat="1" ht="18" customHeight="1">
      <c r="A13" s="32"/>
      <c r="B13" s="35"/>
      <c r="C13" s="23" t="s">
        <v>476</v>
      </c>
      <c r="D13" s="35" t="str">
        <f>D11</f>
        <v>tona</v>
      </c>
      <c r="E13" s="11">
        <v>1</v>
      </c>
      <c r="F13" s="438">
        <f>F10*E13</f>
        <v>0.33515999999999996</v>
      </c>
      <c r="G13" s="195"/>
      <c r="H13" s="143">
        <f>G13*F13</f>
        <v>0</v>
      </c>
      <c r="I13" s="195"/>
      <c r="J13" s="143"/>
      <c r="K13" s="195"/>
      <c r="L13" s="143"/>
      <c r="M13" s="143">
        <f t="shared" si="0"/>
        <v>0</v>
      </c>
      <c r="N13" s="513"/>
      <c r="P13" s="7"/>
    </row>
    <row r="14" spans="1:16" s="313" customFormat="1" ht="18" customHeight="1">
      <c r="A14" s="32"/>
      <c r="B14" s="35"/>
      <c r="C14" s="23" t="s">
        <v>479</v>
      </c>
      <c r="D14" s="35" t="s">
        <v>61</v>
      </c>
      <c r="E14" s="11"/>
      <c r="F14" s="2">
        <f>8.9*5*0.6+8.2*0.3*5</f>
        <v>39</v>
      </c>
      <c r="G14" s="195"/>
      <c r="H14" s="143">
        <f>G14*F14</f>
        <v>0</v>
      </c>
      <c r="I14" s="195"/>
      <c r="J14" s="143"/>
      <c r="K14" s="195"/>
      <c r="L14" s="143"/>
      <c r="M14" s="143">
        <f t="shared" si="0"/>
        <v>0</v>
      </c>
      <c r="N14" s="513"/>
      <c r="P14" s="7"/>
    </row>
    <row r="15" spans="1:14" s="27" customFormat="1" ht="17.25" customHeight="1">
      <c r="A15" s="35"/>
      <c r="B15" s="32"/>
      <c r="C15" s="23" t="s">
        <v>477</v>
      </c>
      <c r="D15" s="35" t="s">
        <v>42</v>
      </c>
      <c r="E15" s="11">
        <v>24.4</v>
      </c>
      <c r="F15" s="2">
        <f>F10*E15</f>
        <v>8.177903999999998</v>
      </c>
      <c r="G15" s="195"/>
      <c r="H15" s="143">
        <f>G15*F15</f>
        <v>0</v>
      </c>
      <c r="I15" s="195"/>
      <c r="J15" s="143"/>
      <c r="K15" s="195"/>
      <c r="L15" s="143"/>
      <c r="M15" s="143">
        <f t="shared" si="0"/>
        <v>0</v>
      </c>
      <c r="N15" s="387"/>
    </row>
    <row r="16" spans="1:14" s="27" customFormat="1" ht="17.25" customHeight="1">
      <c r="A16" s="35"/>
      <c r="B16" s="32"/>
      <c r="C16" s="3" t="s">
        <v>69</v>
      </c>
      <c r="D16" s="32" t="s">
        <v>6</v>
      </c>
      <c r="E16" s="28">
        <v>2.78</v>
      </c>
      <c r="F16" s="2">
        <f>F10*E16</f>
        <v>0.9317447999999998</v>
      </c>
      <c r="G16" s="195"/>
      <c r="H16" s="143">
        <f>G16*F16</f>
        <v>0</v>
      </c>
      <c r="I16" s="195"/>
      <c r="J16" s="143"/>
      <c r="K16" s="195"/>
      <c r="L16" s="143"/>
      <c r="M16" s="143">
        <f t="shared" si="0"/>
        <v>0</v>
      </c>
      <c r="N16" s="387"/>
    </row>
    <row r="17" spans="1:15" s="183" customFormat="1" ht="9" customHeight="1" thickBot="1">
      <c r="A17" s="35"/>
      <c r="B17" s="35"/>
      <c r="C17" s="59"/>
      <c r="D17" s="35"/>
      <c r="E17" s="35"/>
      <c r="F17" s="35"/>
      <c r="G17" s="11"/>
      <c r="H17" s="11"/>
      <c r="I17" s="11"/>
      <c r="J17" s="11"/>
      <c r="K17" s="11"/>
      <c r="L17" s="11"/>
      <c r="M17" s="32"/>
      <c r="N17" s="439"/>
      <c r="O17" s="29"/>
    </row>
    <row r="18" spans="1:16" s="62" customFormat="1" ht="18" customHeight="1">
      <c r="A18" s="516"/>
      <c r="B18" s="517"/>
      <c r="C18" s="61" t="s">
        <v>391</v>
      </c>
      <c r="D18" s="61"/>
      <c r="E18" s="61"/>
      <c r="F18" s="61"/>
      <c r="G18" s="61"/>
      <c r="H18" s="583">
        <f>SUM(H10:H17)</f>
        <v>0</v>
      </c>
      <c r="I18" s="583"/>
      <c r="J18" s="583">
        <f>SUM(J10:J17)</f>
        <v>0</v>
      </c>
      <c r="K18" s="583"/>
      <c r="L18" s="583">
        <f>SUM(L10:L17)</f>
        <v>0</v>
      </c>
      <c r="M18" s="583">
        <f>SUM(M10:M17)</f>
        <v>0</v>
      </c>
      <c r="N18" s="657"/>
      <c r="O18" s="518"/>
      <c r="P18" s="519"/>
    </row>
    <row r="19" spans="1:16" s="66" customFormat="1" ht="18" customHeight="1">
      <c r="A19" s="373"/>
      <c r="B19" s="36"/>
      <c r="C19" s="527" t="s">
        <v>392</v>
      </c>
      <c r="D19" s="36"/>
      <c r="E19" s="36"/>
      <c r="F19" s="36"/>
      <c r="G19" s="460"/>
      <c r="H19" s="63">
        <f>H18-H14</f>
        <v>0</v>
      </c>
      <c r="I19" s="460"/>
      <c r="J19" s="63">
        <f>J18</f>
        <v>0</v>
      </c>
      <c r="K19" s="460"/>
      <c r="L19" s="63">
        <f>L18</f>
        <v>0</v>
      </c>
      <c r="M19" s="63">
        <f>H19+J19+L19</f>
        <v>0</v>
      </c>
      <c r="N19" s="459"/>
      <c r="O19" s="122"/>
      <c r="P19" s="89"/>
    </row>
    <row r="20" spans="1:16" s="29" customFormat="1" ht="36" customHeight="1">
      <c r="A20" s="45"/>
      <c r="B20" s="16"/>
      <c r="C20" s="16" t="s">
        <v>92</v>
      </c>
      <c r="D20" s="683"/>
      <c r="E20" s="16"/>
      <c r="F20" s="683"/>
      <c r="G20" s="16"/>
      <c r="H20" s="63"/>
      <c r="I20" s="63"/>
      <c r="J20" s="63"/>
      <c r="K20" s="63"/>
      <c r="L20" s="63"/>
      <c r="M20" s="684">
        <f>(M18-M19)*D20</f>
        <v>0</v>
      </c>
      <c r="N20" s="461"/>
      <c r="O20" s="12"/>
      <c r="P20" s="12"/>
    </row>
    <row r="21" spans="1:16" s="29" customFormat="1" ht="29.25" customHeight="1">
      <c r="A21" s="45"/>
      <c r="B21" s="16"/>
      <c r="C21" s="16" t="s">
        <v>134</v>
      </c>
      <c r="D21" s="683"/>
      <c r="E21" s="16"/>
      <c r="F21" s="683"/>
      <c r="G21" s="16"/>
      <c r="H21" s="63"/>
      <c r="I21" s="63"/>
      <c r="J21" s="63"/>
      <c r="K21" s="63"/>
      <c r="L21" s="63"/>
      <c r="M21" s="684">
        <f>M19*D21</f>
        <v>0</v>
      </c>
      <c r="N21" s="461"/>
      <c r="O21" s="12"/>
      <c r="P21" s="12"/>
    </row>
    <row r="22" spans="1:16" s="62" customFormat="1" ht="18" customHeight="1">
      <c r="A22" s="45"/>
      <c r="B22" s="16"/>
      <c r="C22" s="16" t="s">
        <v>9</v>
      </c>
      <c r="D22" s="16"/>
      <c r="E22" s="16"/>
      <c r="F22" s="16"/>
      <c r="G22" s="16"/>
      <c r="H22" s="63"/>
      <c r="I22" s="63"/>
      <c r="J22" s="63"/>
      <c r="K22" s="63"/>
      <c r="L22" s="63"/>
      <c r="M22" s="684">
        <f>M18+M20+M21</f>
        <v>0</v>
      </c>
      <c r="N22" s="439"/>
      <c r="O22" s="15"/>
      <c r="P22" s="15"/>
    </row>
    <row r="23" spans="1:14" s="29" customFormat="1" ht="18" customHeight="1">
      <c r="A23" s="45"/>
      <c r="B23" s="16"/>
      <c r="C23" s="16" t="s">
        <v>11</v>
      </c>
      <c r="D23" s="683"/>
      <c r="E23" s="16"/>
      <c r="F23" s="683"/>
      <c r="G23" s="16"/>
      <c r="H23" s="63"/>
      <c r="I23" s="63"/>
      <c r="J23" s="63"/>
      <c r="K23" s="63"/>
      <c r="L23" s="63"/>
      <c r="M23" s="684">
        <f>M22*D23</f>
        <v>0</v>
      </c>
      <c r="N23" s="439"/>
    </row>
    <row r="24" spans="1:14" s="218" customFormat="1" ht="21" customHeight="1" thickBot="1">
      <c r="A24" s="520"/>
      <c r="B24" s="685"/>
      <c r="C24" s="522" t="s">
        <v>393</v>
      </c>
      <c r="D24" s="522"/>
      <c r="E24" s="522"/>
      <c r="F24" s="522"/>
      <c r="G24" s="522"/>
      <c r="H24" s="523"/>
      <c r="I24" s="523"/>
      <c r="J24" s="523"/>
      <c r="K24" s="523"/>
      <c r="L24" s="523"/>
      <c r="M24" s="615">
        <f>SUM(M22:M23)</f>
        <v>0</v>
      </c>
      <c r="N24" s="658"/>
    </row>
    <row r="25" spans="1:14" s="362" customFormat="1" ht="12.75">
      <c r="A25" s="359"/>
      <c r="B25" s="359"/>
      <c r="C25" s="360"/>
      <c r="D25" s="360"/>
      <c r="E25" s="359"/>
      <c r="F25" s="360"/>
      <c r="G25" s="360"/>
      <c r="H25" s="360"/>
      <c r="I25" s="462"/>
      <c r="J25" s="360"/>
      <c r="K25" s="462"/>
      <c r="L25" s="360"/>
      <c r="M25" s="361"/>
      <c r="N25" s="463"/>
    </row>
    <row r="26" spans="3:14" s="117" customFormat="1" ht="18" customHeight="1">
      <c r="C26" s="117" t="s">
        <v>160</v>
      </c>
      <c r="E26" s="370"/>
      <c r="G26" s="832"/>
      <c r="H26" s="832"/>
      <c r="I26" s="832"/>
      <c r="M26" s="370"/>
      <c r="N26" s="465"/>
    </row>
    <row r="27" spans="1:14" s="362" customFormat="1" ht="12.75">
      <c r="A27" s="359"/>
      <c r="B27" s="359"/>
      <c r="C27" s="360"/>
      <c r="D27" s="360"/>
      <c r="E27" s="359"/>
      <c r="F27" s="360"/>
      <c r="G27" s="360"/>
      <c r="H27" s="360"/>
      <c r="I27" s="462"/>
      <c r="J27" s="360"/>
      <c r="K27" s="462"/>
      <c r="L27" s="360"/>
      <c r="M27" s="361"/>
      <c r="N27" s="464"/>
    </row>
    <row r="28" spans="1:12" ht="12">
      <c r="A28" s="466"/>
      <c r="B28" s="466"/>
      <c r="C28" s="467"/>
      <c r="D28" s="467"/>
      <c r="E28" s="466"/>
      <c r="F28" s="467"/>
      <c r="G28" s="467"/>
      <c r="H28" s="467"/>
      <c r="I28" s="468"/>
      <c r="J28" s="467"/>
      <c r="K28" s="468"/>
      <c r="L28" s="467"/>
    </row>
    <row r="29" spans="1:13" ht="12">
      <c r="A29" s="466"/>
      <c r="B29" s="466"/>
      <c r="C29" s="467"/>
      <c r="D29" s="467"/>
      <c r="E29" s="466"/>
      <c r="F29" s="467"/>
      <c r="G29" s="467"/>
      <c r="H29" s="467"/>
      <c r="I29" s="468"/>
      <c r="J29" s="472"/>
      <c r="K29" s="468"/>
      <c r="L29" s="467"/>
      <c r="M29" s="473"/>
    </row>
    <row r="30" spans="1:12" ht="12">
      <c r="A30" s="466"/>
      <c r="B30" s="466"/>
      <c r="C30" s="467"/>
      <c r="D30" s="467"/>
      <c r="E30" s="466"/>
      <c r="F30" s="467"/>
      <c r="G30" s="467"/>
      <c r="H30" s="467"/>
      <c r="I30" s="468"/>
      <c r="J30" s="467"/>
      <c r="K30" s="468"/>
      <c r="L30" s="467"/>
    </row>
    <row r="31" spans="1:13" ht="12">
      <c r="A31" s="466"/>
      <c r="B31" s="466"/>
      <c r="C31" s="467"/>
      <c r="D31" s="467"/>
      <c r="E31" s="466"/>
      <c r="F31" s="467"/>
      <c r="G31" s="467"/>
      <c r="H31" s="467"/>
      <c r="I31" s="468"/>
      <c r="J31" s="467"/>
      <c r="K31" s="468"/>
      <c r="L31" s="467"/>
      <c r="M31" s="473"/>
    </row>
    <row r="32" spans="1:12" ht="12">
      <c r="A32" s="466"/>
      <c r="B32" s="466"/>
      <c r="C32" s="467"/>
      <c r="D32" s="467"/>
      <c r="E32" s="466"/>
      <c r="F32" s="467"/>
      <c r="G32" s="467"/>
      <c r="H32" s="467"/>
      <c r="I32" s="468"/>
      <c r="J32" s="467"/>
      <c r="K32" s="468"/>
      <c r="L32" s="467"/>
    </row>
    <row r="33" spans="1:13" ht="12">
      <c r="A33" s="466"/>
      <c r="B33" s="466"/>
      <c r="C33" s="467"/>
      <c r="D33" s="467"/>
      <c r="E33" s="466"/>
      <c r="F33" s="467"/>
      <c r="G33" s="467"/>
      <c r="H33" s="467"/>
      <c r="I33" s="468"/>
      <c r="J33" s="467"/>
      <c r="K33" s="468"/>
      <c r="L33" s="467"/>
      <c r="M33" s="474"/>
    </row>
    <row r="34" spans="1:16" s="470" customFormat="1" ht="12">
      <c r="A34" s="466"/>
      <c r="B34" s="466"/>
      <c r="C34" s="467"/>
      <c r="D34" s="467"/>
      <c r="E34" s="466"/>
      <c r="F34" s="467"/>
      <c r="G34" s="467"/>
      <c r="H34" s="467"/>
      <c r="I34" s="468"/>
      <c r="J34" s="467"/>
      <c r="K34" s="468"/>
      <c r="L34" s="467"/>
      <c r="M34" s="469"/>
      <c r="O34" s="471"/>
      <c r="P34" s="471"/>
    </row>
    <row r="35" spans="1:16" s="470" customFormat="1" ht="12">
      <c r="A35" s="466"/>
      <c r="B35" s="466"/>
      <c r="C35" s="467"/>
      <c r="D35" s="467"/>
      <c r="E35" s="466"/>
      <c r="F35" s="467"/>
      <c r="G35" s="467"/>
      <c r="H35" s="467"/>
      <c r="I35" s="468"/>
      <c r="J35" s="467"/>
      <c r="K35" s="468"/>
      <c r="L35" s="467"/>
      <c r="M35" s="469"/>
      <c r="O35" s="471"/>
      <c r="P35" s="471"/>
    </row>
    <row r="36" spans="1:16" s="470" customFormat="1" ht="12">
      <c r="A36" s="466"/>
      <c r="B36" s="466"/>
      <c r="C36" s="467"/>
      <c r="D36" s="467"/>
      <c r="E36" s="466"/>
      <c r="F36" s="467"/>
      <c r="G36" s="467"/>
      <c r="H36" s="467"/>
      <c r="I36" s="468"/>
      <c r="J36" s="467"/>
      <c r="K36" s="468"/>
      <c r="L36" s="467"/>
      <c r="M36" s="469"/>
      <c r="O36" s="471"/>
      <c r="P36" s="471"/>
    </row>
    <row r="37" spans="1:16" s="470" customFormat="1" ht="12">
      <c r="A37" s="466"/>
      <c r="B37" s="466"/>
      <c r="C37" s="467"/>
      <c r="D37" s="467"/>
      <c r="E37" s="466"/>
      <c r="F37" s="467"/>
      <c r="G37" s="467"/>
      <c r="H37" s="467"/>
      <c r="I37" s="468"/>
      <c r="J37" s="467"/>
      <c r="K37" s="468"/>
      <c r="L37" s="467"/>
      <c r="M37" s="469"/>
      <c r="O37" s="471"/>
      <c r="P37" s="471"/>
    </row>
    <row r="38" spans="1:16" s="470" customFormat="1" ht="12">
      <c r="A38" s="466"/>
      <c r="B38" s="466"/>
      <c r="C38" s="467"/>
      <c r="D38" s="467"/>
      <c r="E38" s="466"/>
      <c r="F38" s="467"/>
      <c r="G38" s="467"/>
      <c r="H38" s="467"/>
      <c r="I38" s="468"/>
      <c r="J38" s="467"/>
      <c r="K38" s="468"/>
      <c r="L38" s="467"/>
      <c r="M38" s="469"/>
      <c r="O38" s="471"/>
      <c r="P38" s="471"/>
    </row>
    <row r="39" spans="1:16" s="470" customFormat="1" ht="12">
      <c r="A39" s="466"/>
      <c r="B39" s="466"/>
      <c r="C39" s="467"/>
      <c r="D39" s="467"/>
      <c r="E39" s="466"/>
      <c r="F39" s="467"/>
      <c r="G39" s="467"/>
      <c r="H39" s="467"/>
      <c r="I39" s="468"/>
      <c r="J39" s="467"/>
      <c r="K39" s="468"/>
      <c r="L39" s="467"/>
      <c r="M39" s="469"/>
      <c r="O39" s="471"/>
      <c r="P39" s="471"/>
    </row>
    <row r="40" spans="1:16" s="470" customFormat="1" ht="12">
      <c r="A40" s="466"/>
      <c r="B40" s="466"/>
      <c r="C40" s="467"/>
      <c r="D40" s="467"/>
      <c r="E40" s="466"/>
      <c r="F40" s="467"/>
      <c r="G40" s="467"/>
      <c r="H40" s="467"/>
      <c r="I40" s="468"/>
      <c r="J40" s="467"/>
      <c r="K40" s="468"/>
      <c r="L40" s="467"/>
      <c r="M40" s="469"/>
      <c r="O40" s="471"/>
      <c r="P40" s="471"/>
    </row>
    <row r="41" spans="1:16" s="470" customFormat="1" ht="12">
      <c r="A41" s="466"/>
      <c r="B41" s="466"/>
      <c r="C41" s="467"/>
      <c r="D41" s="467"/>
      <c r="E41" s="466"/>
      <c r="F41" s="467"/>
      <c r="G41" s="467"/>
      <c r="H41" s="467"/>
      <c r="I41" s="468"/>
      <c r="J41" s="467"/>
      <c r="K41" s="468"/>
      <c r="L41" s="467"/>
      <c r="M41" s="469"/>
      <c r="O41" s="471"/>
      <c r="P41" s="471"/>
    </row>
    <row r="42" spans="1:16" s="470" customFormat="1" ht="12">
      <c r="A42" s="466"/>
      <c r="B42" s="466"/>
      <c r="C42" s="467"/>
      <c r="D42" s="467"/>
      <c r="E42" s="466"/>
      <c r="F42" s="467"/>
      <c r="G42" s="467"/>
      <c r="H42" s="467"/>
      <c r="I42" s="468"/>
      <c r="J42" s="467"/>
      <c r="K42" s="468"/>
      <c r="L42" s="467"/>
      <c r="M42" s="469"/>
      <c r="O42" s="471"/>
      <c r="P42" s="471"/>
    </row>
    <row r="43" spans="1:16" s="470" customFormat="1" ht="12">
      <c r="A43" s="466"/>
      <c r="B43" s="466"/>
      <c r="C43" s="467"/>
      <c r="D43" s="467"/>
      <c r="E43" s="466"/>
      <c r="F43" s="467"/>
      <c r="G43" s="467"/>
      <c r="H43" s="467"/>
      <c r="I43" s="468"/>
      <c r="J43" s="467"/>
      <c r="K43" s="468"/>
      <c r="L43" s="467"/>
      <c r="M43" s="469"/>
      <c r="O43" s="471"/>
      <c r="P43" s="471"/>
    </row>
    <row r="44" spans="1:16" s="470" customFormat="1" ht="12">
      <c r="A44" s="466"/>
      <c r="B44" s="466"/>
      <c r="C44" s="467"/>
      <c r="D44" s="467"/>
      <c r="E44" s="466"/>
      <c r="F44" s="467"/>
      <c r="G44" s="467"/>
      <c r="H44" s="467"/>
      <c r="I44" s="468"/>
      <c r="J44" s="467"/>
      <c r="K44" s="468"/>
      <c r="L44" s="467"/>
      <c r="M44" s="469"/>
      <c r="O44" s="471"/>
      <c r="P44" s="471"/>
    </row>
    <row r="45" spans="1:16" s="470" customFormat="1" ht="12">
      <c r="A45" s="466"/>
      <c r="B45" s="466"/>
      <c r="C45" s="467"/>
      <c r="D45" s="467"/>
      <c r="E45" s="466"/>
      <c r="F45" s="467"/>
      <c r="G45" s="467"/>
      <c r="H45" s="467"/>
      <c r="I45" s="468"/>
      <c r="J45" s="467"/>
      <c r="K45" s="468"/>
      <c r="L45" s="467"/>
      <c r="M45" s="469"/>
      <c r="O45" s="471"/>
      <c r="P45" s="471"/>
    </row>
    <row r="46" spans="1:16" s="470" customFormat="1" ht="12">
      <c r="A46" s="466"/>
      <c r="B46" s="466"/>
      <c r="C46" s="467"/>
      <c r="D46" s="467"/>
      <c r="E46" s="466"/>
      <c r="F46" s="467"/>
      <c r="G46" s="467"/>
      <c r="H46" s="467"/>
      <c r="I46" s="468"/>
      <c r="J46" s="467"/>
      <c r="K46" s="468"/>
      <c r="L46" s="467"/>
      <c r="M46" s="471"/>
      <c r="O46" s="471"/>
      <c r="P46" s="471"/>
    </row>
    <row r="47" spans="1:16" s="470" customFormat="1" ht="12">
      <c r="A47" s="466"/>
      <c r="B47" s="466"/>
      <c r="C47" s="467"/>
      <c r="D47" s="467"/>
      <c r="E47" s="466"/>
      <c r="F47" s="467"/>
      <c r="G47" s="467"/>
      <c r="H47" s="467"/>
      <c r="I47" s="468"/>
      <c r="J47" s="467"/>
      <c r="K47" s="468"/>
      <c r="L47" s="467"/>
      <c r="M47" s="471"/>
      <c r="O47" s="471"/>
      <c r="P47" s="471"/>
    </row>
    <row r="48" spans="1:16" s="470" customFormat="1" ht="12">
      <c r="A48" s="466"/>
      <c r="B48" s="466"/>
      <c r="C48" s="467"/>
      <c r="D48" s="467"/>
      <c r="E48" s="466"/>
      <c r="F48" s="467"/>
      <c r="G48" s="467"/>
      <c r="H48" s="467"/>
      <c r="I48" s="468"/>
      <c r="J48" s="467"/>
      <c r="K48" s="468"/>
      <c r="L48" s="467"/>
      <c r="M48" s="471"/>
      <c r="O48" s="471"/>
      <c r="P48" s="471"/>
    </row>
    <row r="49" spans="1:16" s="470" customFormat="1" ht="12">
      <c r="A49" s="466"/>
      <c r="B49" s="466"/>
      <c r="C49" s="467"/>
      <c r="D49" s="467"/>
      <c r="E49" s="466"/>
      <c r="F49" s="467"/>
      <c r="G49" s="467"/>
      <c r="H49" s="467"/>
      <c r="I49" s="468"/>
      <c r="J49" s="467"/>
      <c r="K49" s="468"/>
      <c r="L49" s="467"/>
      <c r="M49" s="471"/>
      <c r="O49" s="471"/>
      <c r="P49" s="471"/>
    </row>
    <row r="50" spans="1:16" s="470" customFormat="1" ht="12">
      <c r="A50" s="466"/>
      <c r="B50" s="466"/>
      <c r="C50" s="467"/>
      <c r="D50" s="467"/>
      <c r="E50" s="466"/>
      <c r="F50" s="467"/>
      <c r="G50" s="467"/>
      <c r="H50" s="467"/>
      <c r="I50" s="468"/>
      <c r="J50" s="467"/>
      <c r="K50" s="468"/>
      <c r="L50" s="467"/>
      <c r="M50" s="471"/>
      <c r="O50" s="471"/>
      <c r="P50" s="471"/>
    </row>
    <row r="51" spans="1:16" s="470" customFormat="1" ht="12">
      <c r="A51" s="466"/>
      <c r="B51" s="466"/>
      <c r="C51" s="467"/>
      <c r="D51" s="467"/>
      <c r="E51" s="466"/>
      <c r="F51" s="467"/>
      <c r="G51" s="467"/>
      <c r="H51" s="467"/>
      <c r="I51" s="468"/>
      <c r="J51" s="467"/>
      <c r="K51" s="468"/>
      <c r="L51" s="467"/>
      <c r="M51" s="471"/>
      <c r="O51" s="471"/>
      <c r="P51" s="471"/>
    </row>
    <row r="52" spans="1:16" s="470" customFormat="1" ht="12">
      <c r="A52" s="466"/>
      <c r="B52" s="466"/>
      <c r="C52" s="467"/>
      <c r="D52" s="467"/>
      <c r="E52" s="466"/>
      <c r="F52" s="467"/>
      <c r="G52" s="467"/>
      <c r="H52" s="467"/>
      <c r="I52" s="468"/>
      <c r="J52" s="467"/>
      <c r="K52" s="468"/>
      <c r="L52" s="467"/>
      <c r="M52" s="471"/>
      <c r="O52" s="471"/>
      <c r="P52" s="471"/>
    </row>
    <row r="53" spans="1:16" s="470" customFormat="1" ht="12">
      <c r="A53" s="466"/>
      <c r="B53" s="466"/>
      <c r="C53" s="467"/>
      <c r="D53" s="467"/>
      <c r="E53" s="466"/>
      <c r="F53" s="467"/>
      <c r="G53" s="467"/>
      <c r="H53" s="467"/>
      <c r="I53" s="468"/>
      <c r="J53" s="467"/>
      <c r="K53" s="468"/>
      <c r="L53" s="467"/>
      <c r="M53" s="471"/>
      <c r="O53" s="471"/>
      <c r="P53" s="471"/>
    </row>
    <row r="54" spans="1:16" s="470" customFormat="1" ht="12">
      <c r="A54" s="466"/>
      <c r="B54" s="466"/>
      <c r="C54" s="467"/>
      <c r="D54" s="467"/>
      <c r="E54" s="466"/>
      <c r="F54" s="467"/>
      <c r="G54" s="467"/>
      <c r="H54" s="467"/>
      <c r="I54" s="468"/>
      <c r="J54" s="467"/>
      <c r="K54" s="468"/>
      <c r="L54" s="467"/>
      <c r="M54" s="471"/>
      <c r="O54" s="471"/>
      <c r="P54" s="471"/>
    </row>
    <row r="55" spans="1:16" s="470" customFormat="1" ht="12">
      <c r="A55" s="466"/>
      <c r="B55" s="466"/>
      <c r="C55" s="467"/>
      <c r="D55" s="467"/>
      <c r="E55" s="466"/>
      <c r="F55" s="467"/>
      <c r="G55" s="467"/>
      <c r="H55" s="467"/>
      <c r="I55" s="468"/>
      <c r="J55" s="467"/>
      <c r="K55" s="468"/>
      <c r="L55" s="467"/>
      <c r="M55" s="471"/>
      <c r="O55" s="471"/>
      <c r="P55" s="471"/>
    </row>
    <row r="56" spans="1:16" s="470" customFormat="1" ht="12">
      <c r="A56" s="466"/>
      <c r="B56" s="466"/>
      <c r="C56" s="467"/>
      <c r="D56" s="467"/>
      <c r="E56" s="466"/>
      <c r="F56" s="467"/>
      <c r="G56" s="467"/>
      <c r="H56" s="467"/>
      <c r="I56" s="468"/>
      <c r="J56" s="467"/>
      <c r="K56" s="468"/>
      <c r="L56" s="467"/>
      <c r="M56" s="471"/>
      <c r="O56" s="471"/>
      <c r="P56" s="471"/>
    </row>
    <row r="57" spans="1:16" s="470" customFormat="1" ht="12">
      <c r="A57" s="466"/>
      <c r="B57" s="466"/>
      <c r="C57" s="467"/>
      <c r="D57" s="467"/>
      <c r="E57" s="466"/>
      <c r="F57" s="467"/>
      <c r="G57" s="467"/>
      <c r="H57" s="467"/>
      <c r="I57" s="468"/>
      <c r="J57" s="467"/>
      <c r="K57" s="468"/>
      <c r="L57" s="467"/>
      <c r="M57" s="471"/>
      <c r="O57" s="471"/>
      <c r="P57" s="471"/>
    </row>
    <row r="58" spans="1:16" s="470" customFormat="1" ht="12">
      <c r="A58" s="466"/>
      <c r="B58" s="466"/>
      <c r="C58" s="467"/>
      <c r="D58" s="467"/>
      <c r="E58" s="466"/>
      <c r="F58" s="467"/>
      <c r="G58" s="467"/>
      <c r="H58" s="467"/>
      <c r="I58" s="468"/>
      <c r="J58" s="467"/>
      <c r="K58" s="468"/>
      <c r="L58" s="467"/>
      <c r="M58" s="471"/>
      <c r="O58" s="471"/>
      <c r="P58" s="471"/>
    </row>
    <row r="59" spans="1:16" s="470" customFormat="1" ht="12">
      <c r="A59" s="466"/>
      <c r="B59" s="466"/>
      <c r="C59" s="467"/>
      <c r="D59" s="467"/>
      <c r="E59" s="466"/>
      <c r="F59" s="467"/>
      <c r="G59" s="467"/>
      <c r="H59" s="467"/>
      <c r="I59" s="468"/>
      <c r="J59" s="467"/>
      <c r="K59" s="468"/>
      <c r="L59" s="467"/>
      <c r="M59" s="471"/>
      <c r="O59" s="471"/>
      <c r="P59" s="471"/>
    </row>
    <row r="60" spans="1:16" s="470" customFormat="1" ht="12">
      <c r="A60" s="466"/>
      <c r="B60" s="466"/>
      <c r="C60" s="467"/>
      <c r="D60" s="467"/>
      <c r="E60" s="466"/>
      <c r="F60" s="467"/>
      <c r="G60" s="467"/>
      <c r="H60" s="467"/>
      <c r="I60" s="468"/>
      <c r="J60" s="467"/>
      <c r="K60" s="468"/>
      <c r="L60" s="467"/>
      <c r="M60" s="471"/>
      <c r="O60" s="471"/>
      <c r="P60" s="471"/>
    </row>
    <row r="61" spans="1:16" s="470" customFormat="1" ht="12">
      <c r="A61" s="466"/>
      <c r="B61" s="466"/>
      <c r="C61" s="467"/>
      <c r="D61" s="467"/>
      <c r="E61" s="466"/>
      <c r="F61" s="467"/>
      <c r="G61" s="467"/>
      <c r="H61" s="467"/>
      <c r="I61" s="468"/>
      <c r="J61" s="467"/>
      <c r="K61" s="468"/>
      <c r="L61" s="467"/>
      <c r="M61" s="471"/>
      <c r="O61" s="471"/>
      <c r="P61" s="471"/>
    </row>
    <row r="62" spans="1:16" s="470" customFormat="1" ht="12">
      <c r="A62" s="466"/>
      <c r="B62" s="466"/>
      <c r="C62" s="467"/>
      <c r="D62" s="467"/>
      <c r="E62" s="466"/>
      <c r="F62" s="467"/>
      <c r="G62" s="467"/>
      <c r="H62" s="467"/>
      <c r="I62" s="468"/>
      <c r="J62" s="467"/>
      <c r="K62" s="468"/>
      <c r="L62" s="467"/>
      <c r="M62" s="471"/>
      <c r="O62" s="471"/>
      <c r="P62" s="471"/>
    </row>
    <row r="63" spans="1:16" s="470" customFormat="1" ht="12">
      <c r="A63" s="466"/>
      <c r="B63" s="466"/>
      <c r="C63" s="467"/>
      <c r="D63" s="467"/>
      <c r="E63" s="466"/>
      <c r="F63" s="467"/>
      <c r="G63" s="467"/>
      <c r="H63" s="467"/>
      <c r="I63" s="468"/>
      <c r="J63" s="467"/>
      <c r="K63" s="468"/>
      <c r="L63" s="467"/>
      <c r="M63" s="471"/>
      <c r="O63" s="471"/>
      <c r="P63" s="471"/>
    </row>
    <row r="64" spans="1:16" s="470" customFormat="1" ht="12">
      <c r="A64" s="466"/>
      <c r="B64" s="466"/>
      <c r="C64" s="467"/>
      <c r="D64" s="467"/>
      <c r="E64" s="466"/>
      <c r="F64" s="467"/>
      <c r="G64" s="467"/>
      <c r="H64" s="467"/>
      <c r="I64" s="468"/>
      <c r="J64" s="467"/>
      <c r="K64" s="468"/>
      <c r="L64" s="467"/>
      <c r="M64" s="471"/>
      <c r="O64" s="471"/>
      <c r="P64" s="471"/>
    </row>
    <row r="65" spans="1:16" s="470" customFormat="1" ht="12">
      <c r="A65" s="466"/>
      <c r="B65" s="466"/>
      <c r="C65" s="467"/>
      <c r="D65" s="467"/>
      <c r="E65" s="466"/>
      <c r="F65" s="467"/>
      <c r="G65" s="467"/>
      <c r="H65" s="467"/>
      <c r="I65" s="468"/>
      <c r="J65" s="467"/>
      <c r="K65" s="468"/>
      <c r="L65" s="467"/>
      <c r="M65" s="471"/>
      <c r="O65" s="471"/>
      <c r="P65" s="471"/>
    </row>
    <row r="66" spans="1:16" s="470" customFormat="1" ht="12">
      <c r="A66" s="466"/>
      <c r="B66" s="466"/>
      <c r="C66" s="467"/>
      <c r="D66" s="467"/>
      <c r="E66" s="466"/>
      <c r="F66" s="467"/>
      <c r="G66" s="467"/>
      <c r="H66" s="467"/>
      <c r="I66" s="468"/>
      <c r="J66" s="467"/>
      <c r="K66" s="468"/>
      <c r="L66" s="467"/>
      <c r="M66" s="471"/>
      <c r="O66" s="471"/>
      <c r="P66" s="471"/>
    </row>
    <row r="67" spans="1:16" s="470" customFormat="1" ht="12">
      <c r="A67" s="466"/>
      <c r="B67" s="466"/>
      <c r="C67" s="467"/>
      <c r="D67" s="467"/>
      <c r="E67" s="466"/>
      <c r="F67" s="467"/>
      <c r="G67" s="467"/>
      <c r="H67" s="467"/>
      <c r="I67" s="468"/>
      <c r="J67" s="467"/>
      <c r="K67" s="468"/>
      <c r="L67" s="467"/>
      <c r="M67" s="471"/>
      <c r="O67" s="471"/>
      <c r="P67" s="471"/>
    </row>
    <row r="68" spans="1:16" s="470" customFormat="1" ht="12">
      <c r="A68" s="466"/>
      <c r="B68" s="466"/>
      <c r="C68" s="467"/>
      <c r="D68" s="467"/>
      <c r="E68" s="466"/>
      <c r="F68" s="467"/>
      <c r="G68" s="467"/>
      <c r="H68" s="467"/>
      <c r="I68" s="468"/>
      <c r="J68" s="467"/>
      <c r="K68" s="468"/>
      <c r="L68" s="467"/>
      <c r="M68" s="471"/>
      <c r="O68" s="471"/>
      <c r="P68" s="471"/>
    </row>
    <row r="69" spans="1:16" s="470" customFormat="1" ht="12">
      <c r="A69" s="466"/>
      <c r="B69" s="466"/>
      <c r="C69" s="467"/>
      <c r="D69" s="467"/>
      <c r="E69" s="466"/>
      <c r="F69" s="467"/>
      <c r="G69" s="467"/>
      <c r="H69" s="467"/>
      <c r="I69" s="468"/>
      <c r="J69" s="467"/>
      <c r="K69" s="468"/>
      <c r="L69" s="467"/>
      <c r="M69" s="471"/>
      <c r="O69" s="471"/>
      <c r="P69" s="471"/>
    </row>
    <row r="70" spans="1:16" s="470" customFormat="1" ht="12">
      <c r="A70" s="466"/>
      <c r="B70" s="466"/>
      <c r="C70" s="467"/>
      <c r="D70" s="467"/>
      <c r="E70" s="466"/>
      <c r="F70" s="467"/>
      <c r="G70" s="467"/>
      <c r="H70" s="467"/>
      <c r="I70" s="468"/>
      <c r="J70" s="467"/>
      <c r="K70" s="468"/>
      <c r="L70" s="467"/>
      <c r="M70" s="471"/>
      <c r="O70" s="471"/>
      <c r="P70" s="471"/>
    </row>
    <row r="71" spans="1:16" s="470" customFormat="1" ht="12">
      <c r="A71" s="466"/>
      <c r="B71" s="466"/>
      <c r="C71" s="467"/>
      <c r="D71" s="467"/>
      <c r="E71" s="466"/>
      <c r="F71" s="467"/>
      <c r="G71" s="467"/>
      <c r="H71" s="467"/>
      <c r="I71" s="468"/>
      <c r="J71" s="467"/>
      <c r="K71" s="468"/>
      <c r="L71" s="467"/>
      <c r="M71" s="471"/>
      <c r="O71" s="471"/>
      <c r="P71" s="471"/>
    </row>
    <row r="72" spans="1:16" s="470" customFormat="1" ht="12">
      <c r="A72" s="466"/>
      <c r="B72" s="466"/>
      <c r="C72" s="467"/>
      <c r="D72" s="467"/>
      <c r="E72" s="466"/>
      <c r="F72" s="467"/>
      <c r="G72" s="467"/>
      <c r="H72" s="467"/>
      <c r="I72" s="468"/>
      <c r="J72" s="467"/>
      <c r="K72" s="468"/>
      <c r="L72" s="467"/>
      <c r="M72" s="471"/>
      <c r="O72" s="471"/>
      <c r="P72" s="471"/>
    </row>
    <row r="73" spans="1:16" s="470" customFormat="1" ht="12">
      <c r="A73" s="466"/>
      <c r="B73" s="466"/>
      <c r="C73" s="467"/>
      <c r="D73" s="467"/>
      <c r="E73" s="466"/>
      <c r="F73" s="467"/>
      <c r="G73" s="467"/>
      <c r="H73" s="467"/>
      <c r="I73" s="468"/>
      <c r="J73" s="467"/>
      <c r="K73" s="468"/>
      <c r="L73" s="467"/>
      <c r="M73" s="471"/>
      <c r="O73" s="471"/>
      <c r="P73" s="471"/>
    </row>
    <row r="74" spans="1:16" s="470" customFormat="1" ht="12">
      <c r="A74" s="466"/>
      <c r="B74" s="466"/>
      <c r="C74" s="467"/>
      <c r="D74" s="467"/>
      <c r="E74" s="466"/>
      <c r="F74" s="467"/>
      <c r="G74" s="467"/>
      <c r="H74" s="467"/>
      <c r="I74" s="468"/>
      <c r="J74" s="467"/>
      <c r="K74" s="468"/>
      <c r="L74" s="467"/>
      <c r="M74" s="471"/>
      <c r="O74" s="471"/>
      <c r="P74" s="471"/>
    </row>
    <row r="75" spans="1:16" s="470" customFormat="1" ht="12">
      <c r="A75" s="466"/>
      <c r="B75" s="466"/>
      <c r="C75" s="467"/>
      <c r="D75" s="467"/>
      <c r="E75" s="466"/>
      <c r="F75" s="467"/>
      <c r="G75" s="467"/>
      <c r="H75" s="467"/>
      <c r="I75" s="468"/>
      <c r="J75" s="467"/>
      <c r="K75" s="468"/>
      <c r="L75" s="467"/>
      <c r="M75" s="471"/>
      <c r="O75" s="471"/>
      <c r="P75" s="471"/>
    </row>
    <row r="76" spans="1:16" s="470" customFormat="1" ht="12">
      <c r="A76" s="466"/>
      <c r="B76" s="466"/>
      <c r="C76" s="467"/>
      <c r="D76" s="467"/>
      <c r="E76" s="466"/>
      <c r="F76" s="467"/>
      <c r="G76" s="467"/>
      <c r="H76" s="467"/>
      <c r="I76" s="468"/>
      <c r="J76" s="467"/>
      <c r="K76" s="468"/>
      <c r="L76" s="467"/>
      <c r="M76" s="471"/>
      <c r="O76" s="471"/>
      <c r="P76" s="471"/>
    </row>
    <row r="77" spans="1:16" s="470" customFormat="1" ht="12">
      <c r="A77" s="466"/>
      <c r="B77" s="466"/>
      <c r="C77" s="467"/>
      <c r="D77" s="467"/>
      <c r="E77" s="466"/>
      <c r="F77" s="467"/>
      <c r="G77" s="467"/>
      <c r="H77" s="467"/>
      <c r="I77" s="468"/>
      <c r="J77" s="467"/>
      <c r="K77" s="468"/>
      <c r="L77" s="467"/>
      <c r="M77" s="471"/>
      <c r="O77" s="471"/>
      <c r="P77" s="471"/>
    </row>
    <row r="78" spans="1:16" s="470" customFormat="1" ht="12">
      <c r="A78" s="466"/>
      <c r="B78" s="466"/>
      <c r="C78" s="467"/>
      <c r="D78" s="467"/>
      <c r="E78" s="466"/>
      <c r="F78" s="467"/>
      <c r="G78" s="467"/>
      <c r="H78" s="467"/>
      <c r="I78" s="468"/>
      <c r="J78" s="467"/>
      <c r="K78" s="468"/>
      <c r="L78" s="467"/>
      <c r="M78" s="471"/>
      <c r="O78" s="471"/>
      <c r="P78" s="471"/>
    </row>
    <row r="79" spans="1:16" s="470" customFormat="1" ht="12">
      <c r="A79" s="466"/>
      <c r="B79" s="466"/>
      <c r="C79" s="467"/>
      <c r="D79" s="467"/>
      <c r="E79" s="466"/>
      <c r="F79" s="467"/>
      <c r="G79" s="467"/>
      <c r="H79" s="467"/>
      <c r="I79" s="468"/>
      <c r="J79" s="467"/>
      <c r="K79" s="468"/>
      <c r="L79" s="467"/>
      <c r="M79" s="471"/>
      <c r="O79" s="471"/>
      <c r="P79" s="471"/>
    </row>
    <row r="80" spans="1:16" s="470" customFormat="1" ht="12">
      <c r="A80" s="466"/>
      <c r="B80" s="466"/>
      <c r="C80" s="467"/>
      <c r="D80" s="467"/>
      <c r="E80" s="466"/>
      <c r="F80" s="467"/>
      <c r="G80" s="467"/>
      <c r="H80" s="467"/>
      <c r="I80" s="468"/>
      <c r="J80" s="467"/>
      <c r="K80" s="468"/>
      <c r="L80" s="467"/>
      <c r="M80" s="471"/>
      <c r="O80" s="471"/>
      <c r="P80" s="471"/>
    </row>
    <row r="81" spans="1:16" s="470" customFormat="1" ht="12">
      <c r="A81" s="466"/>
      <c r="B81" s="466"/>
      <c r="C81" s="467"/>
      <c r="D81" s="467"/>
      <c r="E81" s="466"/>
      <c r="F81" s="467"/>
      <c r="G81" s="467"/>
      <c r="H81" s="467"/>
      <c r="I81" s="468"/>
      <c r="J81" s="467"/>
      <c r="K81" s="468"/>
      <c r="L81" s="467"/>
      <c r="M81" s="471"/>
      <c r="O81" s="471"/>
      <c r="P81" s="471"/>
    </row>
    <row r="82" spans="1:16" s="470" customFormat="1" ht="12">
      <c r="A82" s="466"/>
      <c r="B82" s="466"/>
      <c r="C82" s="467"/>
      <c r="D82" s="467"/>
      <c r="E82" s="466"/>
      <c r="F82" s="467"/>
      <c r="G82" s="467"/>
      <c r="H82" s="467"/>
      <c r="I82" s="468"/>
      <c r="J82" s="467"/>
      <c r="K82" s="468"/>
      <c r="L82" s="467"/>
      <c r="M82" s="471"/>
      <c r="O82" s="471"/>
      <c r="P82" s="471"/>
    </row>
    <row r="83" spans="1:16" s="470" customFormat="1" ht="12">
      <c r="A83" s="466"/>
      <c r="B83" s="466"/>
      <c r="C83" s="467"/>
      <c r="D83" s="467"/>
      <c r="E83" s="466"/>
      <c r="F83" s="467"/>
      <c r="G83" s="467"/>
      <c r="H83" s="467"/>
      <c r="I83" s="468"/>
      <c r="J83" s="467"/>
      <c r="K83" s="468"/>
      <c r="L83" s="467"/>
      <c r="M83" s="471"/>
      <c r="O83" s="471"/>
      <c r="P83" s="471"/>
    </row>
    <row r="84" spans="1:16" s="470" customFormat="1" ht="12">
      <c r="A84" s="466"/>
      <c r="B84" s="466"/>
      <c r="C84" s="467"/>
      <c r="D84" s="467"/>
      <c r="E84" s="466"/>
      <c r="F84" s="467"/>
      <c r="G84" s="467"/>
      <c r="H84" s="467"/>
      <c r="I84" s="468"/>
      <c r="J84" s="467"/>
      <c r="K84" s="468"/>
      <c r="L84" s="467"/>
      <c r="M84" s="471"/>
      <c r="O84" s="471"/>
      <c r="P84" s="471"/>
    </row>
    <row r="85" spans="1:16" s="470" customFormat="1" ht="12">
      <c r="A85" s="466"/>
      <c r="B85" s="466"/>
      <c r="C85" s="467"/>
      <c r="D85" s="467"/>
      <c r="E85" s="466"/>
      <c r="F85" s="467"/>
      <c r="G85" s="467"/>
      <c r="H85" s="467"/>
      <c r="I85" s="468"/>
      <c r="J85" s="467"/>
      <c r="K85" s="468"/>
      <c r="L85" s="467"/>
      <c r="M85" s="471"/>
      <c r="O85" s="471"/>
      <c r="P85" s="471"/>
    </row>
    <row r="86" spans="1:16" s="470" customFormat="1" ht="12">
      <c r="A86" s="466"/>
      <c r="B86" s="466"/>
      <c r="C86" s="467"/>
      <c r="D86" s="467"/>
      <c r="E86" s="466"/>
      <c r="F86" s="467"/>
      <c r="G86" s="467"/>
      <c r="H86" s="467"/>
      <c r="I86" s="468"/>
      <c r="J86" s="467"/>
      <c r="K86" s="468"/>
      <c r="L86" s="467"/>
      <c r="M86" s="471"/>
      <c r="O86" s="471"/>
      <c r="P86" s="471"/>
    </row>
    <row r="87" spans="1:16" s="470" customFormat="1" ht="12">
      <c r="A87" s="466"/>
      <c r="B87" s="466"/>
      <c r="C87" s="467"/>
      <c r="D87" s="467"/>
      <c r="E87" s="466"/>
      <c r="F87" s="467"/>
      <c r="G87" s="467"/>
      <c r="H87" s="467"/>
      <c r="I87" s="468"/>
      <c r="J87" s="467"/>
      <c r="K87" s="468"/>
      <c r="L87" s="467"/>
      <c r="M87" s="471"/>
      <c r="O87" s="471"/>
      <c r="P87" s="471"/>
    </row>
    <row r="88" spans="1:16" s="470" customFormat="1" ht="12">
      <c r="A88" s="466"/>
      <c r="B88" s="466"/>
      <c r="C88" s="467"/>
      <c r="D88" s="467"/>
      <c r="E88" s="466"/>
      <c r="F88" s="467"/>
      <c r="G88" s="467"/>
      <c r="H88" s="467"/>
      <c r="I88" s="468"/>
      <c r="J88" s="467"/>
      <c r="K88" s="468"/>
      <c r="L88" s="467"/>
      <c r="M88" s="471"/>
      <c r="O88" s="471"/>
      <c r="P88" s="471"/>
    </row>
    <row r="89" spans="1:16" s="470" customFormat="1" ht="12">
      <c r="A89" s="466"/>
      <c r="B89" s="466"/>
      <c r="C89" s="467"/>
      <c r="D89" s="467"/>
      <c r="E89" s="466"/>
      <c r="F89" s="467"/>
      <c r="G89" s="467"/>
      <c r="H89" s="467"/>
      <c r="I89" s="468"/>
      <c r="J89" s="467"/>
      <c r="K89" s="468"/>
      <c r="L89" s="467"/>
      <c r="M89" s="471"/>
      <c r="O89" s="471"/>
      <c r="P89" s="471"/>
    </row>
    <row r="90" spans="1:16" s="470" customFormat="1" ht="12">
      <c r="A90" s="466"/>
      <c r="B90" s="466"/>
      <c r="C90" s="467"/>
      <c r="D90" s="467"/>
      <c r="E90" s="466"/>
      <c r="F90" s="467"/>
      <c r="G90" s="467"/>
      <c r="H90" s="467"/>
      <c r="I90" s="468"/>
      <c r="J90" s="467"/>
      <c r="K90" s="468"/>
      <c r="L90" s="467"/>
      <c r="M90" s="471"/>
      <c r="O90" s="471"/>
      <c r="P90" s="471"/>
    </row>
    <row r="91" spans="1:16" s="470" customFormat="1" ht="12">
      <c r="A91" s="466"/>
      <c r="B91" s="466"/>
      <c r="C91" s="467"/>
      <c r="D91" s="467"/>
      <c r="E91" s="466"/>
      <c r="F91" s="467"/>
      <c r="G91" s="467"/>
      <c r="H91" s="467"/>
      <c r="I91" s="468"/>
      <c r="J91" s="467"/>
      <c r="K91" s="468"/>
      <c r="L91" s="467"/>
      <c r="M91" s="471"/>
      <c r="O91" s="471"/>
      <c r="P91" s="471"/>
    </row>
    <row r="92" spans="1:16" s="470" customFormat="1" ht="12">
      <c r="A92" s="466"/>
      <c r="B92" s="466"/>
      <c r="C92" s="467"/>
      <c r="D92" s="467"/>
      <c r="E92" s="466"/>
      <c r="F92" s="467"/>
      <c r="G92" s="467"/>
      <c r="H92" s="467"/>
      <c r="I92" s="468"/>
      <c r="J92" s="467"/>
      <c r="K92" s="468"/>
      <c r="L92" s="467"/>
      <c r="M92" s="471"/>
      <c r="O92" s="471"/>
      <c r="P92" s="471"/>
    </row>
    <row r="93" spans="1:16" s="470" customFormat="1" ht="12">
      <c r="A93" s="466"/>
      <c r="B93" s="466"/>
      <c r="C93" s="467"/>
      <c r="D93" s="467"/>
      <c r="E93" s="466"/>
      <c r="F93" s="467"/>
      <c r="G93" s="467"/>
      <c r="H93" s="467"/>
      <c r="I93" s="468"/>
      <c r="J93" s="467"/>
      <c r="K93" s="468"/>
      <c r="L93" s="467"/>
      <c r="M93" s="471"/>
      <c r="O93" s="471"/>
      <c r="P93" s="471"/>
    </row>
    <row r="94" spans="1:16" s="470" customFormat="1" ht="12">
      <c r="A94" s="466"/>
      <c r="B94" s="466"/>
      <c r="C94" s="467"/>
      <c r="D94" s="467"/>
      <c r="E94" s="466"/>
      <c r="F94" s="467"/>
      <c r="G94" s="467"/>
      <c r="H94" s="467"/>
      <c r="I94" s="468"/>
      <c r="J94" s="467"/>
      <c r="K94" s="468"/>
      <c r="L94" s="467"/>
      <c r="M94" s="471"/>
      <c r="O94" s="471"/>
      <c r="P94" s="471"/>
    </row>
    <row r="95" spans="1:16" s="470" customFormat="1" ht="12">
      <c r="A95" s="466"/>
      <c r="B95" s="466"/>
      <c r="C95" s="467"/>
      <c r="D95" s="467"/>
      <c r="E95" s="466"/>
      <c r="F95" s="467"/>
      <c r="G95" s="467"/>
      <c r="H95" s="467"/>
      <c r="I95" s="468"/>
      <c r="J95" s="467"/>
      <c r="K95" s="468"/>
      <c r="L95" s="467"/>
      <c r="M95" s="471"/>
      <c r="O95" s="471"/>
      <c r="P95" s="471"/>
    </row>
    <row r="96" spans="1:16" s="470" customFormat="1" ht="12">
      <c r="A96" s="466"/>
      <c r="B96" s="466"/>
      <c r="C96" s="467"/>
      <c r="D96" s="467"/>
      <c r="E96" s="466"/>
      <c r="F96" s="467"/>
      <c r="G96" s="467"/>
      <c r="H96" s="467"/>
      <c r="I96" s="468"/>
      <c r="J96" s="467"/>
      <c r="K96" s="468"/>
      <c r="L96" s="467"/>
      <c r="M96" s="471"/>
      <c r="O96" s="471"/>
      <c r="P96" s="471"/>
    </row>
    <row r="97" spans="1:16" s="470" customFormat="1" ht="12">
      <c r="A97" s="466"/>
      <c r="B97" s="466"/>
      <c r="C97" s="467"/>
      <c r="D97" s="467"/>
      <c r="E97" s="466"/>
      <c r="F97" s="467"/>
      <c r="G97" s="467"/>
      <c r="H97" s="467"/>
      <c r="I97" s="468"/>
      <c r="J97" s="467"/>
      <c r="K97" s="468"/>
      <c r="L97" s="467"/>
      <c r="M97" s="471"/>
      <c r="O97" s="471"/>
      <c r="P97" s="471"/>
    </row>
    <row r="98" spans="1:16" s="470" customFormat="1" ht="12">
      <c r="A98" s="466"/>
      <c r="B98" s="466"/>
      <c r="C98" s="467"/>
      <c r="D98" s="467"/>
      <c r="E98" s="466"/>
      <c r="F98" s="467"/>
      <c r="G98" s="467"/>
      <c r="H98" s="467"/>
      <c r="I98" s="468"/>
      <c r="J98" s="467"/>
      <c r="K98" s="468"/>
      <c r="L98" s="467"/>
      <c r="M98" s="471"/>
      <c r="O98" s="471"/>
      <c r="P98" s="471"/>
    </row>
    <row r="99" spans="1:16" s="470" customFormat="1" ht="12">
      <c r="A99" s="466"/>
      <c r="B99" s="466"/>
      <c r="C99" s="467"/>
      <c r="D99" s="467"/>
      <c r="E99" s="466"/>
      <c r="F99" s="467"/>
      <c r="G99" s="467"/>
      <c r="H99" s="467"/>
      <c r="I99" s="468"/>
      <c r="J99" s="467"/>
      <c r="K99" s="468"/>
      <c r="L99" s="467"/>
      <c r="M99" s="471"/>
      <c r="O99" s="471"/>
      <c r="P99" s="471"/>
    </row>
    <row r="100" spans="1:16" s="470" customFormat="1" ht="12">
      <c r="A100" s="466"/>
      <c r="B100" s="466"/>
      <c r="C100" s="467"/>
      <c r="D100" s="467"/>
      <c r="E100" s="466"/>
      <c r="F100" s="467"/>
      <c r="G100" s="467"/>
      <c r="H100" s="467"/>
      <c r="I100" s="468"/>
      <c r="J100" s="467"/>
      <c r="K100" s="468"/>
      <c r="L100" s="467"/>
      <c r="M100" s="471"/>
      <c r="O100" s="471"/>
      <c r="P100" s="471"/>
    </row>
    <row r="101" spans="1:16" s="470" customFormat="1" ht="12">
      <c r="A101" s="466"/>
      <c r="B101" s="466"/>
      <c r="C101" s="467"/>
      <c r="D101" s="467"/>
      <c r="E101" s="466"/>
      <c r="F101" s="467"/>
      <c r="G101" s="467"/>
      <c r="H101" s="467"/>
      <c r="I101" s="468"/>
      <c r="J101" s="467"/>
      <c r="K101" s="468"/>
      <c r="L101" s="467"/>
      <c r="M101" s="471"/>
      <c r="O101" s="471"/>
      <c r="P101" s="471"/>
    </row>
    <row r="102" spans="1:16" s="470" customFormat="1" ht="12">
      <c r="A102" s="466"/>
      <c r="B102" s="466"/>
      <c r="C102" s="467"/>
      <c r="D102" s="467"/>
      <c r="E102" s="466"/>
      <c r="F102" s="467"/>
      <c r="G102" s="467"/>
      <c r="H102" s="467"/>
      <c r="I102" s="468"/>
      <c r="J102" s="467"/>
      <c r="K102" s="468"/>
      <c r="L102" s="467"/>
      <c r="M102" s="471"/>
      <c r="O102" s="471"/>
      <c r="P102" s="471"/>
    </row>
    <row r="103" spans="1:16" s="470" customFormat="1" ht="12">
      <c r="A103" s="466"/>
      <c r="B103" s="466"/>
      <c r="C103" s="467"/>
      <c r="D103" s="467"/>
      <c r="E103" s="466"/>
      <c r="F103" s="467"/>
      <c r="G103" s="467"/>
      <c r="H103" s="467"/>
      <c r="I103" s="468"/>
      <c r="J103" s="467"/>
      <c r="K103" s="468"/>
      <c r="L103" s="467"/>
      <c r="M103" s="471"/>
      <c r="O103" s="471"/>
      <c r="P103" s="471"/>
    </row>
    <row r="104" spans="1:16" s="470" customFormat="1" ht="12">
      <c r="A104" s="466"/>
      <c r="B104" s="466"/>
      <c r="C104" s="467"/>
      <c r="D104" s="467"/>
      <c r="E104" s="466"/>
      <c r="F104" s="467"/>
      <c r="G104" s="467"/>
      <c r="H104" s="467"/>
      <c r="I104" s="468"/>
      <c r="J104" s="467"/>
      <c r="K104" s="468"/>
      <c r="L104" s="467"/>
      <c r="M104" s="471"/>
      <c r="O104" s="471"/>
      <c r="P104" s="471"/>
    </row>
    <row r="105" spans="1:16" s="470" customFormat="1" ht="12">
      <c r="A105" s="466"/>
      <c r="B105" s="466"/>
      <c r="C105" s="467"/>
      <c r="D105" s="467"/>
      <c r="E105" s="466"/>
      <c r="F105" s="467"/>
      <c r="G105" s="467"/>
      <c r="H105" s="467"/>
      <c r="I105" s="468"/>
      <c r="J105" s="467"/>
      <c r="K105" s="468"/>
      <c r="L105" s="467"/>
      <c r="M105" s="471"/>
      <c r="O105" s="471"/>
      <c r="P105" s="471"/>
    </row>
    <row r="106" spans="1:16" s="470" customFormat="1" ht="12">
      <c r="A106" s="466"/>
      <c r="B106" s="466"/>
      <c r="C106" s="467"/>
      <c r="D106" s="467"/>
      <c r="E106" s="466"/>
      <c r="F106" s="467"/>
      <c r="G106" s="467"/>
      <c r="H106" s="467"/>
      <c r="I106" s="468"/>
      <c r="J106" s="467"/>
      <c r="K106" s="468"/>
      <c r="L106" s="467"/>
      <c r="M106" s="471"/>
      <c r="O106" s="471"/>
      <c r="P106" s="471"/>
    </row>
    <row r="107" spans="1:16" s="470" customFormat="1" ht="12">
      <c r="A107" s="466"/>
      <c r="B107" s="466"/>
      <c r="C107" s="467"/>
      <c r="D107" s="467"/>
      <c r="E107" s="466"/>
      <c r="F107" s="467"/>
      <c r="G107" s="467"/>
      <c r="H107" s="467"/>
      <c r="I107" s="468"/>
      <c r="J107" s="467"/>
      <c r="K107" s="468"/>
      <c r="L107" s="467"/>
      <c r="M107" s="471"/>
      <c r="O107" s="471"/>
      <c r="P107" s="471"/>
    </row>
    <row r="108" spans="1:16" s="470" customFormat="1" ht="12">
      <c r="A108" s="466"/>
      <c r="B108" s="466"/>
      <c r="C108" s="467"/>
      <c r="D108" s="467"/>
      <c r="E108" s="466"/>
      <c r="F108" s="467"/>
      <c r="G108" s="467"/>
      <c r="H108" s="467"/>
      <c r="I108" s="468"/>
      <c r="J108" s="467"/>
      <c r="K108" s="468"/>
      <c r="L108" s="467"/>
      <c r="M108" s="471"/>
      <c r="O108" s="471"/>
      <c r="P108" s="471"/>
    </row>
    <row r="109" spans="1:16" s="470" customFormat="1" ht="12">
      <c r="A109" s="466"/>
      <c r="B109" s="466"/>
      <c r="C109" s="467"/>
      <c r="D109" s="467"/>
      <c r="E109" s="466"/>
      <c r="F109" s="467"/>
      <c r="G109" s="467"/>
      <c r="H109" s="467"/>
      <c r="I109" s="468"/>
      <c r="J109" s="467"/>
      <c r="K109" s="468"/>
      <c r="L109" s="467"/>
      <c r="M109" s="471"/>
      <c r="O109" s="471"/>
      <c r="P109" s="471"/>
    </row>
    <row r="110" spans="1:16" s="470" customFormat="1" ht="12">
      <c r="A110" s="466"/>
      <c r="B110" s="466"/>
      <c r="C110" s="467"/>
      <c r="D110" s="467"/>
      <c r="E110" s="466"/>
      <c r="F110" s="467"/>
      <c r="G110" s="467"/>
      <c r="H110" s="467"/>
      <c r="I110" s="468"/>
      <c r="J110" s="467"/>
      <c r="K110" s="468"/>
      <c r="L110" s="467"/>
      <c r="M110" s="471"/>
      <c r="O110" s="471"/>
      <c r="P110" s="471"/>
    </row>
    <row r="111" spans="1:16" s="470" customFormat="1" ht="12">
      <c r="A111" s="466"/>
      <c r="B111" s="466"/>
      <c r="C111" s="467"/>
      <c r="D111" s="467"/>
      <c r="E111" s="466"/>
      <c r="F111" s="467"/>
      <c r="G111" s="467"/>
      <c r="H111" s="467"/>
      <c r="I111" s="468"/>
      <c r="J111" s="467"/>
      <c r="K111" s="468"/>
      <c r="L111" s="467"/>
      <c r="M111" s="471"/>
      <c r="O111" s="471"/>
      <c r="P111" s="471"/>
    </row>
    <row r="112" spans="1:16" s="470" customFormat="1" ht="12">
      <c r="A112" s="466"/>
      <c r="B112" s="466"/>
      <c r="C112" s="467"/>
      <c r="D112" s="467"/>
      <c r="E112" s="466"/>
      <c r="F112" s="467"/>
      <c r="G112" s="467"/>
      <c r="H112" s="467"/>
      <c r="I112" s="468"/>
      <c r="J112" s="467"/>
      <c r="K112" s="468"/>
      <c r="L112" s="467"/>
      <c r="M112" s="471"/>
      <c r="O112" s="471"/>
      <c r="P112" s="471"/>
    </row>
    <row r="113" spans="1:16" s="470" customFormat="1" ht="12">
      <c r="A113" s="466"/>
      <c r="B113" s="466"/>
      <c r="C113" s="467"/>
      <c r="D113" s="467"/>
      <c r="E113" s="466"/>
      <c r="F113" s="467"/>
      <c r="G113" s="467"/>
      <c r="H113" s="467"/>
      <c r="I113" s="468"/>
      <c r="J113" s="467"/>
      <c r="K113" s="468"/>
      <c r="L113" s="467"/>
      <c r="M113" s="471"/>
      <c r="O113" s="471"/>
      <c r="P113" s="471"/>
    </row>
    <row r="114" spans="1:16" s="470" customFormat="1" ht="12">
      <c r="A114" s="466"/>
      <c r="B114" s="466"/>
      <c r="C114" s="467"/>
      <c r="D114" s="467"/>
      <c r="E114" s="466"/>
      <c r="F114" s="467"/>
      <c r="G114" s="467"/>
      <c r="H114" s="467"/>
      <c r="I114" s="468"/>
      <c r="J114" s="467"/>
      <c r="K114" s="468"/>
      <c r="L114" s="467"/>
      <c r="M114" s="471"/>
      <c r="O114" s="471"/>
      <c r="P114" s="471"/>
    </row>
    <row r="115" spans="1:16" s="470" customFormat="1" ht="12">
      <c r="A115" s="466"/>
      <c r="B115" s="466"/>
      <c r="C115" s="467"/>
      <c r="D115" s="467"/>
      <c r="E115" s="466"/>
      <c r="F115" s="467"/>
      <c r="G115" s="467"/>
      <c r="H115" s="467"/>
      <c r="I115" s="468"/>
      <c r="J115" s="467"/>
      <c r="K115" s="468"/>
      <c r="L115" s="467"/>
      <c r="M115" s="471"/>
      <c r="O115" s="471"/>
      <c r="P115" s="471"/>
    </row>
    <row r="116" spans="1:16" s="470" customFormat="1" ht="12">
      <c r="A116" s="466"/>
      <c r="B116" s="466"/>
      <c r="C116" s="467"/>
      <c r="D116" s="467"/>
      <c r="E116" s="466"/>
      <c r="F116" s="467"/>
      <c r="G116" s="467"/>
      <c r="H116" s="467"/>
      <c r="I116" s="468"/>
      <c r="J116" s="467"/>
      <c r="K116" s="468"/>
      <c r="L116" s="467"/>
      <c r="M116" s="471"/>
      <c r="O116" s="471"/>
      <c r="P116" s="471"/>
    </row>
    <row r="117" spans="1:16" s="470" customFormat="1" ht="12">
      <c r="A117" s="466"/>
      <c r="B117" s="466"/>
      <c r="C117" s="467"/>
      <c r="D117" s="467"/>
      <c r="E117" s="466"/>
      <c r="F117" s="467"/>
      <c r="G117" s="467"/>
      <c r="H117" s="467"/>
      <c r="I117" s="468"/>
      <c r="J117" s="467"/>
      <c r="K117" s="468"/>
      <c r="L117" s="467"/>
      <c r="M117" s="471"/>
      <c r="O117" s="471"/>
      <c r="P117" s="471"/>
    </row>
    <row r="118" spans="1:16" s="470" customFormat="1" ht="12">
      <c r="A118" s="466"/>
      <c r="B118" s="466"/>
      <c r="C118" s="467"/>
      <c r="D118" s="467"/>
      <c r="E118" s="466"/>
      <c r="F118" s="467"/>
      <c r="G118" s="467"/>
      <c r="H118" s="467"/>
      <c r="I118" s="468"/>
      <c r="J118" s="467"/>
      <c r="K118" s="468"/>
      <c r="L118" s="467"/>
      <c r="M118" s="471"/>
      <c r="O118" s="471"/>
      <c r="P118" s="471"/>
    </row>
    <row r="119" spans="1:16" s="470" customFormat="1" ht="12">
      <c r="A119" s="466"/>
      <c r="B119" s="466"/>
      <c r="C119" s="467"/>
      <c r="D119" s="467"/>
      <c r="E119" s="466"/>
      <c r="F119" s="467"/>
      <c r="G119" s="467"/>
      <c r="H119" s="467"/>
      <c r="I119" s="468"/>
      <c r="J119" s="467"/>
      <c r="K119" s="468"/>
      <c r="L119" s="467"/>
      <c r="M119" s="471"/>
      <c r="O119" s="471"/>
      <c r="P119" s="471"/>
    </row>
    <row r="120" spans="1:16" s="470" customFormat="1" ht="12">
      <c r="A120" s="466"/>
      <c r="B120" s="466"/>
      <c r="C120" s="467"/>
      <c r="D120" s="467"/>
      <c r="E120" s="466"/>
      <c r="F120" s="467"/>
      <c r="G120" s="467"/>
      <c r="H120" s="467"/>
      <c r="I120" s="468"/>
      <c r="J120" s="467"/>
      <c r="K120" s="468"/>
      <c r="L120" s="467"/>
      <c r="M120" s="471"/>
      <c r="O120" s="471"/>
      <c r="P120" s="471"/>
    </row>
    <row r="121" spans="1:16" s="470" customFormat="1" ht="12">
      <c r="A121" s="466"/>
      <c r="B121" s="466"/>
      <c r="C121" s="467"/>
      <c r="D121" s="467"/>
      <c r="E121" s="466"/>
      <c r="F121" s="467"/>
      <c r="G121" s="467"/>
      <c r="H121" s="467"/>
      <c r="I121" s="468"/>
      <c r="J121" s="467"/>
      <c r="K121" s="468"/>
      <c r="L121" s="467"/>
      <c r="M121" s="471"/>
      <c r="O121" s="471"/>
      <c r="P121" s="471"/>
    </row>
    <row r="122" spans="1:16" s="470" customFormat="1" ht="12">
      <c r="A122" s="466"/>
      <c r="B122" s="466"/>
      <c r="C122" s="467"/>
      <c r="D122" s="467"/>
      <c r="E122" s="466"/>
      <c r="F122" s="467"/>
      <c r="G122" s="467"/>
      <c r="H122" s="467"/>
      <c r="I122" s="468"/>
      <c r="J122" s="467"/>
      <c r="K122" s="468"/>
      <c r="L122" s="467"/>
      <c r="M122" s="471"/>
      <c r="O122" s="471"/>
      <c r="P122" s="471"/>
    </row>
    <row r="123" spans="1:16" s="470" customFormat="1" ht="12">
      <c r="A123" s="466"/>
      <c r="B123" s="466"/>
      <c r="C123" s="467"/>
      <c r="D123" s="467"/>
      <c r="E123" s="466"/>
      <c r="F123" s="467"/>
      <c r="G123" s="467"/>
      <c r="H123" s="467"/>
      <c r="I123" s="468"/>
      <c r="J123" s="467"/>
      <c r="K123" s="468"/>
      <c r="L123" s="467"/>
      <c r="M123" s="471"/>
      <c r="O123" s="471"/>
      <c r="P123" s="471"/>
    </row>
    <row r="124" spans="1:16" s="470" customFormat="1" ht="12">
      <c r="A124" s="466"/>
      <c r="B124" s="466"/>
      <c r="C124" s="467"/>
      <c r="D124" s="467"/>
      <c r="E124" s="466"/>
      <c r="F124" s="467"/>
      <c r="G124" s="467"/>
      <c r="H124" s="467"/>
      <c r="I124" s="468"/>
      <c r="J124" s="467"/>
      <c r="K124" s="468"/>
      <c r="L124" s="467"/>
      <c r="M124" s="471"/>
      <c r="O124" s="471"/>
      <c r="P124" s="471"/>
    </row>
    <row r="125" spans="1:16" s="470" customFormat="1" ht="12">
      <c r="A125" s="466"/>
      <c r="B125" s="466"/>
      <c r="C125" s="467"/>
      <c r="D125" s="467"/>
      <c r="E125" s="466"/>
      <c r="F125" s="467"/>
      <c r="G125" s="467"/>
      <c r="H125" s="467"/>
      <c r="I125" s="468"/>
      <c r="J125" s="467"/>
      <c r="K125" s="468"/>
      <c r="L125" s="467"/>
      <c r="M125" s="471"/>
      <c r="O125" s="471"/>
      <c r="P125" s="471"/>
    </row>
    <row r="126" spans="1:16" s="470" customFormat="1" ht="12">
      <c r="A126" s="466"/>
      <c r="B126" s="466"/>
      <c r="C126" s="467"/>
      <c r="D126" s="467"/>
      <c r="E126" s="466"/>
      <c r="F126" s="467"/>
      <c r="G126" s="467"/>
      <c r="H126" s="467"/>
      <c r="I126" s="468"/>
      <c r="J126" s="467"/>
      <c r="K126" s="468"/>
      <c r="L126" s="467"/>
      <c r="M126" s="471"/>
      <c r="O126" s="471"/>
      <c r="P126" s="471"/>
    </row>
    <row r="127" spans="1:16" s="470" customFormat="1" ht="12">
      <c r="A127" s="466"/>
      <c r="B127" s="466"/>
      <c r="C127" s="467"/>
      <c r="D127" s="467"/>
      <c r="E127" s="466"/>
      <c r="F127" s="467"/>
      <c r="G127" s="467"/>
      <c r="H127" s="467"/>
      <c r="I127" s="468"/>
      <c r="J127" s="467"/>
      <c r="K127" s="468"/>
      <c r="L127" s="467"/>
      <c r="M127" s="471"/>
      <c r="O127" s="471"/>
      <c r="P127" s="471"/>
    </row>
    <row r="128" spans="1:16" s="470" customFormat="1" ht="12">
      <c r="A128" s="466"/>
      <c r="B128" s="466"/>
      <c r="C128" s="467"/>
      <c r="D128" s="467"/>
      <c r="E128" s="466"/>
      <c r="F128" s="467"/>
      <c r="G128" s="467"/>
      <c r="H128" s="467"/>
      <c r="I128" s="468"/>
      <c r="J128" s="467"/>
      <c r="K128" s="468"/>
      <c r="L128" s="467"/>
      <c r="M128" s="471"/>
      <c r="O128" s="471"/>
      <c r="P128" s="471"/>
    </row>
    <row r="129" spans="1:16" s="470" customFormat="1" ht="12">
      <c r="A129" s="466"/>
      <c r="B129" s="466"/>
      <c r="C129" s="467"/>
      <c r="D129" s="467"/>
      <c r="E129" s="466"/>
      <c r="F129" s="467"/>
      <c r="G129" s="467"/>
      <c r="H129" s="467"/>
      <c r="I129" s="468"/>
      <c r="J129" s="467"/>
      <c r="K129" s="468"/>
      <c r="L129" s="467"/>
      <c r="M129" s="471"/>
      <c r="O129" s="471"/>
      <c r="P129" s="471"/>
    </row>
    <row r="130" spans="1:16" s="470" customFormat="1" ht="12">
      <c r="A130" s="466"/>
      <c r="B130" s="466"/>
      <c r="C130" s="467"/>
      <c r="D130" s="467"/>
      <c r="E130" s="466"/>
      <c r="F130" s="467"/>
      <c r="G130" s="467"/>
      <c r="H130" s="467"/>
      <c r="I130" s="468"/>
      <c r="J130" s="467"/>
      <c r="K130" s="468"/>
      <c r="L130" s="467"/>
      <c r="M130" s="471"/>
      <c r="O130" s="471"/>
      <c r="P130" s="471"/>
    </row>
    <row r="131" spans="1:16" s="470" customFormat="1" ht="12">
      <c r="A131" s="466"/>
      <c r="B131" s="466"/>
      <c r="C131" s="467"/>
      <c r="D131" s="467"/>
      <c r="E131" s="466"/>
      <c r="F131" s="467"/>
      <c r="G131" s="467"/>
      <c r="H131" s="467"/>
      <c r="I131" s="468"/>
      <c r="J131" s="467"/>
      <c r="K131" s="468"/>
      <c r="L131" s="467"/>
      <c r="M131" s="471"/>
      <c r="O131" s="471"/>
      <c r="P131" s="471"/>
    </row>
    <row r="132" spans="1:16" s="470" customFormat="1" ht="12">
      <c r="A132" s="466"/>
      <c r="B132" s="466"/>
      <c r="C132" s="467"/>
      <c r="D132" s="467"/>
      <c r="E132" s="466"/>
      <c r="F132" s="467"/>
      <c r="G132" s="467"/>
      <c r="H132" s="467"/>
      <c r="I132" s="468"/>
      <c r="J132" s="467"/>
      <c r="K132" s="468"/>
      <c r="L132" s="467"/>
      <c r="M132" s="471"/>
      <c r="O132" s="471"/>
      <c r="P132" s="471"/>
    </row>
    <row r="133" spans="1:16" s="470" customFormat="1" ht="12">
      <c r="A133" s="466"/>
      <c r="B133" s="466"/>
      <c r="C133" s="467"/>
      <c r="D133" s="467"/>
      <c r="E133" s="466"/>
      <c r="F133" s="467"/>
      <c r="G133" s="467"/>
      <c r="H133" s="467"/>
      <c r="I133" s="468"/>
      <c r="J133" s="467"/>
      <c r="K133" s="468"/>
      <c r="L133" s="467"/>
      <c r="M133" s="471"/>
      <c r="O133" s="471"/>
      <c r="P133" s="471"/>
    </row>
    <row r="134" spans="1:16" s="470" customFormat="1" ht="12">
      <c r="A134" s="466"/>
      <c r="B134" s="466"/>
      <c r="C134" s="467"/>
      <c r="D134" s="467"/>
      <c r="E134" s="466"/>
      <c r="F134" s="467"/>
      <c r="G134" s="467"/>
      <c r="H134" s="467"/>
      <c r="I134" s="468"/>
      <c r="J134" s="467"/>
      <c r="K134" s="468"/>
      <c r="L134" s="467"/>
      <c r="M134" s="471"/>
      <c r="O134" s="471"/>
      <c r="P134" s="471"/>
    </row>
    <row r="135" spans="1:16" s="470" customFormat="1" ht="12">
      <c r="A135" s="466"/>
      <c r="B135" s="466"/>
      <c r="C135" s="467"/>
      <c r="D135" s="467"/>
      <c r="E135" s="466"/>
      <c r="F135" s="467"/>
      <c r="G135" s="467"/>
      <c r="H135" s="467"/>
      <c r="I135" s="468"/>
      <c r="J135" s="467"/>
      <c r="K135" s="468"/>
      <c r="L135" s="467"/>
      <c r="M135" s="471"/>
      <c r="O135" s="471"/>
      <c r="P135" s="471"/>
    </row>
    <row r="136" spans="1:16" s="470" customFormat="1" ht="12">
      <c r="A136" s="466"/>
      <c r="B136" s="466"/>
      <c r="C136" s="467"/>
      <c r="D136" s="467"/>
      <c r="E136" s="466"/>
      <c r="F136" s="467"/>
      <c r="G136" s="467"/>
      <c r="H136" s="467"/>
      <c r="I136" s="468"/>
      <c r="J136" s="467"/>
      <c r="K136" s="468"/>
      <c r="L136" s="467"/>
      <c r="M136" s="471"/>
      <c r="O136" s="471"/>
      <c r="P136" s="471"/>
    </row>
    <row r="137" spans="1:16" s="470" customFormat="1" ht="12">
      <c r="A137" s="466"/>
      <c r="B137" s="466"/>
      <c r="C137" s="467"/>
      <c r="D137" s="467"/>
      <c r="E137" s="466"/>
      <c r="F137" s="467"/>
      <c r="G137" s="467"/>
      <c r="H137" s="467"/>
      <c r="I137" s="468"/>
      <c r="J137" s="467"/>
      <c r="K137" s="468"/>
      <c r="L137" s="467"/>
      <c r="M137" s="471"/>
      <c r="O137" s="471"/>
      <c r="P137" s="471"/>
    </row>
    <row r="138" spans="1:16" s="470" customFormat="1" ht="12">
      <c r="A138" s="466"/>
      <c r="B138" s="466"/>
      <c r="C138" s="467"/>
      <c r="D138" s="467"/>
      <c r="E138" s="466"/>
      <c r="F138" s="467"/>
      <c r="G138" s="467"/>
      <c r="H138" s="467"/>
      <c r="I138" s="468"/>
      <c r="J138" s="467"/>
      <c r="K138" s="468"/>
      <c r="L138" s="467"/>
      <c r="M138" s="471"/>
      <c r="O138" s="471"/>
      <c r="P138" s="471"/>
    </row>
    <row r="139" spans="1:16" s="470" customFormat="1" ht="12">
      <c r="A139" s="466"/>
      <c r="B139" s="466"/>
      <c r="C139" s="467"/>
      <c r="D139" s="467"/>
      <c r="E139" s="466"/>
      <c r="F139" s="467"/>
      <c r="G139" s="467"/>
      <c r="H139" s="467"/>
      <c r="I139" s="468"/>
      <c r="J139" s="467"/>
      <c r="K139" s="468"/>
      <c r="L139" s="467"/>
      <c r="M139" s="471"/>
      <c r="O139" s="471"/>
      <c r="P139" s="471"/>
    </row>
    <row r="140" spans="1:16" s="470" customFormat="1" ht="12">
      <c r="A140" s="469"/>
      <c r="B140" s="469"/>
      <c r="C140" s="471"/>
      <c r="D140" s="471"/>
      <c r="E140" s="469"/>
      <c r="F140" s="471"/>
      <c r="G140" s="471"/>
      <c r="H140" s="471"/>
      <c r="I140" s="475"/>
      <c r="J140" s="471"/>
      <c r="K140" s="475"/>
      <c r="L140" s="471"/>
      <c r="M140" s="471"/>
      <c r="O140" s="471"/>
      <c r="P140" s="471"/>
    </row>
    <row r="141" spans="1:16" s="470" customFormat="1" ht="12">
      <c r="A141" s="469"/>
      <c r="B141" s="469"/>
      <c r="C141" s="471"/>
      <c r="D141" s="471"/>
      <c r="E141" s="469"/>
      <c r="F141" s="471"/>
      <c r="G141" s="471"/>
      <c r="H141" s="471"/>
      <c r="I141" s="475"/>
      <c r="J141" s="471"/>
      <c r="K141" s="475"/>
      <c r="L141" s="471"/>
      <c r="M141" s="471"/>
      <c r="O141" s="471"/>
      <c r="P141" s="471"/>
    </row>
    <row r="142" spans="1:16" s="470" customFormat="1" ht="12">
      <c r="A142" s="471"/>
      <c r="B142" s="469"/>
      <c r="C142" s="471"/>
      <c r="D142" s="471"/>
      <c r="E142" s="471"/>
      <c r="F142" s="471"/>
      <c r="G142" s="471"/>
      <c r="H142" s="471"/>
      <c r="I142" s="471"/>
      <c r="J142" s="471"/>
      <c r="K142" s="471"/>
      <c r="L142" s="471"/>
      <c r="M142" s="471"/>
      <c r="O142" s="471"/>
      <c r="P142" s="471"/>
    </row>
    <row r="143" spans="1:16" s="470" customFormat="1" ht="12">
      <c r="A143" s="471"/>
      <c r="B143" s="469"/>
      <c r="C143" s="471"/>
      <c r="D143" s="471"/>
      <c r="E143" s="471"/>
      <c r="F143" s="471"/>
      <c r="G143" s="471"/>
      <c r="H143" s="471"/>
      <c r="I143" s="471"/>
      <c r="J143" s="471"/>
      <c r="K143" s="471"/>
      <c r="L143" s="471"/>
      <c r="M143" s="471"/>
      <c r="O143" s="471"/>
      <c r="P143" s="471"/>
    </row>
    <row r="144" spans="1:16" s="470" customFormat="1" ht="12">
      <c r="A144" s="471"/>
      <c r="B144" s="469"/>
      <c r="C144" s="471"/>
      <c r="D144" s="471"/>
      <c r="E144" s="471"/>
      <c r="F144" s="471"/>
      <c r="G144" s="471"/>
      <c r="H144" s="471"/>
      <c r="I144" s="471"/>
      <c r="J144" s="471"/>
      <c r="K144" s="471"/>
      <c r="L144" s="471"/>
      <c r="M144" s="471"/>
      <c r="O144" s="471"/>
      <c r="P144" s="471"/>
    </row>
    <row r="145" spans="1:16" s="470" customFormat="1" ht="12">
      <c r="A145" s="471"/>
      <c r="B145" s="469"/>
      <c r="C145" s="471"/>
      <c r="D145" s="471"/>
      <c r="E145" s="471"/>
      <c r="F145" s="471"/>
      <c r="G145" s="471"/>
      <c r="H145" s="471"/>
      <c r="I145" s="471"/>
      <c r="J145" s="471"/>
      <c r="K145" s="471"/>
      <c r="L145" s="471"/>
      <c r="M145" s="471"/>
      <c r="O145" s="471"/>
      <c r="P145" s="471"/>
    </row>
    <row r="146" spans="1:16" s="470" customFormat="1" ht="12">
      <c r="A146" s="471"/>
      <c r="B146" s="469"/>
      <c r="C146" s="471"/>
      <c r="D146" s="471"/>
      <c r="E146" s="471"/>
      <c r="F146" s="471"/>
      <c r="G146" s="471"/>
      <c r="H146" s="471"/>
      <c r="I146" s="471"/>
      <c r="J146" s="471"/>
      <c r="K146" s="471"/>
      <c r="L146" s="471"/>
      <c r="M146" s="471"/>
      <c r="O146" s="471"/>
      <c r="P146" s="471"/>
    </row>
    <row r="147" spans="1:16" s="470" customFormat="1" ht="12">
      <c r="A147" s="471"/>
      <c r="B147" s="469"/>
      <c r="C147" s="471"/>
      <c r="D147" s="471"/>
      <c r="E147" s="471"/>
      <c r="F147" s="471"/>
      <c r="G147" s="471"/>
      <c r="H147" s="471"/>
      <c r="I147" s="471"/>
      <c r="J147" s="471"/>
      <c r="K147" s="471"/>
      <c r="L147" s="471"/>
      <c r="M147" s="471"/>
      <c r="O147" s="471"/>
      <c r="P147" s="471"/>
    </row>
    <row r="148" spans="1:16" s="470" customFormat="1" ht="12">
      <c r="A148" s="471"/>
      <c r="B148" s="469"/>
      <c r="C148" s="471"/>
      <c r="D148" s="471"/>
      <c r="E148" s="471"/>
      <c r="F148" s="471"/>
      <c r="G148" s="471"/>
      <c r="H148" s="471"/>
      <c r="I148" s="471"/>
      <c r="J148" s="471"/>
      <c r="K148" s="471"/>
      <c r="L148" s="471"/>
      <c r="M148" s="471"/>
      <c r="O148" s="471"/>
      <c r="P148" s="471"/>
    </row>
    <row r="149" spans="1:16" s="470" customFormat="1" ht="12">
      <c r="A149" s="471"/>
      <c r="B149" s="469"/>
      <c r="C149" s="471"/>
      <c r="D149" s="471"/>
      <c r="E149" s="471"/>
      <c r="F149" s="471"/>
      <c r="G149" s="471"/>
      <c r="H149" s="471"/>
      <c r="I149" s="471"/>
      <c r="J149" s="471"/>
      <c r="K149" s="471"/>
      <c r="L149" s="471"/>
      <c r="M149" s="471"/>
      <c r="O149" s="471"/>
      <c r="P149" s="471"/>
    </row>
    <row r="150" spans="1:16" s="470" customFormat="1" ht="12">
      <c r="A150" s="471"/>
      <c r="B150" s="469"/>
      <c r="C150" s="471"/>
      <c r="D150" s="471"/>
      <c r="E150" s="471"/>
      <c r="F150" s="471"/>
      <c r="G150" s="471"/>
      <c r="H150" s="471"/>
      <c r="I150" s="471"/>
      <c r="J150" s="471"/>
      <c r="K150" s="471"/>
      <c r="L150" s="471"/>
      <c r="M150" s="471"/>
      <c r="O150" s="471"/>
      <c r="P150" s="471"/>
    </row>
    <row r="151" spans="1:16" s="470" customFormat="1" ht="12">
      <c r="A151" s="471"/>
      <c r="B151" s="469"/>
      <c r="C151" s="471"/>
      <c r="D151" s="471"/>
      <c r="E151" s="471"/>
      <c r="F151" s="471"/>
      <c r="G151" s="471"/>
      <c r="H151" s="471"/>
      <c r="I151" s="471"/>
      <c r="J151" s="471"/>
      <c r="K151" s="471"/>
      <c r="L151" s="471"/>
      <c r="M151" s="471"/>
      <c r="O151" s="471"/>
      <c r="P151" s="471"/>
    </row>
    <row r="152" spans="1:16" s="470" customFormat="1" ht="12">
      <c r="A152" s="471"/>
      <c r="B152" s="469"/>
      <c r="C152" s="471"/>
      <c r="D152" s="471"/>
      <c r="E152" s="471"/>
      <c r="F152" s="471"/>
      <c r="G152" s="471"/>
      <c r="H152" s="471"/>
      <c r="I152" s="471"/>
      <c r="J152" s="471"/>
      <c r="K152" s="471"/>
      <c r="L152" s="471"/>
      <c r="M152" s="471"/>
      <c r="O152" s="471"/>
      <c r="P152" s="471"/>
    </row>
    <row r="153" spans="1:16" s="470" customFormat="1" ht="12">
      <c r="A153" s="471"/>
      <c r="B153" s="469"/>
      <c r="C153" s="471"/>
      <c r="D153" s="471"/>
      <c r="E153" s="471"/>
      <c r="F153" s="471"/>
      <c r="G153" s="471"/>
      <c r="H153" s="471"/>
      <c r="I153" s="471"/>
      <c r="J153" s="471"/>
      <c r="K153" s="471"/>
      <c r="L153" s="471"/>
      <c r="M153" s="471"/>
      <c r="O153" s="471"/>
      <c r="P153" s="471"/>
    </row>
    <row r="154" spans="1:16" s="470" customFormat="1" ht="12">
      <c r="A154" s="471"/>
      <c r="B154" s="469"/>
      <c r="C154" s="471"/>
      <c r="D154" s="471"/>
      <c r="E154" s="471"/>
      <c r="F154" s="471"/>
      <c r="G154" s="471"/>
      <c r="H154" s="471"/>
      <c r="I154" s="471"/>
      <c r="J154" s="471"/>
      <c r="K154" s="471"/>
      <c r="L154" s="471"/>
      <c r="M154" s="471"/>
      <c r="O154" s="471"/>
      <c r="P154" s="471"/>
    </row>
    <row r="155" spans="1:16" s="470" customFormat="1" ht="12">
      <c r="A155" s="471"/>
      <c r="B155" s="469"/>
      <c r="C155" s="471"/>
      <c r="D155" s="471"/>
      <c r="E155" s="471"/>
      <c r="F155" s="471"/>
      <c r="G155" s="471"/>
      <c r="H155" s="471"/>
      <c r="I155" s="471"/>
      <c r="J155" s="471"/>
      <c r="K155" s="471"/>
      <c r="L155" s="471"/>
      <c r="M155" s="471"/>
      <c r="O155" s="471"/>
      <c r="P155" s="471"/>
    </row>
    <row r="156" spans="1:16" s="470" customFormat="1" ht="12">
      <c r="A156" s="471"/>
      <c r="B156" s="469"/>
      <c r="C156" s="471"/>
      <c r="D156" s="471"/>
      <c r="E156" s="471"/>
      <c r="F156" s="471"/>
      <c r="G156" s="471"/>
      <c r="H156" s="471"/>
      <c r="I156" s="471"/>
      <c r="J156" s="471"/>
      <c r="K156" s="471"/>
      <c r="L156" s="471"/>
      <c r="M156" s="471"/>
      <c r="O156" s="471"/>
      <c r="P156" s="471"/>
    </row>
    <row r="157" spans="1:16" s="470" customFormat="1" ht="12">
      <c r="A157" s="471"/>
      <c r="B157" s="469"/>
      <c r="C157" s="471"/>
      <c r="D157" s="471"/>
      <c r="E157" s="471"/>
      <c r="F157" s="471"/>
      <c r="G157" s="471"/>
      <c r="H157" s="471"/>
      <c r="I157" s="471"/>
      <c r="J157" s="471"/>
      <c r="K157" s="471"/>
      <c r="L157" s="471"/>
      <c r="M157" s="471"/>
      <c r="O157" s="471"/>
      <c r="P157" s="471"/>
    </row>
    <row r="158" spans="1:16" s="470" customFormat="1" ht="12">
      <c r="A158" s="471"/>
      <c r="B158" s="469"/>
      <c r="C158" s="471"/>
      <c r="D158" s="471"/>
      <c r="E158" s="471"/>
      <c r="F158" s="471"/>
      <c r="G158" s="471"/>
      <c r="H158" s="471"/>
      <c r="I158" s="471"/>
      <c r="J158" s="471"/>
      <c r="K158" s="471"/>
      <c r="L158" s="471"/>
      <c r="M158" s="471"/>
      <c r="O158" s="471"/>
      <c r="P158" s="471"/>
    </row>
    <row r="159" spans="1:16" s="470" customFormat="1" ht="12">
      <c r="A159" s="471"/>
      <c r="B159" s="469"/>
      <c r="C159" s="471"/>
      <c r="D159" s="471"/>
      <c r="E159" s="471"/>
      <c r="F159" s="471"/>
      <c r="G159" s="471"/>
      <c r="H159" s="471"/>
      <c r="I159" s="471"/>
      <c r="J159" s="471"/>
      <c r="K159" s="471"/>
      <c r="L159" s="471"/>
      <c r="M159" s="471"/>
      <c r="O159" s="471"/>
      <c r="P159" s="471"/>
    </row>
    <row r="160" spans="1:16" s="470" customFormat="1" ht="12">
      <c r="A160" s="471"/>
      <c r="B160" s="469"/>
      <c r="C160" s="471"/>
      <c r="D160" s="471"/>
      <c r="E160" s="471"/>
      <c r="F160" s="471"/>
      <c r="G160" s="471"/>
      <c r="H160" s="471"/>
      <c r="I160" s="471"/>
      <c r="J160" s="471"/>
      <c r="K160" s="471"/>
      <c r="L160" s="471"/>
      <c r="M160" s="471"/>
      <c r="O160" s="471"/>
      <c r="P160" s="471"/>
    </row>
    <row r="161" spans="1:16" s="470" customFormat="1" ht="12">
      <c r="A161" s="471"/>
      <c r="B161" s="469"/>
      <c r="C161" s="471"/>
      <c r="D161" s="471"/>
      <c r="E161" s="471"/>
      <c r="F161" s="471"/>
      <c r="G161" s="471"/>
      <c r="H161" s="471"/>
      <c r="I161" s="471"/>
      <c r="J161" s="471"/>
      <c r="K161" s="471"/>
      <c r="L161" s="471"/>
      <c r="M161" s="471"/>
      <c r="O161" s="471"/>
      <c r="P161" s="471"/>
    </row>
    <row r="162" spans="1:16" s="470" customFormat="1" ht="12">
      <c r="A162" s="471"/>
      <c r="B162" s="469"/>
      <c r="C162" s="471"/>
      <c r="D162" s="471"/>
      <c r="E162" s="471"/>
      <c r="F162" s="471"/>
      <c r="G162" s="471"/>
      <c r="H162" s="471"/>
      <c r="I162" s="471"/>
      <c r="J162" s="471"/>
      <c r="K162" s="471"/>
      <c r="L162" s="471"/>
      <c r="M162" s="471"/>
      <c r="O162" s="471"/>
      <c r="P162" s="471"/>
    </row>
    <row r="163" spans="1:16" s="470" customFormat="1" ht="12">
      <c r="A163" s="471"/>
      <c r="B163" s="469"/>
      <c r="C163" s="471"/>
      <c r="D163" s="471"/>
      <c r="E163" s="471"/>
      <c r="F163" s="471"/>
      <c r="G163" s="471"/>
      <c r="H163" s="471"/>
      <c r="I163" s="471"/>
      <c r="J163" s="471"/>
      <c r="K163" s="471"/>
      <c r="L163" s="471"/>
      <c r="M163" s="471"/>
      <c r="O163" s="471"/>
      <c r="P163" s="471"/>
    </row>
    <row r="164" spans="1:16" s="470" customFormat="1" ht="12">
      <c r="A164" s="471"/>
      <c r="B164" s="469"/>
      <c r="C164" s="471"/>
      <c r="D164" s="471"/>
      <c r="E164" s="471"/>
      <c r="F164" s="471"/>
      <c r="G164" s="471"/>
      <c r="H164" s="471"/>
      <c r="I164" s="471"/>
      <c r="J164" s="471"/>
      <c r="K164" s="471"/>
      <c r="L164" s="471"/>
      <c r="M164" s="471"/>
      <c r="O164" s="471"/>
      <c r="P164" s="471"/>
    </row>
    <row r="165" spans="1:16" s="470" customFormat="1" ht="12">
      <c r="A165" s="471"/>
      <c r="B165" s="469"/>
      <c r="C165" s="471"/>
      <c r="D165" s="471"/>
      <c r="E165" s="471"/>
      <c r="F165" s="471"/>
      <c r="G165" s="471"/>
      <c r="H165" s="471"/>
      <c r="I165" s="471"/>
      <c r="J165" s="471"/>
      <c r="K165" s="471"/>
      <c r="L165" s="471"/>
      <c r="M165" s="471"/>
      <c r="O165" s="471"/>
      <c r="P165" s="471"/>
    </row>
    <row r="166" spans="1:16" s="470" customFormat="1" ht="12">
      <c r="A166" s="471"/>
      <c r="B166" s="469"/>
      <c r="C166" s="471"/>
      <c r="D166" s="471"/>
      <c r="E166" s="471"/>
      <c r="F166" s="471"/>
      <c r="G166" s="471"/>
      <c r="H166" s="471"/>
      <c r="I166" s="471"/>
      <c r="J166" s="471"/>
      <c r="K166" s="471"/>
      <c r="L166" s="471"/>
      <c r="M166" s="471"/>
      <c r="O166" s="471"/>
      <c r="P166" s="471"/>
    </row>
    <row r="167" spans="1:16" s="470" customFormat="1" ht="12">
      <c r="A167" s="471"/>
      <c r="B167" s="469"/>
      <c r="C167" s="471"/>
      <c r="D167" s="471"/>
      <c r="E167" s="471"/>
      <c r="F167" s="471"/>
      <c r="G167" s="471"/>
      <c r="H167" s="471"/>
      <c r="I167" s="471"/>
      <c r="J167" s="471"/>
      <c r="K167" s="471"/>
      <c r="L167" s="471"/>
      <c r="M167" s="471"/>
      <c r="O167" s="471"/>
      <c r="P167" s="471"/>
    </row>
    <row r="168" spans="1:16" s="470" customFormat="1" ht="12">
      <c r="A168" s="471"/>
      <c r="B168" s="469"/>
      <c r="C168" s="471"/>
      <c r="D168" s="471"/>
      <c r="E168" s="471"/>
      <c r="F168" s="471"/>
      <c r="G168" s="471"/>
      <c r="H168" s="471"/>
      <c r="I168" s="471"/>
      <c r="J168" s="471"/>
      <c r="K168" s="471"/>
      <c r="L168" s="471"/>
      <c r="M168" s="471"/>
      <c r="O168" s="471"/>
      <c r="P168" s="471"/>
    </row>
    <row r="169" spans="1:16" s="470" customFormat="1" ht="12">
      <c r="A169" s="471"/>
      <c r="B169" s="469"/>
      <c r="C169" s="471"/>
      <c r="D169" s="471"/>
      <c r="E169" s="471"/>
      <c r="F169" s="471"/>
      <c r="G169" s="471"/>
      <c r="H169" s="471"/>
      <c r="I169" s="471"/>
      <c r="J169" s="471"/>
      <c r="K169" s="471"/>
      <c r="L169" s="471"/>
      <c r="M169" s="471"/>
      <c r="O169" s="471"/>
      <c r="P169" s="471"/>
    </row>
    <row r="170" spans="1:16" s="470" customFormat="1" ht="12">
      <c r="A170" s="471"/>
      <c r="B170" s="469"/>
      <c r="C170" s="471"/>
      <c r="D170" s="471"/>
      <c r="E170" s="471"/>
      <c r="F170" s="471"/>
      <c r="G170" s="471"/>
      <c r="H170" s="471"/>
      <c r="I170" s="471"/>
      <c r="J170" s="471"/>
      <c r="K170" s="471"/>
      <c r="L170" s="471"/>
      <c r="M170" s="471"/>
      <c r="O170" s="471"/>
      <c r="P170" s="471"/>
    </row>
    <row r="171" spans="1:16" s="470" customFormat="1" ht="12">
      <c r="A171" s="471"/>
      <c r="B171" s="469"/>
      <c r="C171" s="471"/>
      <c r="D171" s="471"/>
      <c r="E171" s="471"/>
      <c r="F171" s="471"/>
      <c r="G171" s="471"/>
      <c r="H171" s="471"/>
      <c r="I171" s="471"/>
      <c r="J171" s="471"/>
      <c r="K171" s="471"/>
      <c r="L171" s="471"/>
      <c r="M171" s="471"/>
      <c r="O171" s="471"/>
      <c r="P171" s="471"/>
    </row>
    <row r="172" spans="1:16" s="470" customFormat="1" ht="12">
      <c r="A172" s="471"/>
      <c r="B172" s="469"/>
      <c r="C172" s="471"/>
      <c r="D172" s="471"/>
      <c r="E172" s="471"/>
      <c r="F172" s="471"/>
      <c r="G172" s="471"/>
      <c r="H172" s="471"/>
      <c r="I172" s="471"/>
      <c r="J172" s="471"/>
      <c r="K172" s="471"/>
      <c r="L172" s="471"/>
      <c r="M172" s="471"/>
      <c r="O172" s="471"/>
      <c r="P172" s="471"/>
    </row>
    <row r="173" spans="1:16" s="470" customFormat="1" ht="12">
      <c r="A173" s="471"/>
      <c r="B173" s="469"/>
      <c r="C173" s="471"/>
      <c r="D173" s="471"/>
      <c r="E173" s="471"/>
      <c r="F173" s="471"/>
      <c r="G173" s="471"/>
      <c r="H173" s="471"/>
      <c r="I173" s="471"/>
      <c r="J173" s="471"/>
      <c r="K173" s="471"/>
      <c r="L173" s="471"/>
      <c r="M173" s="471"/>
      <c r="O173" s="471"/>
      <c r="P173" s="471"/>
    </row>
    <row r="187" spans="1:16" s="470" customFormat="1" ht="12.75">
      <c r="A187" s="476"/>
      <c r="B187" s="476"/>
      <c r="C187" s="477"/>
      <c r="D187" s="477"/>
      <c r="E187" s="476"/>
      <c r="F187" s="477"/>
      <c r="G187" s="477"/>
      <c r="H187" s="477"/>
      <c r="I187" s="478"/>
      <c r="J187" s="477"/>
      <c r="K187" s="478"/>
      <c r="L187" s="477"/>
      <c r="M187" s="476"/>
      <c r="O187" s="471"/>
      <c r="P187" s="471"/>
    </row>
    <row r="188" spans="1:16" s="470" customFormat="1" ht="12.75">
      <c r="A188" s="476"/>
      <c r="B188" s="476"/>
      <c r="C188" s="477"/>
      <c r="D188" s="477"/>
      <c r="E188" s="476"/>
      <c r="F188" s="477"/>
      <c r="G188" s="477"/>
      <c r="H188" s="477"/>
      <c r="I188" s="478"/>
      <c r="J188" s="477"/>
      <c r="K188" s="478"/>
      <c r="L188" s="477"/>
      <c r="M188" s="476"/>
      <c r="O188" s="471"/>
      <c r="P188" s="471"/>
    </row>
    <row r="189" spans="1:16" s="470" customFormat="1" ht="12.75">
      <c r="A189" s="476"/>
      <c r="B189" s="476"/>
      <c r="C189" s="477"/>
      <c r="D189" s="477"/>
      <c r="E189" s="476"/>
      <c r="F189" s="477"/>
      <c r="G189" s="477"/>
      <c r="H189" s="477"/>
      <c r="I189" s="478"/>
      <c r="J189" s="477"/>
      <c r="K189" s="478"/>
      <c r="L189" s="477"/>
      <c r="M189" s="476"/>
      <c r="O189" s="471"/>
      <c r="P189" s="471"/>
    </row>
    <row r="190" spans="1:16" s="470" customFormat="1" ht="12.75">
      <c r="A190" s="476"/>
      <c r="B190" s="476"/>
      <c r="C190" s="477"/>
      <c r="D190" s="477"/>
      <c r="E190" s="476"/>
      <c r="F190" s="477"/>
      <c r="G190" s="477"/>
      <c r="H190" s="477"/>
      <c r="I190" s="478"/>
      <c r="J190" s="477"/>
      <c r="K190" s="478"/>
      <c r="L190" s="477"/>
      <c r="M190" s="476"/>
      <c r="O190" s="471"/>
      <c r="P190" s="471"/>
    </row>
    <row r="191" spans="1:16" s="470" customFormat="1" ht="12.75">
      <c r="A191" s="476"/>
      <c r="B191" s="476"/>
      <c r="C191" s="477"/>
      <c r="D191" s="477"/>
      <c r="E191" s="476"/>
      <c r="F191" s="477"/>
      <c r="G191" s="477"/>
      <c r="H191" s="477"/>
      <c r="I191" s="478"/>
      <c r="J191" s="477"/>
      <c r="K191" s="478"/>
      <c r="L191" s="477"/>
      <c r="M191" s="476"/>
      <c r="O191" s="471"/>
      <c r="P191" s="471"/>
    </row>
    <row r="192" spans="1:16" s="470" customFormat="1" ht="12.75">
      <c r="A192" s="476"/>
      <c r="B192" s="476"/>
      <c r="C192" s="477"/>
      <c r="D192" s="477"/>
      <c r="E192" s="476"/>
      <c r="F192" s="477"/>
      <c r="G192" s="477"/>
      <c r="H192" s="477"/>
      <c r="I192" s="478"/>
      <c r="J192" s="477"/>
      <c r="K192" s="478"/>
      <c r="L192" s="477"/>
      <c r="M192" s="476"/>
      <c r="O192" s="471"/>
      <c r="P192" s="471"/>
    </row>
    <row r="193" spans="1:16" s="470" customFormat="1" ht="12.75">
      <c r="A193" s="476"/>
      <c r="B193" s="476"/>
      <c r="C193" s="477"/>
      <c r="D193" s="477"/>
      <c r="E193" s="476"/>
      <c r="F193" s="477"/>
      <c r="G193" s="477"/>
      <c r="H193" s="477"/>
      <c r="I193" s="478"/>
      <c r="J193" s="477"/>
      <c r="K193" s="478"/>
      <c r="L193" s="477"/>
      <c r="M193" s="476"/>
      <c r="O193" s="471"/>
      <c r="P193" s="471"/>
    </row>
    <row r="194" spans="1:16" s="470" customFormat="1" ht="12.75">
      <c r="A194" s="476"/>
      <c r="B194" s="476"/>
      <c r="C194" s="477"/>
      <c r="D194" s="477"/>
      <c r="E194" s="476"/>
      <c r="F194" s="477"/>
      <c r="G194" s="477"/>
      <c r="H194" s="477"/>
      <c r="I194" s="478"/>
      <c r="J194" s="477"/>
      <c r="K194" s="478"/>
      <c r="L194" s="477"/>
      <c r="M194" s="476"/>
      <c r="O194" s="471"/>
      <c r="P194" s="471"/>
    </row>
    <row r="195" spans="1:16" s="470" customFormat="1" ht="12.75">
      <c r="A195" s="476"/>
      <c r="B195" s="476"/>
      <c r="C195" s="477"/>
      <c r="D195" s="477"/>
      <c r="E195" s="476"/>
      <c r="F195" s="477"/>
      <c r="G195" s="477"/>
      <c r="H195" s="477"/>
      <c r="I195" s="478"/>
      <c r="J195" s="477"/>
      <c r="K195" s="478"/>
      <c r="L195" s="477"/>
      <c r="M195" s="476"/>
      <c r="O195" s="471"/>
      <c r="P195" s="471"/>
    </row>
    <row r="196" spans="1:16" s="470" customFormat="1" ht="12.75">
      <c r="A196" s="476"/>
      <c r="B196" s="476"/>
      <c r="C196" s="477"/>
      <c r="D196" s="477"/>
      <c r="E196" s="476"/>
      <c r="F196" s="477"/>
      <c r="G196" s="477"/>
      <c r="H196" s="477"/>
      <c r="I196" s="478"/>
      <c r="J196" s="477"/>
      <c r="K196" s="478"/>
      <c r="L196" s="477"/>
      <c r="M196" s="476"/>
      <c r="O196" s="471"/>
      <c r="P196" s="471"/>
    </row>
    <row r="197" spans="1:16" s="470" customFormat="1" ht="12.75">
      <c r="A197" s="476"/>
      <c r="B197" s="476"/>
      <c r="C197" s="477"/>
      <c r="D197" s="477"/>
      <c r="E197" s="476"/>
      <c r="F197" s="477"/>
      <c r="G197" s="477"/>
      <c r="H197" s="477"/>
      <c r="I197" s="478"/>
      <c r="J197" s="477"/>
      <c r="K197" s="478"/>
      <c r="L197" s="477"/>
      <c r="M197" s="476"/>
      <c r="O197" s="471"/>
      <c r="P197" s="471"/>
    </row>
    <row r="198" spans="1:16" s="470" customFormat="1" ht="12.75">
      <c r="A198" s="476"/>
      <c r="B198" s="476"/>
      <c r="C198" s="477"/>
      <c r="D198" s="477"/>
      <c r="E198" s="476"/>
      <c r="F198" s="477"/>
      <c r="G198" s="477"/>
      <c r="H198" s="477"/>
      <c r="I198" s="478"/>
      <c r="J198" s="477"/>
      <c r="K198" s="478"/>
      <c r="L198" s="477"/>
      <c r="M198" s="476"/>
      <c r="O198" s="471"/>
      <c r="P198" s="471"/>
    </row>
    <row r="199" spans="1:16" s="470" customFormat="1" ht="12.75">
      <c r="A199" s="476"/>
      <c r="B199" s="476"/>
      <c r="C199" s="477"/>
      <c r="D199" s="477"/>
      <c r="E199" s="476"/>
      <c r="F199" s="477"/>
      <c r="G199" s="477"/>
      <c r="H199" s="477"/>
      <c r="I199" s="478"/>
      <c r="J199" s="477"/>
      <c r="K199" s="478"/>
      <c r="L199" s="477"/>
      <c r="M199" s="476"/>
      <c r="O199" s="471"/>
      <c r="P199" s="471"/>
    </row>
    <row r="200" spans="1:16" s="470" customFormat="1" ht="12.75">
      <c r="A200" s="476"/>
      <c r="B200" s="476"/>
      <c r="C200" s="477"/>
      <c r="D200" s="477"/>
      <c r="E200" s="476"/>
      <c r="F200" s="477"/>
      <c r="G200" s="477"/>
      <c r="H200" s="477"/>
      <c r="I200" s="478"/>
      <c r="J200" s="477"/>
      <c r="K200" s="478"/>
      <c r="L200" s="477"/>
      <c r="M200" s="476"/>
      <c r="O200" s="471"/>
      <c r="P200" s="471"/>
    </row>
    <row r="201" spans="1:16" s="470" customFormat="1" ht="12.75">
      <c r="A201" s="476"/>
      <c r="B201" s="476"/>
      <c r="C201" s="477"/>
      <c r="D201" s="477"/>
      <c r="E201" s="476"/>
      <c r="F201" s="477"/>
      <c r="G201" s="477"/>
      <c r="H201" s="477"/>
      <c r="I201" s="478"/>
      <c r="J201" s="477"/>
      <c r="K201" s="478"/>
      <c r="L201" s="477"/>
      <c r="M201" s="476"/>
      <c r="O201" s="471"/>
      <c r="P201" s="471"/>
    </row>
    <row r="202" spans="1:16" s="470" customFormat="1" ht="12.75">
      <c r="A202" s="476"/>
      <c r="B202" s="476"/>
      <c r="C202" s="477"/>
      <c r="D202" s="477"/>
      <c r="E202" s="476"/>
      <c r="F202" s="477"/>
      <c r="G202" s="477"/>
      <c r="H202" s="477"/>
      <c r="I202" s="478"/>
      <c r="J202" s="477"/>
      <c r="K202" s="478"/>
      <c r="L202" s="477"/>
      <c r="M202" s="476"/>
      <c r="O202" s="471"/>
      <c r="P202" s="471"/>
    </row>
    <row r="203" spans="1:16" s="470" customFormat="1" ht="12.75">
      <c r="A203" s="476"/>
      <c r="B203" s="476"/>
      <c r="C203" s="477"/>
      <c r="D203" s="477"/>
      <c r="E203" s="476"/>
      <c r="F203" s="477"/>
      <c r="G203" s="477"/>
      <c r="H203" s="477"/>
      <c r="I203" s="478"/>
      <c r="J203" s="477"/>
      <c r="K203" s="478"/>
      <c r="L203" s="477"/>
      <c r="M203" s="476"/>
      <c r="O203" s="471"/>
      <c r="P203" s="471"/>
    </row>
    <row r="204" spans="1:16" s="470" customFormat="1" ht="12.75">
      <c r="A204" s="476"/>
      <c r="B204" s="476"/>
      <c r="C204" s="477"/>
      <c r="D204" s="477"/>
      <c r="E204" s="476"/>
      <c r="F204" s="477"/>
      <c r="G204" s="477"/>
      <c r="H204" s="477"/>
      <c r="I204" s="478"/>
      <c r="J204" s="477"/>
      <c r="K204" s="478"/>
      <c r="L204" s="477"/>
      <c r="M204" s="476"/>
      <c r="O204" s="471"/>
      <c r="P204" s="471"/>
    </row>
    <row r="205" spans="1:16" s="470" customFormat="1" ht="12.75">
      <c r="A205" s="476"/>
      <c r="B205" s="476"/>
      <c r="C205" s="477"/>
      <c r="D205" s="477"/>
      <c r="E205" s="476"/>
      <c r="F205" s="477"/>
      <c r="G205" s="477"/>
      <c r="H205" s="477"/>
      <c r="I205" s="478"/>
      <c r="J205" s="477"/>
      <c r="K205" s="478"/>
      <c r="L205" s="477"/>
      <c r="M205" s="476"/>
      <c r="O205" s="471"/>
      <c r="P205" s="471"/>
    </row>
    <row r="206" spans="1:16" s="470" customFormat="1" ht="12.75">
      <c r="A206" s="476"/>
      <c r="B206" s="476"/>
      <c r="C206" s="477"/>
      <c r="D206" s="477"/>
      <c r="E206" s="476"/>
      <c r="F206" s="477"/>
      <c r="G206" s="477"/>
      <c r="H206" s="477"/>
      <c r="I206" s="478"/>
      <c r="J206" s="477"/>
      <c r="K206" s="478"/>
      <c r="L206" s="477"/>
      <c r="M206" s="476"/>
      <c r="O206" s="471"/>
      <c r="P206" s="471"/>
    </row>
    <row r="207" spans="1:16" s="470" customFormat="1" ht="12.75">
      <c r="A207" s="476"/>
      <c r="B207" s="476"/>
      <c r="C207" s="477"/>
      <c r="D207" s="477"/>
      <c r="E207" s="476"/>
      <c r="F207" s="477"/>
      <c r="G207" s="477"/>
      <c r="H207" s="477"/>
      <c r="I207" s="478"/>
      <c r="J207" s="477"/>
      <c r="K207" s="478"/>
      <c r="L207" s="477"/>
      <c r="M207" s="476"/>
      <c r="O207" s="471"/>
      <c r="P207" s="471"/>
    </row>
    <row r="208" spans="1:16" s="470" customFormat="1" ht="12.75">
      <c r="A208" s="476"/>
      <c r="B208" s="476"/>
      <c r="C208" s="477"/>
      <c r="D208" s="477"/>
      <c r="E208" s="476"/>
      <c r="F208" s="477"/>
      <c r="G208" s="477"/>
      <c r="H208" s="477"/>
      <c r="I208" s="478"/>
      <c r="J208" s="477"/>
      <c r="K208" s="478"/>
      <c r="L208" s="477"/>
      <c r="M208" s="476"/>
      <c r="O208" s="471"/>
      <c r="P208" s="471"/>
    </row>
    <row r="209" spans="1:16" s="470" customFormat="1" ht="12.75">
      <c r="A209" s="476"/>
      <c r="B209" s="476"/>
      <c r="C209" s="477"/>
      <c r="D209" s="477"/>
      <c r="E209" s="476"/>
      <c r="F209" s="477"/>
      <c r="G209" s="477"/>
      <c r="H209" s="477"/>
      <c r="I209" s="478"/>
      <c r="J209" s="477"/>
      <c r="K209" s="478"/>
      <c r="L209" s="477"/>
      <c r="M209" s="476"/>
      <c r="O209" s="471"/>
      <c r="P209" s="471"/>
    </row>
    <row r="210" spans="1:16" s="470" customFormat="1" ht="12.75">
      <c r="A210" s="476"/>
      <c r="B210" s="476"/>
      <c r="C210" s="477"/>
      <c r="D210" s="477"/>
      <c r="E210" s="476"/>
      <c r="F210" s="477"/>
      <c r="G210" s="477"/>
      <c r="H210" s="477"/>
      <c r="I210" s="478"/>
      <c r="J210" s="477"/>
      <c r="K210" s="478"/>
      <c r="L210" s="477"/>
      <c r="M210" s="476"/>
      <c r="O210" s="471"/>
      <c r="P210" s="471"/>
    </row>
    <row r="211" spans="1:16" s="470" customFormat="1" ht="12.75">
      <c r="A211" s="476"/>
      <c r="B211" s="476"/>
      <c r="C211" s="477"/>
      <c r="D211" s="477"/>
      <c r="E211" s="476"/>
      <c r="F211" s="477"/>
      <c r="G211" s="477"/>
      <c r="H211" s="477"/>
      <c r="I211" s="478"/>
      <c r="J211" s="477"/>
      <c r="K211" s="478"/>
      <c r="L211" s="477"/>
      <c r="M211" s="476"/>
      <c r="O211" s="471"/>
      <c r="P211" s="471"/>
    </row>
    <row r="212" spans="1:16" s="470" customFormat="1" ht="12.75">
      <c r="A212" s="476"/>
      <c r="B212" s="476"/>
      <c r="C212" s="477"/>
      <c r="D212" s="477"/>
      <c r="E212" s="476"/>
      <c r="F212" s="477"/>
      <c r="G212" s="477"/>
      <c r="H212" s="477"/>
      <c r="I212" s="478"/>
      <c r="J212" s="477"/>
      <c r="K212" s="478"/>
      <c r="L212" s="477"/>
      <c r="M212" s="476"/>
      <c r="O212" s="471"/>
      <c r="P212" s="471"/>
    </row>
    <row r="213" spans="1:16" s="470" customFormat="1" ht="12.75">
      <c r="A213" s="476"/>
      <c r="B213" s="476"/>
      <c r="C213" s="477"/>
      <c r="D213" s="477"/>
      <c r="E213" s="476"/>
      <c r="F213" s="477"/>
      <c r="G213" s="477"/>
      <c r="H213" s="477"/>
      <c r="I213" s="478"/>
      <c r="J213" s="477"/>
      <c r="K213" s="478"/>
      <c r="L213" s="477"/>
      <c r="M213" s="476"/>
      <c r="O213" s="471"/>
      <c r="P213" s="471"/>
    </row>
    <row r="214" spans="1:16" s="470" customFormat="1" ht="12.75">
      <c r="A214" s="476"/>
      <c r="B214" s="476"/>
      <c r="C214" s="477"/>
      <c r="D214" s="477"/>
      <c r="E214" s="476"/>
      <c r="F214" s="477"/>
      <c r="G214" s="477"/>
      <c r="H214" s="477"/>
      <c r="I214" s="478"/>
      <c r="J214" s="477"/>
      <c r="K214" s="478"/>
      <c r="L214" s="477"/>
      <c r="M214" s="476"/>
      <c r="O214" s="471"/>
      <c r="P214" s="471"/>
    </row>
    <row r="215" spans="1:16" s="470" customFormat="1" ht="12.75">
      <c r="A215" s="476"/>
      <c r="B215" s="476"/>
      <c r="C215" s="477"/>
      <c r="D215" s="477"/>
      <c r="E215" s="476"/>
      <c r="F215" s="477"/>
      <c r="G215" s="477"/>
      <c r="H215" s="477"/>
      <c r="I215" s="478"/>
      <c r="J215" s="477"/>
      <c r="K215" s="478"/>
      <c r="L215" s="477"/>
      <c r="M215" s="476"/>
      <c r="O215" s="471"/>
      <c r="P215" s="471"/>
    </row>
    <row r="216" spans="1:16" s="470" customFormat="1" ht="12.75">
      <c r="A216" s="476"/>
      <c r="B216" s="476"/>
      <c r="C216" s="477"/>
      <c r="D216" s="477"/>
      <c r="E216" s="476"/>
      <c r="F216" s="477"/>
      <c r="G216" s="477"/>
      <c r="H216" s="477"/>
      <c r="I216" s="478"/>
      <c r="J216" s="477"/>
      <c r="K216" s="478"/>
      <c r="L216" s="477"/>
      <c r="M216" s="476"/>
      <c r="O216" s="471"/>
      <c r="P216" s="471"/>
    </row>
    <row r="217" spans="1:16" s="470" customFormat="1" ht="12.75">
      <c r="A217" s="476"/>
      <c r="B217" s="476"/>
      <c r="C217" s="477"/>
      <c r="D217" s="477"/>
      <c r="E217" s="476"/>
      <c r="F217" s="477"/>
      <c r="G217" s="477"/>
      <c r="H217" s="477"/>
      <c r="I217" s="478"/>
      <c r="J217" s="477"/>
      <c r="K217" s="478"/>
      <c r="L217" s="477"/>
      <c r="M217" s="476"/>
      <c r="O217" s="471"/>
      <c r="P217" s="471"/>
    </row>
    <row r="218" spans="1:16" s="470" customFormat="1" ht="12.75">
      <c r="A218" s="476"/>
      <c r="B218" s="476"/>
      <c r="C218" s="477"/>
      <c r="D218" s="477"/>
      <c r="E218" s="476"/>
      <c r="F218" s="477"/>
      <c r="G218" s="477"/>
      <c r="H218" s="477"/>
      <c r="I218" s="478"/>
      <c r="J218" s="477"/>
      <c r="K218" s="478"/>
      <c r="L218" s="477"/>
      <c r="M218" s="476"/>
      <c r="O218" s="471"/>
      <c r="P218" s="471"/>
    </row>
    <row r="219" spans="1:16" s="470" customFormat="1" ht="12.75">
      <c r="A219" s="476"/>
      <c r="B219" s="476"/>
      <c r="C219" s="477"/>
      <c r="D219" s="477"/>
      <c r="E219" s="476"/>
      <c r="F219" s="477"/>
      <c r="G219" s="477"/>
      <c r="H219" s="477"/>
      <c r="I219" s="478"/>
      <c r="J219" s="477"/>
      <c r="K219" s="478"/>
      <c r="L219" s="477"/>
      <c r="M219" s="476"/>
      <c r="O219" s="471"/>
      <c r="P219" s="471"/>
    </row>
    <row r="220" spans="1:16" s="470" customFormat="1" ht="12.75">
      <c r="A220" s="476"/>
      <c r="B220" s="476"/>
      <c r="C220" s="477"/>
      <c r="D220" s="477"/>
      <c r="E220" s="476"/>
      <c r="F220" s="477"/>
      <c r="G220" s="477"/>
      <c r="H220" s="477"/>
      <c r="I220" s="478"/>
      <c r="J220" s="477"/>
      <c r="K220" s="478"/>
      <c r="L220" s="477"/>
      <c r="M220" s="476"/>
      <c r="O220" s="471"/>
      <c r="P220" s="471"/>
    </row>
    <row r="221" spans="1:16" s="470" customFormat="1" ht="12.75">
      <c r="A221" s="476"/>
      <c r="B221" s="476"/>
      <c r="C221" s="477"/>
      <c r="D221" s="477"/>
      <c r="E221" s="476"/>
      <c r="F221" s="477"/>
      <c r="G221" s="477"/>
      <c r="H221" s="477"/>
      <c r="I221" s="478"/>
      <c r="J221" s="477"/>
      <c r="K221" s="478"/>
      <c r="L221" s="477"/>
      <c r="M221" s="476"/>
      <c r="O221" s="471"/>
      <c r="P221" s="471"/>
    </row>
    <row r="222" spans="1:16" s="470" customFormat="1" ht="12.75">
      <c r="A222" s="476"/>
      <c r="B222" s="476"/>
      <c r="C222" s="477"/>
      <c r="D222" s="477"/>
      <c r="E222" s="476"/>
      <c r="F222" s="477"/>
      <c r="G222" s="477"/>
      <c r="H222" s="477"/>
      <c r="I222" s="478"/>
      <c r="J222" s="477"/>
      <c r="K222" s="478"/>
      <c r="L222" s="477"/>
      <c r="M222" s="476"/>
      <c r="O222" s="471"/>
      <c r="P222" s="471"/>
    </row>
    <row r="223" spans="1:16" s="470" customFormat="1" ht="12.75">
      <c r="A223" s="476"/>
      <c r="B223" s="476"/>
      <c r="C223" s="477"/>
      <c r="D223" s="477"/>
      <c r="E223" s="476"/>
      <c r="F223" s="477"/>
      <c r="G223" s="477"/>
      <c r="H223" s="477"/>
      <c r="I223" s="478"/>
      <c r="J223" s="477"/>
      <c r="K223" s="478"/>
      <c r="L223" s="477"/>
      <c r="M223" s="476"/>
      <c r="O223" s="471"/>
      <c r="P223" s="471"/>
    </row>
    <row r="224" spans="1:16" s="470" customFormat="1" ht="12.75">
      <c r="A224" s="476"/>
      <c r="B224" s="476"/>
      <c r="C224" s="477"/>
      <c r="D224" s="477"/>
      <c r="E224" s="476"/>
      <c r="F224" s="477"/>
      <c r="G224" s="477"/>
      <c r="H224" s="477"/>
      <c r="I224" s="478"/>
      <c r="J224" s="477"/>
      <c r="K224" s="478"/>
      <c r="L224" s="477"/>
      <c r="M224" s="476"/>
      <c r="O224" s="471"/>
      <c r="P224" s="471"/>
    </row>
    <row r="225" spans="1:16" s="470" customFormat="1" ht="12.75">
      <c r="A225" s="476"/>
      <c r="B225" s="476"/>
      <c r="C225" s="477"/>
      <c r="D225" s="477"/>
      <c r="E225" s="476"/>
      <c r="F225" s="477"/>
      <c r="G225" s="477"/>
      <c r="H225" s="477"/>
      <c r="I225" s="478"/>
      <c r="J225" s="477"/>
      <c r="K225" s="478"/>
      <c r="L225" s="477"/>
      <c r="M225" s="476"/>
      <c r="O225" s="471"/>
      <c r="P225" s="471"/>
    </row>
    <row r="226" spans="1:16" s="470" customFormat="1" ht="12.75">
      <c r="A226" s="476"/>
      <c r="B226" s="476"/>
      <c r="C226" s="477"/>
      <c r="D226" s="477"/>
      <c r="E226" s="476"/>
      <c r="F226" s="477"/>
      <c r="G226" s="477"/>
      <c r="H226" s="477"/>
      <c r="I226" s="478"/>
      <c r="J226" s="477"/>
      <c r="K226" s="478"/>
      <c r="L226" s="477"/>
      <c r="M226" s="476"/>
      <c r="O226" s="471"/>
      <c r="P226" s="471"/>
    </row>
    <row r="227" spans="1:16" s="470" customFormat="1" ht="12.75">
      <c r="A227" s="476"/>
      <c r="B227" s="476"/>
      <c r="C227" s="477"/>
      <c r="D227" s="477"/>
      <c r="E227" s="476"/>
      <c r="F227" s="477"/>
      <c r="G227" s="477"/>
      <c r="H227" s="477"/>
      <c r="I227" s="478"/>
      <c r="J227" s="477"/>
      <c r="K227" s="478"/>
      <c r="L227" s="477"/>
      <c r="M227" s="476"/>
      <c r="O227" s="471"/>
      <c r="P227" s="471"/>
    </row>
    <row r="228" spans="1:16" s="470" customFormat="1" ht="12.75">
      <c r="A228" s="476"/>
      <c r="B228" s="476"/>
      <c r="C228" s="477"/>
      <c r="D228" s="477"/>
      <c r="E228" s="476"/>
      <c r="F228" s="477"/>
      <c r="G228" s="477"/>
      <c r="H228" s="477"/>
      <c r="I228" s="478"/>
      <c r="J228" s="477"/>
      <c r="K228" s="478"/>
      <c r="L228" s="477"/>
      <c r="M228" s="476"/>
      <c r="O228" s="471"/>
      <c r="P228" s="471"/>
    </row>
    <row r="229" spans="1:16" s="470" customFormat="1" ht="12.75">
      <c r="A229" s="476"/>
      <c r="B229" s="476"/>
      <c r="C229" s="477"/>
      <c r="D229" s="477"/>
      <c r="E229" s="476"/>
      <c r="F229" s="477"/>
      <c r="G229" s="477"/>
      <c r="H229" s="477"/>
      <c r="I229" s="478"/>
      <c r="J229" s="477"/>
      <c r="K229" s="478"/>
      <c r="L229" s="477"/>
      <c r="M229" s="476"/>
      <c r="O229" s="471"/>
      <c r="P229" s="471"/>
    </row>
    <row r="230" spans="1:16" s="470" customFormat="1" ht="12.75">
      <c r="A230" s="476"/>
      <c r="B230" s="476"/>
      <c r="C230" s="477"/>
      <c r="D230" s="477"/>
      <c r="E230" s="476"/>
      <c r="F230" s="477"/>
      <c r="G230" s="477"/>
      <c r="H230" s="477"/>
      <c r="I230" s="478"/>
      <c r="J230" s="477"/>
      <c r="K230" s="478"/>
      <c r="L230" s="477"/>
      <c r="M230" s="476"/>
      <c r="O230" s="471"/>
      <c r="P230" s="471"/>
    </row>
    <row r="231" spans="1:16" s="470" customFormat="1" ht="12.75">
      <c r="A231" s="476"/>
      <c r="B231" s="476"/>
      <c r="C231" s="477"/>
      <c r="D231" s="477"/>
      <c r="E231" s="476"/>
      <c r="F231" s="477"/>
      <c r="G231" s="477"/>
      <c r="H231" s="477"/>
      <c r="I231" s="478"/>
      <c r="J231" s="477"/>
      <c r="K231" s="478"/>
      <c r="L231" s="477"/>
      <c r="M231" s="476"/>
      <c r="O231" s="471"/>
      <c r="P231" s="471"/>
    </row>
    <row r="232" spans="1:16" s="470" customFormat="1" ht="12.75">
      <c r="A232" s="476"/>
      <c r="B232" s="476"/>
      <c r="C232" s="477"/>
      <c r="D232" s="477"/>
      <c r="E232" s="476"/>
      <c r="F232" s="477"/>
      <c r="G232" s="477"/>
      <c r="H232" s="477"/>
      <c r="I232" s="478"/>
      <c r="J232" s="477"/>
      <c r="K232" s="478"/>
      <c r="L232" s="477"/>
      <c r="M232" s="476"/>
      <c r="O232" s="471"/>
      <c r="P232" s="471"/>
    </row>
    <row r="233" spans="1:16" s="470" customFormat="1" ht="12.75">
      <c r="A233" s="476"/>
      <c r="B233" s="476"/>
      <c r="C233" s="477"/>
      <c r="D233" s="477"/>
      <c r="E233" s="476"/>
      <c r="F233" s="477"/>
      <c r="G233" s="477"/>
      <c r="H233" s="477"/>
      <c r="I233" s="478"/>
      <c r="J233" s="477"/>
      <c r="K233" s="478"/>
      <c r="L233" s="477"/>
      <c r="M233" s="476"/>
      <c r="O233" s="471"/>
      <c r="P233" s="471"/>
    </row>
    <row r="234" spans="1:16" s="470" customFormat="1" ht="12.75">
      <c r="A234" s="476"/>
      <c r="B234" s="476"/>
      <c r="C234" s="477"/>
      <c r="D234" s="477"/>
      <c r="E234" s="476"/>
      <c r="F234" s="477"/>
      <c r="G234" s="477"/>
      <c r="H234" s="477"/>
      <c r="I234" s="478"/>
      <c r="J234" s="477"/>
      <c r="K234" s="478"/>
      <c r="L234" s="477"/>
      <c r="M234" s="476"/>
      <c r="O234" s="471"/>
      <c r="P234" s="471"/>
    </row>
    <row r="235" spans="1:16" s="470" customFormat="1" ht="12.75">
      <c r="A235" s="476"/>
      <c r="B235" s="476"/>
      <c r="C235" s="477"/>
      <c r="D235" s="477"/>
      <c r="E235" s="476"/>
      <c r="F235" s="477"/>
      <c r="G235" s="477"/>
      <c r="H235" s="477"/>
      <c r="I235" s="478"/>
      <c r="J235" s="477"/>
      <c r="K235" s="478"/>
      <c r="L235" s="477"/>
      <c r="M235" s="476"/>
      <c r="O235" s="471"/>
      <c r="P235" s="471"/>
    </row>
    <row r="236" spans="1:16" s="470" customFormat="1" ht="12.75">
      <c r="A236" s="476"/>
      <c r="B236" s="476"/>
      <c r="C236" s="477"/>
      <c r="D236" s="477"/>
      <c r="E236" s="476"/>
      <c r="F236" s="477"/>
      <c r="G236" s="477"/>
      <c r="H236" s="477"/>
      <c r="I236" s="478"/>
      <c r="J236" s="477"/>
      <c r="K236" s="478"/>
      <c r="L236" s="477"/>
      <c r="M236" s="476"/>
      <c r="O236" s="471"/>
      <c r="P236" s="471"/>
    </row>
    <row r="237" spans="1:16" s="470" customFormat="1" ht="12.75">
      <c r="A237" s="476"/>
      <c r="B237" s="476"/>
      <c r="C237" s="477"/>
      <c r="D237" s="477"/>
      <c r="E237" s="476"/>
      <c r="F237" s="477"/>
      <c r="G237" s="477"/>
      <c r="H237" s="477"/>
      <c r="I237" s="478"/>
      <c r="J237" s="477"/>
      <c r="K237" s="478"/>
      <c r="L237" s="477"/>
      <c r="M237" s="476"/>
      <c r="O237" s="471"/>
      <c r="P237" s="471"/>
    </row>
    <row r="238" spans="1:16" s="470" customFormat="1" ht="12.75">
      <c r="A238" s="476"/>
      <c r="B238" s="476"/>
      <c r="C238" s="477"/>
      <c r="D238" s="477"/>
      <c r="E238" s="476"/>
      <c r="F238" s="477"/>
      <c r="G238" s="477"/>
      <c r="H238" s="477"/>
      <c r="I238" s="478"/>
      <c r="J238" s="477"/>
      <c r="K238" s="478"/>
      <c r="L238" s="477"/>
      <c r="M238" s="476"/>
      <c r="O238" s="471"/>
      <c r="P238" s="471"/>
    </row>
    <row r="239" spans="1:16" s="470" customFormat="1" ht="12.75">
      <c r="A239" s="476"/>
      <c r="B239" s="476"/>
      <c r="C239" s="477"/>
      <c r="D239" s="477"/>
      <c r="E239" s="476"/>
      <c r="F239" s="477"/>
      <c r="G239" s="477"/>
      <c r="H239" s="477"/>
      <c r="I239" s="478"/>
      <c r="J239" s="477"/>
      <c r="K239" s="478"/>
      <c r="L239" s="477"/>
      <c r="M239" s="476"/>
      <c r="O239" s="471"/>
      <c r="P239" s="471"/>
    </row>
    <row r="240" spans="1:16" s="470" customFormat="1" ht="12.75">
      <c r="A240" s="476"/>
      <c r="B240" s="476"/>
      <c r="C240" s="477"/>
      <c r="D240" s="477"/>
      <c r="E240" s="476"/>
      <c r="F240" s="477"/>
      <c r="G240" s="477"/>
      <c r="H240" s="477"/>
      <c r="I240" s="478"/>
      <c r="J240" s="477"/>
      <c r="K240" s="478"/>
      <c r="L240" s="477"/>
      <c r="M240" s="476"/>
      <c r="O240" s="471"/>
      <c r="P240" s="471"/>
    </row>
    <row r="241" spans="1:16" s="470" customFormat="1" ht="12.75">
      <c r="A241" s="476"/>
      <c r="B241" s="476"/>
      <c r="C241" s="477"/>
      <c r="D241" s="477"/>
      <c r="E241" s="476"/>
      <c r="F241" s="477"/>
      <c r="G241" s="477"/>
      <c r="H241" s="477"/>
      <c r="I241" s="478"/>
      <c r="J241" s="477"/>
      <c r="K241" s="478"/>
      <c r="L241" s="477"/>
      <c r="M241" s="476"/>
      <c r="O241" s="471"/>
      <c r="P241" s="471"/>
    </row>
    <row r="242" spans="1:16" s="470" customFormat="1" ht="12.75">
      <c r="A242" s="476"/>
      <c r="B242" s="476"/>
      <c r="C242" s="477"/>
      <c r="D242" s="477"/>
      <c r="E242" s="476"/>
      <c r="F242" s="477"/>
      <c r="G242" s="477"/>
      <c r="H242" s="477"/>
      <c r="I242" s="478"/>
      <c r="J242" s="477"/>
      <c r="K242" s="478"/>
      <c r="L242" s="477"/>
      <c r="M242" s="476"/>
      <c r="O242" s="471"/>
      <c r="P242" s="471"/>
    </row>
    <row r="243" spans="1:16" s="470" customFormat="1" ht="12.75">
      <c r="A243" s="476"/>
      <c r="B243" s="476"/>
      <c r="C243" s="477"/>
      <c r="D243" s="477"/>
      <c r="E243" s="476"/>
      <c r="F243" s="477"/>
      <c r="G243" s="477"/>
      <c r="H243" s="477"/>
      <c r="I243" s="478"/>
      <c r="J243" s="477"/>
      <c r="K243" s="478"/>
      <c r="L243" s="477"/>
      <c r="M243" s="476"/>
      <c r="O243" s="471"/>
      <c r="P243" s="471"/>
    </row>
    <row r="244" spans="1:16" s="470" customFormat="1" ht="12.75">
      <c r="A244" s="476"/>
      <c r="B244" s="476"/>
      <c r="C244" s="477"/>
      <c r="D244" s="477"/>
      <c r="E244" s="476"/>
      <c r="F244" s="477"/>
      <c r="G244" s="477"/>
      <c r="H244" s="477"/>
      <c r="I244" s="478"/>
      <c r="J244" s="477"/>
      <c r="K244" s="478"/>
      <c r="L244" s="477"/>
      <c r="M244" s="476"/>
      <c r="O244" s="471"/>
      <c r="P244" s="471"/>
    </row>
    <row r="245" spans="1:16" s="470" customFormat="1" ht="12.75">
      <c r="A245" s="476"/>
      <c r="B245" s="476"/>
      <c r="C245" s="477"/>
      <c r="D245" s="477"/>
      <c r="E245" s="476"/>
      <c r="F245" s="477"/>
      <c r="G245" s="477"/>
      <c r="H245" s="477"/>
      <c r="I245" s="478"/>
      <c r="J245" s="477"/>
      <c r="K245" s="478"/>
      <c r="L245" s="477"/>
      <c r="M245" s="476"/>
      <c r="O245" s="471"/>
      <c r="P245" s="471"/>
    </row>
    <row r="246" spans="1:16" s="470" customFormat="1" ht="12.75">
      <c r="A246" s="476"/>
      <c r="B246" s="476"/>
      <c r="C246" s="477"/>
      <c r="D246" s="477"/>
      <c r="E246" s="476"/>
      <c r="F246" s="477"/>
      <c r="G246" s="477"/>
      <c r="H246" s="477"/>
      <c r="I246" s="478"/>
      <c r="J246" s="477"/>
      <c r="K246" s="478"/>
      <c r="L246" s="477"/>
      <c r="M246" s="476"/>
      <c r="O246" s="471"/>
      <c r="P246" s="471"/>
    </row>
    <row r="247" spans="1:16" s="470" customFormat="1" ht="12.75">
      <c r="A247" s="476"/>
      <c r="B247" s="476"/>
      <c r="C247" s="477"/>
      <c r="D247" s="477"/>
      <c r="E247" s="476"/>
      <c r="F247" s="477"/>
      <c r="G247" s="477"/>
      <c r="H247" s="477"/>
      <c r="I247" s="478"/>
      <c r="J247" s="477"/>
      <c r="K247" s="478"/>
      <c r="L247" s="477"/>
      <c r="M247" s="476"/>
      <c r="O247" s="471"/>
      <c r="P247" s="471"/>
    </row>
    <row r="248" spans="1:16" s="470" customFormat="1" ht="12.75">
      <c r="A248" s="476"/>
      <c r="B248" s="476"/>
      <c r="C248" s="477"/>
      <c r="D248" s="477"/>
      <c r="E248" s="476"/>
      <c r="F248" s="477"/>
      <c r="G248" s="477"/>
      <c r="H248" s="477"/>
      <c r="I248" s="478"/>
      <c r="J248" s="477"/>
      <c r="K248" s="478"/>
      <c r="L248" s="477"/>
      <c r="M248" s="476"/>
      <c r="O248" s="471"/>
      <c r="P248" s="471"/>
    </row>
    <row r="249" spans="1:16" s="470" customFormat="1" ht="12.75">
      <c r="A249" s="476"/>
      <c r="B249" s="476"/>
      <c r="C249" s="477"/>
      <c r="D249" s="477"/>
      <c r="E249" s="476"/>
      <c r="F249" s="477"/>
      <c r="G249" s="477"/>
      <c r="H249" s="477"/>
      <c r="I249" s="478"/>
      <c r="J249" s="477"/>
      <c r="K249" s="478"/>
      <c r="L249" s="477"/>
      <c r="M249" s="476"/>
      <c r="O249" s="471"/>
      <c r="P249" s="471"/>
    </row>
    <row r="250" spans="1:16" s="470" customFormat="1" ht="12.75">
      <c r="A250" s="476"/>
      <c r="B250" s="476"/>
      <c r="C250" s="477"/>
      <c r="D250" s="477"/>
      <c r="E250" s="476"/>
      <c r="F250" s="477"/>
      <c r="G250" s="477"/>
      <c r="H250" s="477"/>
      <c r="I250" s="478"/>
      <c r="J250" s="477"/>
      <c r="K250" s="478"/>
      <c r="L250" s="477"/>
      <c r="M250" s="476"/>
      <c r="O250" s="471"/>
      <c r="P250" s="471"/>
    </row>
    <row r="251" spans="1:16" s="470" customFormat="1" ht="12.75">
      <c r="A251" s="476"/>
      <c r="B251" s="476"/>
      <c r="C251" s="477"/>
      <c r="D251" s="477"/>
      <c r="E251" s="476"/>
      <c r="F251" s="477"/>
      <c r="G251" s="477"/>
      <c r="H251" s="477"/>
      <c r="I251" s="478"/>
      <c r="J251" s="477"/>
      <c r="K251" s="478"/>
      <c r="L251" s="477"/>
      <c r="M251" s="476"/>
      <c r="O251" s="471"/>
      <c r="P251" s="471"/>
    </row>
    <row r="252" spans="1:16" s="470" customFormat="1" ht="12.75">
      <c r="A252" s="476"/>
      <c r="B252" s="476"/>
      <c r="C252" s="477"/>
      <c r="D252" s="477"/>
      <c r="E252" s="476"/>
      <c r="F252" s="477"/>
      <c r="G252" s="477"/>
      <c r="H252" s="477"/>
      <c r="I252" s="478"/>
      <c r="J252" s="477"/>
      <c r="K252" s="478"/>
      <c r="L252" s="477"/>
      <c r="M252" s="476"/>
      <c r="O252" s="471"/>
      <c r="P252" s="471"/>
    </row>
    <row r="253" spans="1:16" s="470" customFormat="1" ht="12.75">
      <c r="A253" s="476"/>
      <c r="B253" s="476"/>
      <c r="C253" s="477"/>
      <c r="D253" s="477"/>
      <c r="E253" s="476"/>
      <c r="F253" s="477"/>
      <c r="G253" s="477"/>
      <c r="H253" s="477"/>
      <c r="I253" s="478"/>
      <c r="J253" s="477"/>
      <c r="K253" s="478"/>
      <c r="L253" s="477"/>
      <c r="M253" s="476"/>
      <c r="O253" s="471"/>
      <c r="P253" s="471"/>
    </row>
    <row r="254" spans="1:16" s="470" customFormat="1" ht="12.75">
      <c r="A254" s="476"/>
      <c r="B254" s="476"/>
      <c r="C254" s="477"/>
      <c r="D254" s="477"/>
      <c r="E254" s="476"/>
      <c r="F254" s="477"/>
      <c r="G254" s="477"/>
      <c r="H254" s="477"/>
      <c r="I254" s="478"/>
      <c r="J254" s="477"/>
      <c r="K254" s="478"/>
      <c r="L254" s="477"/>
      <c r="M254" s="476"/>
      <c r="O254" s="471"/>
      <c r="P254" s="471"/>
    </row>
    <row r="255" spans="1:16" s="470" customFormat="1" ht="12.75">
      <c r="A255" s="476"/>
      <c r="B255" s="476"/>
      <c r="C255" s="477"/>
      <c r="D255" s="477"/>
      <c r="E255" s="476"/>
      <c r="F255" s="477"/>
      <c r="G255" s="477"/>
      <c r="H255" s="477"/>
      <c r="I255" s="478"/>
      <c r="J255" s="477"/>
      <c r="K255" s="478"/>
      <c r="L255" s="477"/>
      <c r="M255" s="476"/>
      <c r="O255" s="471"/>
      <c r="P255" s="471"/>
    </row>
    <row r="256" spans="1:16" s="470" customFormat="1" ht="12.75">
      <c r="A256" s="476"/>
      <c r="B256" s="476"/>
      <c r="C256" s="477"/>
      <c r="D256" s="477"/>
      <c r="E256" s="476"/>
      <c r="F256" s="477"/>
      <c r="G256" s="477"/>
      <c r="H256" s="477"/>
      <c r="I256" s="478"/>
      <c r="J256" s="477"/>
      <c r="K256" s="478"/>
      <c r="L256" s="477"/>
      <c r="M256" s="476"/>
      <c r="O256" s="471"/>
      <c r="P256" s="471"/>
    </row>
    <row r="257" spans="1:16" s="470" customFormat="1" ht="12.75">
      <c r="A257" s="476"/>
      <c r="B257" s="476"/>
      <c r="C257" s="477"/>
      <c r="D257" s="477"/>
      <c r="E257" s="476"/>
      <c r="F257" s="477"/>
      <c r="G257" s="477"/>
      <c r="H257" s="477"/>
      <c r="I257" s="478"/>
      <c r="J257" s="477"/>
      <c r="K257" s="478"/>
      <c r="L257" s="477"/>
      <c r="M257" s="476"/>
      <c r="O257" s="471"/>
      <c r="P257" s="471"/>
    </row>
    <row r="258" spans="1:16" s="470" customFormat="1" ht="12.75">
      <c r="A258" s="476"/>
      <c r="B258" s="476"/>
      <c r="C258" s="477"/>
      <c r="D258" s="477"/>
      <c r="E258" s="476"/>
      <c r="F258" s="477"/>
      <c r="G258" s="477"/>
      <c r="H258" s="477"/>
      <c r="I258" s="478"/>
      <c r="J258" s="477"/>
      <c r="K258" s="478"/>
      <c r="L258" s="477"/>
      <c r="M258" s="476"/>
      <c r="O258" s="471"/>
      <c r="P258" s="471"/>
    </row>
    <row r="259" spans="1:16" s="470" customFormat="1" ht="12.75">
      <c r="A259" s="476"/>
      <c r="B259" s="476"/>
      <c r="C259" s="477"/>
      <c r="D259" s="477"/>
      <c r="E259" s="476"/>
      <c r="F259" s="477"/>
      <c r="G259" s="477"/>
      <c r="H259" s="477"/>
      <c r="I259" s="478"/>
      <c r="J259" s="477"/>
      <c r="K259" s="478"/>
      <c r="L259" s="477"/>
      <c r="M259" s="476"/>
      <c r="O259" s="471"/>
      <c r="P259" s="471"/>
    </row>
    <row r="260" spans="1:16" s="470" customFormat="1" ht="12.75">
      <c r="A260" s="476"/>
      <c r="B260" s="476"/>
      <c r="C260" s="477"/>
      <c r="D260" s="477"/>
      <c r="E260" s="476"/>
      <c r="F260" s="477"/>
      <c r="G260" s="477"/>
      <c r="H260" s="477"/>
      <c r="I260" s="478"/>
      <c r="J260" s="477"/>
      <c r="K260" s="478"/>
      <c r="L260" s="477"/>
      <c r="M260" s="476"/>
      <c r="O260" s="471"/>
      <c r="P260" s="471"/>
    </row>
    <row r="261" spans="1:16" s="470" customFormat="1" ht="12.75">
      <c r="A261" s="476"/>
      <c r="B261" s="476"/>
      <c r="C261" s="477"/>
      <c r="D261" s="477"/>
      <c r="E261" s="476"/>
      <c r="F261" s="477"/>
      <c r="G261" s="477"/>
      <c r="H261" s="477"/>
      <c r="I261" s="478"/>
      <c r="J261" s="477"/>
      <c r="K261" s="478"/>
      <c r="L261" s="477"/>
      <c r="M261" s="476"/>
      <c r="O261" s="471"/>
      <c r="P261" s="471"/>
    </row>
    <row r="262" spans="1:16" s="470" customFormat="1" ht="12.75">
      <c r="A262" s="476"/>
      <c r="B262" s="476"/>
      <c r="C262" s="477"/>
      <c r="D262" s="477"/>
      <c r="E262" s="476"/>
      <c r="F262" s="477"/>
      <c r="G262" s="477"/>
      <c r="H262" s="477"/>
      <c r="I262" s="478"/>
      <c r="J262" s="477"/>
      <c r="K262" s="478"/>
      <c r="L262" s="477"/>
      <c r="M262" s="476"/>
      <c r="O262" s="471"/>
      <c r="P262" s="471"/>
    </row>
    <row r="263" spans="1:16" s="470" customFormat="1" ht="12.75">
      <c r="A263" s="476"/>
      <c r="B263" s="476"/>
      <c r="C263" s="477"/>
      <c r="D263" s="477"/>
      <c r="E263" s="476"/>
      <c r="F263" s="477"/>
      <c r="G263" s="477"/>
      <c r="H263" s="477"/>
      <c r="I263" s="478"/>
      <c r="J263" s="477"/>
      <c r="K263" s="478"/>
      <c r="L263" s="477"/>
      <c r="M263" s="476"/>
      <c r="O263" s="471"/>
      <c r="P263" s="471"/>
    </row>
    <row r="264" spans="1:16" s="470" customFormat="1" ht="12.75">
      <c r="A264" s="476"/>
      <c r="B264" s="476"/>
      <c r="C264" s="477"/>
      <c r="D264" s="477"/>
      <c r="E264" s="476"/>
      <c r="F264" s="477"/>
      <c r="G264" s="477"/>
      <c r="H264" s="477"/>
      <c r="I264" s="478"/>
      <c r="J264" s="477"/>
      <c r="K264" s="478"/>
      <c r="L264" s="477"/>
      <c r="M264" s="476"/>
      <c r="O264" s="471"/>
      <c r="P264" s="471"/>
    </row>
    <row r="265" spans="1:16" s="470" customFormat="1" ht="12.75">
      <c r="A265" s="476"/>
      <c r="B265" s="476"/>
      <c r="C265" s="477"/>
      <c r="D265" s="477"/>
      <c r="E265" s="476"/>
      <c r="F265" s="477"/>
      <c r="G265" s="477"/>
      <c r="H265" s="477"/>
      <c r="I265" s="478"/>
      <c r="J265" s="477"/>
      <c r="K265" s="478"/>
      <c r="L265" s="477"/>
      <c r="M265" s="476"/>
      <c r="O265" s="471"/>
      <c r="P265" s="471"/>
    </row>
    <row r="266" spans="1:16" s="470" customFormat="1" ht="12.75">
      <c r="A266" s="476"/>
      <c r="B266" s="476"/>
      <c r="C266" s="477"/>
      <c r="D266" s="477"/>
      <c r="E266" s="476"/>
      <c r="F266" s="477"/>
      <c r="G266" s="477"/>
      <c r="H266" s="477"/>
      <c r="I266" s="478"/>
      <c r="J266" s="477"/>
      <c r="K266" s="478"/>
      <c r="L266" s="477"/>
      <c r="M266" s="476"/>
      <c r="O266" s="471"/>
      <c r="P266" s="471"/>
    </row>
    <row r="267" spans="1:16" s="470" customFormat="1" ht="12.75">
      <c r="A267" s="476"/>
      <c r="B267" s="476"/>
      <c r="C267" s="477"/>
      <c r="D267" s="477"/>
      <c r="E267" s="476"/>
      <c r="F267" s="477"/>
      <c r="G267" s="477"/>
      <c r="H267" s="477"/>
      <c r="I267" s="478"/>
      <c r="J267" s="477"/>
      <c r="K267" s="478"/>
      <c r="L267" s="477"/>
      <c r="M267" s="476"/>
      <c r="O267" s="471"/>
      <c r="P267" s="471"/>
    </row>
    <row r="268" spans="1:16" s="470" customFormat="1" ht="12.75">
      <c r="A268" s="476"/>
      <c r="B268" s="476"/>
      <c r="C268" s="477"/>
      <c r="D268" s="477"/>
      <c r="E268" s="476"/>
      <c r="F268" s="477"/>
      <c r="G268" s="477"/>
      <c r="H268" s="477"/>
      <c r="I268" s="478"/>
      <c r="J268" s="477"/>
      <c r="K268" s="478"/>
      <c r="L268" s="477"/>
      <c r="M268" s="476"/>
      <c r="O268" s="471"/>
      <c r="P268" s="471"/>
    </row>
    <row r="269" spans="1:16" s="470" customFormat="1" ht="12.75">
      <c r="A269" s="476"/>
      <c r="B269" s="476"/>
      <c r="C269" s="477"/>
      <c r="D269" s="477"/>
      <c r="E269" s="476"/>
      <c r="F269" s="477"/>
      <c r="G269" s="477"/>
      <c r="H269" s="477"/>
      <c r="I269" s="478"/>
      <c r="J269" s="477"/>
      <c r="K269" s="478"/>
      <c r="L269" s="477"/>
      <c r="M269" s="476"/>
      <c r="O269" s="471"/>
      <c r="P269" s="471"/>
    </row>
    <row r="270" spans="1:16" s="470" customFormat="1" ht="12.75">
      <c r="A270" s="476"/>
      <c r="B270" s="476"/>
      <c r="C270" s="477"/>
      <c r="D270" s="477"/>
      <c r="E270" s="476"/>
      <c r="F270" s="477"/>
      <c r="G270" s="477"/>
      <c r="H270" s="477"/>
      <c r="I270" s="478"/>
      <c r="J270" s="477"/>
      <c r="K270" s="478"/>
      <c r="L270" s="477"/>
      <c r="M270" s="476"/>
      <c r="O270" s="471"/>
      <c r="P270" s="471"/>
    </row>
    <row r="271" spans="1:16" s="470" customFormat="1" ht="12.75">
      <c r="A271" s="476"/>
      <c r="B271" s="476"/>
      <c r="C271" s="477"/>
      <c r="D271" s="477"/>
      <c r="E271" s="476"/>
      <c r="F271" s="477"/>
      <c r="G271" s="477"/>
      <c r="H271" s="477"/>
      <c r="I271" s="478"/>
      <c r="J271" s="477"/>
      <c r="K271" s="478"/>
      <c r="L271" s="477"/>
      <c r="M271" s="476"/>
      <c r="O271" s="471"/>
      <c r="P271" s="471"/>
    </row>
    <row r="272" spans="1:16" s="470" customFormat="1" ht="12.75">
      <c r="A272" s="476"/>
      <c r="B272" s="476"/>
      <c r="C272" s="477"/>
      <c r="D272" s="477"/>
      <c r="E272" s="476"/>
      <c r="F272" s="477"/>
      <c r="G272" s="477"/>
      <c r="H272" s="477"/>
      <c r="I272" s="478"/>
      <c r="J272" s="477"/>
      <c r="K272" s="478"/>
      <c r="L272" s="477"/>
      <c r="M272" s="476"/>
      <c r="O272" s="471"/>
      <c r="P272" s="471"/>
    </row>
    <row r="273" spans="1:16" s="470" customFormat="1" ht="12.75">
      <c r="A273" s="476"/>
      <c r="B273" s="476"/>
      <c r="C273" s="477"/>
      <c r="D273" s="477"/>
      <c r="E273" s="476"/>
      <c r="F273" s="477"/>
      <c r="G273" s="477"/>
      <c r="H273" s="477"/>
      <c r="I273" s="478"/>
      <c r="J273" s="477"/>
      <c r="K273" s="478"/>
      <c r="L273" s="477"/>
      <c r="M273" s="476"/>
      <c r="O273" s="471"/>
      <c r="P273" s="471"/>
    </row>
    <row r="274" spans="1:16" s="470" customFormat="1" ht="12.75">
      <c r="A274" s="476"/>
      <c r="B274" s="476"/>
      <c r="C274" s="477"/>
      <c r="D274" s="477"/>
      <c r="E274" s="476"/>
      <c r="F274" s="477"/>
      <c r="G274" s="477"/>
      <c r="H274" s="477"/>
      <c r="I274" s="478"/>
      <c r="J274" s="477"/>
      <c r="K274" s="478"/>
      <c r="L274" s="477"/>
      <c r="M274" s="476"/>
      <c r="O274" s="471"/>
      <c r="P274" s="471"/>
    </row>
    <row r="275" spans="1:16" s="470" customFormat="1" ht="12.75">
      <c r="A275" s="476"/>
      <c r="B275" s="476"/>
      <c r="C275" s="477"/>
      <c r="D275" s="477"/>
      <c r="E275" s="476"/>
      <c r="F275" s="477"/>
      <c r="G275" s="477"/>
      <c r="H275" s="477"/>
      <c r="I275" s="478"/>
      <c r="J275" s="477"/>
      <c r="K275" s="478"/>
      <c r="L275" s="477"/>
      <c r="M275" s="476"/>
      <c r="O275" s="471"/>
      <c r="P275" s="471"/>
    </row>
    <row r="276" spans="1:16" s="470" customFormat="1" ht="12.75">
      <c r="A276" s="476"/>
      <c r="B276" s="476"/>
      <c r="C276" s="477"/>
      <c r="D276" s="477"/>
      <c r="E276" s="476"/>
      <c r="F276" s="477"/>
      <c r="G276" s="477"/>
      <c r="H276" s="477"/>
      <c r="I276" s="478"/>
      <c r="J276" s="477"/>
      <c r="K276" s="478"/>
      <c r="L276" s="477"/>
      <c r="M276" s="476"/>
      <c r="O276" s="471"/>
      <c r="P276" s="471"/>
    </row>
    <row r="277" spans="1:16" s="470" customFormat="1" ht="12.75">
      <c r="A277" s="476"/>
      <c r="B277" s="476"/>
      <c r="C277" s="477"/>
      <c r="D277" s="477"/>
      <c r="E277" s="476"/>
      <c r="F277" s="477"/>
      <c r="G277" s="477"/>
      <c r="H277" s="477"/>
      <c r="I277" s="478"/>
      <c r="J277" s="477"/>
      <c r="K277" s="478"/>
      <c r="L277" s="477"/>
      <c r="M277" s="476"/>
      <c r="O277" s="471"/>
      <c r="P277" s="471"/>
    </row>
    <row r="278" spans="1:16" s="470" customFormat="1" ht="12.75">
      <c r="A278" s="476"/>
      <c r="B278" s="476"/>
      <c r="C278" s="477"/>
      <c r="D278" s="477"/>
      <c r="E278" s="476"/>
      <c r="F278" s="477"/>
      <c r="G278" s="477"/>
      <c r="H278" s="477"/>
      <c r="I278" s="478"/>
      <c r="J278" s="477"/>
      <c r="K278" s="478"/>
      <c r="L278" s="477"/>
      <c r="M278" s="476"/>
      <c r="O278" s="471"/>
      <c r="P278" s="471"/>
    </row>
    <row r="279" spans="1:16" s="470" customFormat="1" ht="12.75">
      <c r="A279" s="476"/>
      <c r="B279" s="476"/>
      <c r="C279" s="477"/>
      <c r="D279" s="477"/>
      <c r="E279" s="476"/>
      <c r="F279" s="477"/>
      <c r="G279" s="477"/>
      <c r="H279" s="477"/>
      <c r="I279" s="478"/>
      <c r="J279" s="477"/>
      <c r="K279" s="478"/>
      <c r="L279" s="477"/>
      <c r="M279" s="476"/>
      <c r="O279" s="471"/>
      <c r="P279" s="471"/>
    </row>
    <row r="280" spans="1:16" s="470" customFormat="1" ht="12.75">
      <c r="A280" s="476"/>
      <c r="B280" s="476"/>
      <c r="C280" s="477"/>
      <c r="D280" s="477"/>
      <c r="E280" s="476"/>
      <c r="F280" s="477"/>
      <c r="G280" s="477"/>
      <c r="H280" s="477"/>
      <c r="I280" s="478"/>
      <c r="J280" s="477"/>
      <c r="K280" s="478"/>
      <c r="L280" s="477"/>
      <c r="M280" s="476"/>
      <c r="O280" s="471"/>
      <c r="P280" s="471"/>
    </row>
    <row r="281" spans="1:16" s="470" customFormat="1" ht="12.75">
      <c r="A281" s="476"/>
      <c r="B281" s="476"/>
      <c r="C281" s="477"/>
      <c r="D281" s="477"/>
      <c r="E281" s="476"/>
      <c r="F281" s="477"/>
      <c r="G281" s="477"/>
      <c r="H281" s="477"/>
      <c r="I281" s="478"/>
      <c r="J281" s="477"/>
      <c r="K281" s="478"/>
      <c r="L281" s="477"/>
      <c r="M281" s="476"/>
      <c r="O281" s="471"/>
      <c r="P281" s="471"/>
    </row>
    <row r="282" spans="1:16" s="470" customFormat="1" ht="12.75">
      <c r="A282" s="476"/>
      <c r="B282" s="476"/>
      <c r="C282" s="477"/>
      <c r="D282" s="477"/>
      <c r="E282" s="476"/>
      <c r="F282" s="477"/>
      <c r="G282" s="477"/>
      <c r="H282" s="477"/>
      <c r="I282" s="478"/>
      <c r="J282" s="477"/>
      <c r="K282" s="478"/>
      <c r="L282" s="477"/>
      <c r="M282" s="476"/>
      <c r="O282" s="471"/>
      <c r="P282" s="471"/>
    </row>
    <row r="283" spans="1:16" s="470" customFormat="1" ht="12.75">
      <c r="A283" s="476"/>
      <c r="B283" s="476"/>
      <c r="C283" s="477"/>
      <c r="D283" s="477"/>
      <c r="E283" s="476"/>
      <c r="F283" s="477"/>
      <c r="G283" s="477"/>
      <c r="H283" s="477"/>
      <c r="I283" s="478"/>
      <c r="J283" s="477"/>
      <c r="K283" s="478"/>
      <c r="L283" s="477"/>
      <c r="M283" s="476"/>
      <c r="O283" s="471"/>
      <c r="P283" s="471"/>
    </row>
    <row r="284" spans="1:16" s="470" customFormat="1" ht="12.75">
      <c r="A284" s="476"/>
      <c r="B284" s="476"/>
      <c r="C284" s="477"/>
      <c r="D284" s="477"/>
      <c r="E284" s="476"/>
      <c r="F284" s="477"/>
      <c r="G284" s="477"/>
      <c r="H284" s="477"/>
      <c r="I284" s="478"/>
      <c r="J284" s="477"/>
      <c r="K284" s="478"/>
      <c r="L284" s="477"/>
      <c r="M284" s="476"/>
      <c r="O284" s="471"/>
      <c r="P284" s="471"/>
    </row>
    <row r="285" spans="1:16" s="470" customFormat="1" ht="12.75">
      <c r="A285" s="476"/>
      <c r="B285" s="476"/>
      <c r="C285" s="477"/>
      <c r="D285" s="477"/>
      <c r="E285" s="476"/>
      <c r="F285" s="477"/>
      <c r="G285" s="477"/>
      <c r="H285" s="477"/>
      <c r="I285" s="478"/>
      <c r="J285" s="477"/>
      <c r="K285" s="478"/>
      <c r="L285" s="477"/>
      <c r="M285" s="476"/>
      <c r="O285" s="471"/>
      <c r="P285" s="471"/>
    </row>
    <row r="286" spans="1:16" s="470" customFormat="1" ht="12.75">
      <c r="A286" s="476"/>
      <c r="B286" s="476"/>
      <c r="C286" s="477"/>
      <c r="D286" s="477"/>
      <c r="E286" s="476"/>
      <c r="F286" s="477"/>
      <c r="G286" s="477"/>
      <c r="H286" s="477"/>
      <c r="I286" s="478"/>
      <c r="J286" s="477"/>
      <c r="K286" s="478"/>
      <c r="L286" s="477"/>
      <c r="M286" s="476"/>
      <c r="O286" s="471"/>
      <c r="P286" s="471"/>
    </row>
    <row r="287" spans="1:16" s="470" customFormat="1" ht="12.75">
      <c r="A287" s="476"/>
      <c r="B287" s="476"/>
      <c r="C287" s="477"/>
      <c r="D287" s="477"/>
      <c r="E287" s="476"/>
      <c r="F287" s="477"/>
      <c r="G287" s="477"/>
      <c r="H287" s="477"/>
      <c r="I287" s="478"/>
      <c r="J287" s="477"/>
      <c r="K287" s="478"/>
      <c r="L287" s="477"/>
      <c r="M287" s="476"/>
      <c r="O287" s="471"/>
      <c r="P287" s="471"/>
    </row>
    <row r="288" spans="1:16" s="470" customFormat="1" ht="12.75">
      <c r="A288" s="476"/>
      <c r="B288" s="476"/>
      <c r="C288" s="477"/>
      <c r="D288" s="477"/>
      <c r="E288" s="476"/>
      <c r="F288" s="477"/>
      <c r="G288" s="477"/>
      <c r="H288" s="477"/>
      <c r="I288" s="478"/>
      <c r="J288" s="477"/>
      <c r="K288" s="478"/>
      <c r="L288" s="477"/>
      <c r="M288" s="476"/>
      <c r="O288" s="471"/>
      <c r="P288" s="471"/>
    </row>
    <row r="289" spans="1:16" s="470" customFormat="1" ht="12.75">
      <c r="A289" s="476"/>
      <c r="B289" s="476"/>
      <c r="C289" s="477"/>
      <c r="D289" s="477"/>
      <c r="E289" s="476"/>
      <c r="F289" s="477"/>
      <c r="G289" s="477"/>
      <c r="H289" s="477"/>
      <c r="I289" s="478"/>
      <c r="J289" s="477"/>
      <c r="K289" s="478"/>
      <c r="L289" s="477"/>
      <c r="M289" s="476"/>
      <c r="O289" s="471"/>
      <c r="P289" s="471"/>
    </row>
    <row r="290" spans="1:16" s="470" customFormat="1" ht="12.75">
      <c r="A290" s="476"/>
      <c r="B290" s="476"/>
      <c r="C290" s="477"/>
      <c r="D290" s="477"/>
      <c r="E290" s="476"/>
      <c r="F290" s="477"/>
      <c r="G290" s="477"/>
      <c r="H290" s="477"/>
      <c r="I290" s="478"/>
      <c r="J290" s="477"/>
      <c r="K290" s="478"/>
      <c r="L290" s="477"/>
      <c r="M290" s="476"/>
      <c r="O290" s="471"/>
      <c r="P290" s="471"/>
    </row>
    <row r="291" spans="1:16" s="470" customFormat="1" ht="12.75">
      <c r="A291" s="476"/>
      <c r="B291" s="476"/>
      <c r="C291" s="477"/>
      <c r="D291" s="477"/>
      <c r="E291" s="476"/>
      <c r="F291" s="477"/>
      <c r="G291" s="477"/>
      <c r="H291" s="477"/>
      <c r="I291" s="478"/>
      <c r="J291" s="477"/>
      <c r="K291" s="478"/>
      <c r="L291" s="477"/>
      <c r="M291" s="476"/>
      <c r="O291" s="471"/>
      <c r="P291" s="471"/>
    </row>
    <row r="292" spans="1:16" s="470" customFormat="1" ht="12.75">
      <c r="A292" s="476"/>
      <c r="B292" s="476"/>
      <c r="C292" s="477"/>
      <c r="D292" s="477"/>
      <c r="E292" s="476"/>
      <c r="F292" s="477"/>
      <c r="G292" s="477"/>
      <c r="H292" s="477"/>
      <c r="I292" s="478"/>
      <c r="J292" s="477"/>
      <c r="K292" s="478"/>
      <c r="L292" s="477"/>
      <c r="M292" s="476"/>
      <c r="O292" s="471"/>
      <c r="P292" s="471"/>
    </row>
    <row r="293" spans="1:16" s="470" customFormat="1" ht="12.75">
      <c r="A293" s="476"/>
      <c r="B293" s="476"/>
      <c r="C293" s="477"/>
      <c r="D293" s="477"/>
      <c r="E293" s="476"/>
      <c r="F293" s="477"/>
      <c r="G293" s="477"/>
      <c r="H293" s="477"/>
      <c r="I293" s="478"/>
      <c r="J293" s="477"/>
      <c r="K293" s="478"/>
      <c r="L293" s="477"/>
      <c r="M293" s="476"/>
      <c r="O293" s="471"/>
      <c r="P293" s="471"/>
    </row>
    <row r="294" spans="1:16" s="470" customFormat="1" ht="12.75">
      <c r="A294" s="476"/>
      <c r="B294" s="476"/>
      <c r="C294" s="477"/>
      <c r="D294" s="477"/>
      <c r="E294" s="476"/>
      <c r="F294" s="477"/>
      <c r="G294" s="477"/>
      <c r="H294" s="477"/>
      <c r="I294" s="478"/>
      <c r="J294" s="477"/>
      <c r="K294" s="478"/>
      <c r="L294" s="477"/>
      <c r="M294" s="476"/>
      <c r="O294" s="471"/>
      <c r="P294" s="471"/>
    </row>
    <row r="295" spans="1:16" s="470" customFormat="1" ht="12.75">
      <c r="A295" s="476"/>
      <c r="B295" s="476"/>
      <c r="C295" s="477"/>
      <c r="D295" s="477"/>
      <c r="E295" s="476"/>
      <c r="F295" s="477"/>
      <c r="G295" s="477"/>
      <c r="H295" s="477"/>
      <c r="I295" s="478"/>
      <c r="J295" s="477"/>
      <c r="K295" s="478"/>
      <c r="L295" s="477"/>
      <c r="M295" s="476"/>
      <c r="O295" s="471"/>
      <c r="P295" s="471"/>
    </row>
    <row r="296" spans="1:16" s="470" customFormat="1" ht="12.75">
      <c r="A296" s="476"/>
      <c r="B296" s="476"/>
      <c r="C296" s="477"/>
      <c r="D296" s="477"/>
      <c r="E296" s="476"/>
      <c r="F296" s="477"/>
      <c r="G296" s="477"/>
      <c r="H296" s="477"/>
      <c r="I296" s="478"/>
      <c r="J296" s="477"/>
      <c r="K296" s="478"/>
      <c r="L296" s="477"/>
      <c r="M296" s="476"/>
      <c r="O296" s="471"/>
      <c r="P296" s="471"/>
    </row>
    <row r="297" spans="1:16" s="470" customFormat="1" ht="12.75">
      <c r="A297" s="476"/>
      <c r="B297" s="476"/>
      <c r="C297" s="477"/>
      <c r="D297" s="477"/>
      <c r="E297" s="476"/>
      <c r="F297" s="477"/>
      <c r="G297" s="477"/>
      <c r="H297" s="477"/>
      <c r="I297" s="478"/>
      <c r="J297" s="477"/>
      <c r="K297" s="478"/>
      <c r="L297" s="477"/>
      <c r="M297" s="476"/>
      <c r="O297" s="471"/>
      <c r="P297" s="471"/>
    </row>
    <row r="298" spans="1:16" s="470" customFormat="1" ht="12.75">
      <c r="A298" s="476"/>
      <c r="B298" s="476"/>
      <c r="C298" s="477"/>
      <c r="D298" s="477"/>
      <c r="E298" s="476"/>
      <c r="F298" s="477"/>
      <c r="G298" s="477"/>
      <c r="H298" s="477"/>
      <c r="I298" s="478"/>
      <c r="J298" s="477"/>
      <c r="K298" s="478"/>
      <c r="L298" s="477"/>
      <c r="M298" s="476"/>
      <c r="O298" s="471"/>
      <c r="P298" s="471"/>
    </row>
    <row r="299" spans="1:16" s="470" customFormat="1" ht="12.75">
      <c r="A299" s="476"/>
      <c r="B299" s="476"/>
      <c r="C299" s="477"/>
      <c r="D299" s="477"/>
      <c r="E299" s="476"/>
      <c r="F299" s="477"/>
      <c r="G299" s="477"/>
      <c r="H299" s="477"/>
      <c r="I299" s="478"/>
      <c r="J299" s="477"/>
      <c r="K299" s="478"/>
      <c r="L299" s="477"/>
      <c r="M299" s="476"/>
      <c r="O299" s="471"/>
      <c r="P299" s="471"/>
    </row>
    <row r="300" spans="1:16" s="470" customFormat="1" ht="12.75">
      <c r="A300" s="476"/>
      <c r="B300" s="476"/>
      <c r="C300" s="477"/>
      <c r="D300" s="477"/>
      <c r="E300" s="476"/>
      <c r="F300" s="477"/>
      <c r="G300" s="477"/>
      <c r="H300" s="477"/>
      <c r="I300" s="478"/>
      <c r="J300" s="477"/>
      <c r="K300" s="478"/>
      <c r="L300" s="477"/>
      <c r="M300" s="476"/>
      <c r="O300" s="471"/>
      <c r="P300" s="471"/>
    </row>
    <row r="301" spans="1:16" s="470" customFormat="1" ht="12.75">
      <c r="A301" s="476"/>
      <c r="B301" s="476"/>
      <c r="C301" s="477"/>
      <c r="D301" s="477"/>
      <c r="E301" s="476"/>
      <c r="F301" s="477"/>
      <c r="G301" s="477"/>
      <c r="H301" s="477"/>
      <c r="I301" s="478"/>
      <c r="J301" s="477"/>
      <c r="K301" s="478"/>
      <c r="L301" s="477"/>
      <c r="M301" s="476"/>
      <c r="O301" s="471"/>
      <c r="P301" s="471"/>
    </row>
    <row r="302" spans="1:16" s="470" customFormat="1" ht="12.75">
      <c r="A302" s="476"/>
      <c r="B302" s="476"/>
      <c r="C302" s="477"/>
      <c r="D302" s="477"/>
      <c r="E302" s="476"/>
      <c r="F302" s="477"/>
      <c r="G302" s="477"/>
      <c r="H302" s="477"/>
      <c r="I302" s="478"/>
      <c r="J302" s="477"/>
      <c r="K302" s="478"/>
      <c r="L302" s="477"/>
      <c r="M302" s="476"/>
      <c r="O302" s="471"/>
      <c r="P302" s="471"/>
    </row>
    <row r="303" spans="1:16" s="470" customFormat="1" ht="12.75">
      <c r="A303" s="476"/>
      <c r="B303" s="476"/>
      <c r="C303" s="477"/>
      <c r="D303" s="477"/>
      <c r="E303" s="476"/>
      <c r="F303" s="477"/>
      <c r="G303" s="477"/>
      <c r="H303" s="477"/>
      <c r="I303" s="478"/>
      <c r="J303" s="477"/>
      <c r="K303" s="478"/>
      <c r="L303" s="477"/>
      <c r="M303" s="476"/>
      <c r="O303" s="471"/>
      <c r="P303" s="471"/>
    </row>
    <row r="304" spans="1:16" s="470" customFormat="1" ht="12.75">
      <c r="A304" s="476"/>
      <c r="B304" s="476"/>
      <c r="C304" s="477"/>
      <c r="D304" s="477"/>
      <c r="E304" s="476"/>
      <c r="F304" s="477"/>
      <c r="G304" s="477"/>
      <c r="H304" s="477"/>
      <c r="I304" s="478"/>
      <c r="J304" s="477"/>
      <c r="K304" s="478"/>
      <c r="L304" s="477"/>
      <c r="M304" s="476"/>
      <c r="O304" s="471"/>
      <c r="P304" s="471"/>
    </row>
    <row r="305" spans="1:16" s="470" customFormat="1" ht="12.75">
      <c r="A305" s="476"/>
      <c r="B305" s="476"/>
      <c r="C305" s="477"/>
      <c r="D305" s="477"/>
      <c r="E305" s="476"/>
      <c r="F305" s="477"/>
      <c r="G305" s="477"/>
      <c r="H305" s="477"/>
      <c r="I305" s="478"/>
      <c r="J305" s="477"/>
      <c r="K305" s="478"/>
      <c r="L305" s="477"/>
      <c r="M305" s="476"/>
      <c r="O305" s="471"/>
      <c r="P305" s="471"/>
    </row>
    <row r="306" spans="1:16" s="470" customFormat="1" ht="12.75">
      <c r="A306" s="476"/>
      <c r="B306" s="476"/>
      <c r="C306" s="477"/>
      <c r="D306" s="477"/>
      <c r="E306" s="476"/>
      <c r="F306" s="477"/>
      <c r="G306" s="477"/>
      <c r="H306" s="477"/>
      <c r="I306" s="478"/>
      <c r="J306" s="477"/>
      <c r="K306" s="478"/>
      <c r="L306" s="477"/>
      <c r="M306" s="476"/>
      <c r="O306" s="471"/>
      <c r="P306" s="471"/>
    </row>
    <row r="307" spans="1:16" s="470" customFormat="1" ht="12.75">
      <c r="A307" s="476"/>
      <c r="B307" s="476"/>
      <c r="C307" s="477"/>
      <c r="D307" s="477"/>
      <c r="E307" s="476"/>
      <c r="F307" s="477"/>
      <c r="G307" s="477"/>
      <c r="H307" s="477"/>
      <c r="I307" s="478"/>
      <c r="J307" s="477"/>
      <c r="K307" s="478"/>
      <c r="L307" s="477"/>
      <c r="M307" s="476"/>
      <c r="O307" s="471"/>
      <c r="P307" s="471"/>
    </row>
    <row r="308" spans="1:16" s="470" customFormat="1" ht="12.75">
      <c r="A308" s="476"/>
      <c r="B308" s="476"/>
      <c r="C308" s="477"/>
      <c r="D308" s="477"/>
      <c r="E308" s="476"/>
      <c r="F308" s="477"/>
      <c r="G308" s="477"/>
      <c r="H308" s="477"/>
      <c r="I308" s="478"/>
      <c r="J308" s="477"/>
      <c r="K308" s="478"/>
      <c r="L308" s="477"/>
      <c r="M308" s="476"/>
      <c r="O308" s="471"/>
      <c r="P308" s="471"/>
    </row>
    <row r="309" spans="1:16" s="470" customFormat="1" ht="12.75">
      <c r="A309" s="476"/>
      <c r="B309" s="476"/>
      <c r="C309" s="477"/>
      <c r="D309" s="477"/>
      <c r="E309" s="476"/>
      <c r="F309" s="477"/>
      <c r="G309" s="477"/>
      <c r="H309" s="477"/>
      <c r="I309" s="478"/>
      <c r="J309" s="477"/>
      <c r="K309" s="478"/>
      <c r="L309" s="477"/>
      <c r="M309" s="476"/>
      <c r="O309" s="471"/>
      <c r="P309" s="471"/>
    </row>
    <row r="310" spans="1:16" s="470" customFormat="1" ht="12.75">
      <c r="A310" s="476"/>
      <c r="B310" s="476"/>
      <c r="C310" s="477"/>
      <c r="D310" s="477"/>
      <c r="E310" s="476"/>
      <c r="F310" s="477"/>
      <c r="G310" s="477"/>
      <c r="H310" s="477"/>
      <c r="I310" s="478"/>
      <c r="J310" s="477"/>
      <c r="K310" s="478"/>
      <c r="L310" s="477"/>
      <c r="M310" s="476"/>
      <c r="O310" s="471"/>
      <c r="P310" s="471"/>
    </row>
    <row r="311" spans="1:16" s="470" customFormat="1" ht="12.75">
      <c r="A311" s="476"/>
      <c r="B311" s="476"/>
      <c r="C311" s="477"/>
      <c r="D311" s="477"/>
      <c r="E311" s="476"/>
      <c r="F311" s="477"/>
      <c r="G311" s="477"/>
      <c r="H311" s="477"/>
      <c r="I311" s="478"/>
      <c r="J311" s="477"/>
      <c r="K311" s="478"/>
      <c r="L311" s="477"/>
      <c r="M311" s="476"/>
      <c r="O311" s="471"/>
      <c r="P311" s="471"/>
    </row>
    <row r="312" spans="1:16" s="470" customFormat="1" ht="12.75">
      <c r="A312" s="476"/>
      <c r="B312" s="476"/>
      <c r="C312" s="477"/>
      <c r="D312" s="477"/>
      <c r="E312" s="476"/>
      <c r="F312" s="477"/>
      <c r="G312" s="477"/>
      <c r="H312" s="477"/>
      <c r="I312" s="478"/>
      <c r="J312" s="477"/>
      <c r="K312" s="478"/>
      <c r="L312" s="477"/>
      <c r="M312" s="476"/>
      <c r="O312" s="471"/>
      <c r="P312" s="471"/>
    </row>
    <row r="313" spans="1:16" s="470" customFormat="1" ht="12.75">
      <c r="A313" s="476"/>
      <c r="B313" s="476"/>
      <c r="C313" s="477"/>
      <c r="D313" s="477"/>
      <c r="E313" s="476"/>
      <c r="F313" s="477"/>
      <c r="G313" s="477"/>
      <c r="H313" s="477"/>
      <c r="I313" s="478"/>
      <c r="J313" s="477"/>
      <c r="K313" s="478"/>
      <c r="L313" s="477"/>
      <c r="M313" s="476"/>
      <c r="O313" s="471"/>
      <c r="P313" s="471"/>
    </row>
    <row r="314" spans="1:16" s="470" customFormat="1" ht="12.75">
      <c r="A314" s="476"/>
      <c r="B314" s="476"/>
      <c r="C314" s="477"/>
      <c r="D314" s="477"/>
      <c r="E314" s="476"/>
      <c r="F314" s="477"/>
      <c r="G314" s="477"/>
      <c r="H314" s="477"/>
      <c r="I314" s="478"/>
      <c r="J314" s="477"/>
      <c r="K314" s="478"/>
      <c r="L314" s="477"/>
      <c r="M314" s="476"/>
      <c r="O314" s="471"/>
      <c r="P314" s="471"/>
    </row>
    <row r="315" spans="1:16" s="470" customFormat="1" ht="12.75">
      <c r="A315" s="476"/>
      <c r="B315" s="476"/>
      <c r="C315" s="477"/>
      <c r="D315" s="477"/>
      <c r="E315" s="476"/>
      <c r="F315" s="477"/>
      <c r="G315" s="477"/>
      <c r="H315" s="477"/>
      <c r="I315" s="478"/>
      <c r="J315" s="477"/>
      <c r="K315" s="478"/>
      <c r="L315" s="477"/>
      <c r="M315" s="476"/>
      <c r="O315" s="471"/>
      <c r="P315" s="471"/>
    </row>
    <row r="316" spans="1:16" s="470" customFormat="1" ht="12.75">
      <c r="A316" s="476"/>
      <c r="B316" s="476"/>
      <c r="C316" s="477"/>
      <c r="D316" s="477"/>
      <c r="E316" s="476"/>
      <c r="F316" s="477"/>
      <c r="G316" s="477"/>
      <c r="H316" s="477"/>
      <c r="I316" s="478"/>
      <c r="J316" s="477"/>
      <c r="K316" s="478"/>
      <c r="L316" s="477"/>
      <c r="M316" s="476"/>
      <c r="O316" s="471"/>
      <c r="P316" s="471"/>
    </row>
    <row r="317" spans="1:16" s="470" customFormat="1" ht="12.75">
      <c r="A317" s="476"/>
      <c r="B317" s="476"/>
      <c r="C317" s="477"/>
      <c r="D317" s="477"/>
      <c r="E317" s="476"/>
      <c r="F317" s="477"/>
      <c r="G317" s="477"/>
      <c r="H317" s="477"/>
      <c r="I317" s="478"/>
      <c r="J317" s="477"/>
      <c r="K317" s="478"/>
      <c r="L317" s="477"/>
      <c r="M317" s="476"/>
      <c r="O317" s="471"/>
      <c r="P317" s="471"/>
    </row>
    <row r="318" spans="1:16" s="470" customFormat="1" ht="12.75">
      <c r="A318" s="476"/>
      <c r="B318" s="476"/>
      <c r="C318" s="477"/>
      <c r="D318" s="477"/>
      <c r="E318" s="476"/>
      <c r="F318" s="477"/>
      <c r="G318" s="477"/>
      <c r="H318" s="477"/>
      <c r="I318" s="478"/>
      <c r="J318" s="477"/>
      <c r="K318" s="478"/>
      <c r="L318" s="477"/>
      <c r="M318" s="476"/>
      <c r="O318" s="471"/>
      <c r="P318" s="471"/>
    </row>
    <row r="319" spans="1:16" s="470" customFormat="1" ht="12.75">
      <c r="A319" s="476"/>
      <c r="B319" s="476"/>
      <c r="C319" s="477"/>
      <c r="D319" s="477"/>
      <c r="E319" s="476"/>
      <c r="F319" s="477"/>
      <c r="G319" s="477"/>
      <c r="H319" s="477"/>
      <c r="I319" s="478"/>
      <c r="J319" s="477"/>
      <c r="K319" s="478"/>
      <c r="L319" s="477"/>
      <c r="M319" s="476"/>
      <c r="O319" s="471"/>
      <c r="P319" s="471"/>
    </row>
    <row r="320" spans="1:16" s="470" customFormat="1" ht="12.75">
      <c r="A320" s="476"/>
      <c r="B320" s="476"/>
      <c r="C320" s="477"/>
      <c r="D320" s="477"/>
      <c r="E320" s="476"/>
      <c r="F320" s="477"/>
      <c r="G320" s="477"/>
      <c r="H320" s="477"/>
      <c r="I320" s="478"/>
      <c r="J320" s="477"/>
      <c r="K320" s="478"/>
      <c r="L320" s="477"/>
      <c r="M320" s="476"/>
      <c r="O320" s="471"/>
      <c r="P320" s="471"/>
    </row>
    <row r="321" spans="1:16" s="470" customFormat="1" ht="12.75">
      <c r="A321" s="476"/>
      <c r="B321" s="476"/>
      <c r="C321" s="477"/>
      <c r="D321" s="477"/>
      <c r="E321" s="476"/>
      <c r="F321" s="477"/>
      <c r="G321" s="477"/>
      <c r="H321" s="477"/>
      <c r="I321" s="478"/>
      <c r="J321" s="477"/>
      <c r="K321" s="478"/>
      <c r="L321" s="477"/>
      <c r="M321" s="476"/>
      <c r="O321" s="471"/>
      <c r="P321" s="471"/>
    </row>
    <row r="322" spans="1:16" s="470" customFormat="1" ht="12.75">
      <c r="A322" s="476"/>
      <c r="B322" s="476"/>
      <c r="C322" s="477"/>
      <c r="D322" s="477"/>
      <c r="E322" s="476"/>
      <c r="F322" s="477"/>
      <c r="G322" s="477"/>
      <c r="H322" s="477"/>
      <c r="I322" s="478"/>
      <c r="J322" s="477"/>
      <c r="K322" s="478"/>
      <c r="L322" s="477"/>
      <c r="M322" s="476"/>
      <c r="O322" s="471"/>
      <c r="P322" s="471"/>
    </row>
    <row r="323" spans="1:16" s="470" customFormat="1" ht="12.75">
      <c r="A323" s="476"/>
      <c r="B323" s="476"/>
      <c r="C323" s="477"/>
      <c r="D323" s="477"/>
      <c r="E323" s="476"/>
      <c r="F323" s="477"/>
      <c r="G323" s="477"/>
      <c r="H323" s="477"/>
      <c r="I323" s="478"/>
      <c r="J323" s="477"/>
      <c r="K323" s="478"/>
      <c r="L323" s="477"/>
      <c r="M323" s="476"/>
      <c r="O323" s="471"/>
      <c r="P323" s="471"/>
    </row>
    <row r="324" spans="1:16" s="470" customFormat="1" ht="12.75">
      <c r="A324" s="476"/>
      <c r="B324" s="476"/>
      <c r="C324" s="477"/>
      <c r="D324" s="477"/>
      <c r="E324" s="476"/>
      <c r="F324" s="477"/>
      <c r="G324" s="477"/>
      <c r="H324" s="477"/>
      <c r="I324" s="478"/>
      <c r="J324" s="477"/>
      <c r="K324" s="478"/>
      <c r="L324" s="477"/>
      <c r="M324" s="476"/>
      <c r="O324" s="471"/>
      <c r="P324" s="471"/>
    </row>
    <row r="325" spans="1:16" s="470" customFormat="1" ht="12.75">
      <c r="A325" s="476"/>
      <c r="B325" s="476"/>
      <c r="C325" s="477"/>
      <c r="D325" s="477"/>
      <c r="E325" s="476"/>
      <c r="F325" s="477"/>
      <c r="G325" s="477"/>
      <c r="H325" s="477"/>
      <c r="I325" s="478"/>
      <c r="J325" s="477"/>
      <c r="K325" s="478"/>
      <c r="L325" s="477"/>
      <c r="M325" s="476"/>
      <c r="O325" s="471"/>
      <c r="P325" s="471"/>
    </row>
    <row r="326" spans="1:16" s="470" customFormat="1" ht="12.75">
      <c r="A326" s="476"/>
      <c r="B326" s="476"/>
      <c r="C326" s="477"/>
      <c r="D326" s="477"/>
      <c r="E326" s="476"/>
      <c r="F326" s="477"/>
      <c r="G326" s="477"/>
      <c r="H326" s="477"/>
      <c r="I326" s="478"/>
      <c r="J326" s="477"/>
      <c r="K326" s="478"/>
      <c r="L326" s="477"/>
      <c r="M326" s="476"/>
      <c r="O326" s="471"/>
      <c r="P326" s="471"/>
    </row>
    <row r="327" spans="1:16" s="470" customFormat="1" ht="12.75">
      <c r="A327" s="476"/>
      <c r="B327" s="476"/>
      <c r="C327" s="477"/>
      <c r="D327" s="477"/>
      <c r="E327" s="476"/>
      <c r="F327" s="477"/>
      <c r="G327" s="477"/>
      <c r="H327" s="477"/>
      <c r="I327" s="478"/>
      <c r="J327" s="477"/>
      <c r="K327" s="478"/>
      <c r="L327" s="477"/>
      <c r="M327" s="476"/>
      <c r="O327" s="471"/>
      <c r="P327" s="471"/>
    </row>
    <row r="328" spans="1:16" s="470" customFormat="1" ht="12.75">
      <c r="A328" s="476"/>
      <c r="B328" s="476"/>
      <c r="C328" s="477"/>
      <c r="D328" s="477"/>
      <c r="E328" s="476"/>
      <c r="F328" s="477"/>
      <c r="G328" s="477"/>
      <c r="H328" s="477"/>
      <c r="I328" s="478"/>
      <c r="J328" s="477"/>
      <c r="K328" s="478"/>
      <c r="L328" s="477"/>
      <c r="M328" s="476"/>
      <c r="O328" s="471"/>
      <c r="P328" s="471"/>
    </row>
    <row r="329" spans="1:16" s="470" customFormat="1" ht="12.75">
      <c r="A329" s="476"/>
      <c r="B329" s="476"/>
      <c r="C329" s="477"/>
      <c r="D329" s="477"/>
      <c r="E329" s="476"/>
      <c r="F329" s="477"/>
      <c r="G329" s="477"/>
      <c r="H329" s="477"/>
      <c r="I329" s="478"/>
      <c r="J329" s="477"/>
      <c r="K329" s="478"/>
      <c r="L329" s="477"/>
      <c r="M329" s="476"/>
      <c r="O329" s="471"/>
      <c r="P329" s="471"/>
    </row>
    <row r="330" spans="1:16" s="470" customFormat="1" ht="12.75">
      <c r="A330" s="476"/>
      <c r="B330" s="476"/>
      <c r="C330" s="477"/>
      <c r="D330" s="477"/>
      <c r="E330" s="476"/>
      <c r="F330" s="477"/>
      <c r="G330" s="477"/>
      <c r="H330" s="477"/>
      <c r="I330" s="478"/>
      <c r="J330" s="477"/>
      <c r="K330" s="478"/>
      <c r="L330" s="477"/>
      <c r="M330" s="476"/>
      <c r="O330" s="471"/>
      <c r="P330" s="471"/>
    </row>
    <row r="331" spans="1:16" s="470" customFormat="1" ht="12.75">
      <c r="A331" s="476"/>
      <c r="B331" s="476"/>
      <c r="C331" s="477"/>
      <c r="D331" s="477"/>
      <c r="E331" s="476"/>
      <c r="F331" s="477"/>
      <c r="G331" s="477"/>
      <c r="H331" s="477"/>
      <c r="I331" s="478"/>
      <c r="J331" s="477"/>
      <c r="K331" s="478"/>
      <c r="L331" s="477"/>
      <c r="M331" s="476"/>
      <c r="O331" s="471"/>
      <c r="P331" s="471"/>
    </row>
    <row r="332" spans="1:16" s="470" customFormat="1" ht="12.75">
      <c r="A332" s="476"/>
      <c r="B332" s="476"/>
      <c r="C332" s="477"/>
      <c r="D332" s="477"/>
      <c r="E332" s="476"/>
      <c r="F332" s="477"/>
      <c r="G332" s="477"/>
      <c r="H332" s="477"/>
      <c r="I332" s="478"/>
      <c r="J332" s="477"/>
      <c r="K332" s="478"/>
      <c r="L332" s="477"/>
      <c r="M332" s="476"/>
      <c r="O332" s="471"/>
      <c r="P332" s="471"/>
    </row>
    <row r="333" spans="1:16" s="470" customFormat="1" ht="12.75">
      <c r="A333" s="476"/>
      <c r="B333" s="476"/>
      <c r="C333" s="477"/>
      <c r="D333" s="477"/>
      <c r="E333" s="476"/>
      <c r="F333" s="477"/>
      <c r="G333" s="477"/>
      <c r="H333" s="477"/>
      <c r="I333" s="478"/>
      <c r="J333" s="477"/>
      <c r="K333" s="478"/>
      <c r="L333" s="477"/>
      <c r="M333" s="476"/>
      <c r="O333" s="471"/>
      <c r="P333" s="471"/>
    </row>
    <row r="334" spans="1:16" s="470" customFormat="1" ht="12.75">
      <c r="A334" s="476"/>
      <c r="B334" s="476"/>
      <c r="C334" s="477"/>
      <c r="D334" s="477"/>
      <c r="E334" s="476"/>
      <c r="F334" s="477"/>
      <c r="G334" s="477"/>
      <c r="H334" s="477"/>
      <c r="I334" s="478"/>
      <c r="J334" s="477"/>
      <c r="K334" s="478"/>
      <c r="L334" s="477"/>
      <c r="M334" s="476"/>
      <c r="O334" s="471"/>
      <c r="P334" s="471"/>
    </row>
    <row r="335" spans="1:16" s="470" customFormat="1" ht="12.75">
      <c r="A335" s="476"/>
      <c r="B335" s="476"/>
      <c r="C335" s="477"/>
      <c r="D335" s="477"/>
      <c r="E335" s="476"/>
      <c r="F335" s="477"/>
      <c r="G335" s="477"/>
      <c r="H335" s="477"/>
      <c r="I335" s="478"/>
      <c r="J335" s="477"/>
      <c r="K335" s="478"/>
      <c r="L335" s="477"/>
      <c r="M335" s="476"/>
      <c r="O335" s="471"/>
      <c r="P335" s="471"/>
    </row>
    <row r="336" spans="1:16" s="470" customFormat="1" ht="12.75">
      <c r="A336" s="476"/>
      <c r="B336" s="476"/>
      <c r="C336" s="477"/>
      <c r="D336" s="477"/>
      <c r="E336" s="476"/>
      <c r="F336" s="477"/>
      <c r="G336" s="477"/>
      <c r="H336" s="477"/>
      <c r="I336" s="478"/>
      <c r="J336" s="477"/>
      <c r="K336" s="478"/>
      <c r="L336" s="477"/>
      <c r="M336" s="476"/>
      <c r="O336" s="471"/>
      <c r="P336" s="471"/>
    </row>
    <row r="337" spans="1:16" s="470" customFormat="1" ht="12.75">
      <c r="A337" s="476"/>
      <c r="B337" s="476"/>
      <c r="C337" s="477"/>
      <c r="D337" s="477"/>
      <c r="E337" s="476"/>
      <c r="F337" s="477"/>
      <c r="G337" s="477"/>
      <c r="H337" s="477"/>
      <c r="I337" s="478"/>
      <c r="J337" s="477"/>
      <c r="K337" s="478"/>
      <c r="L337" s="477"/>
      <c r="M337" s="476"/>
      <c r="O337" s="471"/>
      <c r="P337" s="471"/>
    </row>
    <row r="338" spans="1:16" s="470" customFormat="1" ht="12.75">
      <c r="A338" s="476"/>
      <c r="B338" s="476"/>
      <c r="C338" s="477"/>
      <c r="D338" s="477"/>
      <c r="E338" s="476"/>
      <c r="F338" s="477"/>
      <c r="G338" s="477"/>
      <c r="H338" s="477"/>
      <c r="I338" s="478"/>
      <c r="J338" s="477"/>
      <c r="K338" s="478"/>
      <c r="L338" s="477"/>
      <c r="M338" s="476"/>
      <c r="O338" s="471"/>
      <c r="P338" s="471"/>
    </row>
    <row r="339" spans="1:16" s="470" customFormat="1" ht="12.75">
      <c r="A339" s="476"/>
      <c r="B339" s="476"/>
      <c r="C339" s="477"/>
      <c r="D339" s="477"/>
      <c r="E339" s="476"/>
      <c r="F339" s="477"/>
      <c r="G339" s="477"/>
      <c r="H339" s="477"/>
      <c r="I339" s="478"/>
      <c r="J339" s="477"/>
      <c r="K339" s="478"/>
      <c r="L339" s="477"/>
      <c r="M339" s="476"/>
      <c r="O339" s="471"/>
      <c r="P339" s="471"/>
    </row>
    <row r="340" spans="1:16" s="470" customFormat="1" ht="12.75">
      <c r="A340" s="476"/>
      <c r="B340" s="476"/>
      <c r="C340" s="477"/>
      <c r="D340" s="477"/>
      <c r="E340" s="476"/>
      <c r="F340" s="477"/>
      <c r="G340" s="477"/>
      <c r="H340" s="477"/>
      <c r="I340" s="478"/>
      <c r="J340" s="477"/>
      <c r="K340" s="478"/>
      <c r="L340" s="477"/>
      <c r="M340" s="476"/>
      <c r="O340" s="471"/>
      <c r="P340" s="471"/>
    </row>
    <row r="341" spans="1:16" s="470" customFormat="1" ht="12.75">
      <c r="A341" s="476"/>
      <c r="B341" s="476"/>
      <c r="C341" s="477"/>
      <c r="D341" s="477"/>
      <c r="E341" s="476"/>
      <c r="F341" s="477"/>
      <c r="G341" s="477"/>
      <c r="H341" s="477"/>
      <c r="I341" s="478"/>
      <c r="J341" s="477"/>
      <c r="K341" s="478"/>
      <c r="L341" s="477"/>
      <c r="M341" s="476"/>
      <c r="O341" s="471"/>
      <c r="P341" s="471"/>
    </row>
    <row r="342" spans="1:16" s="470" customFormat="1" ht="12.75">
      <c r="A342" s="476"/>
      <c r="B342" s="476"/>
      <c r="C342" s="477"/>
      <c r="D342" s="477"/>
      <c r="E342" s="476"/>
      <c r="F342" s="477"/>
      <c r="G342" s="477"/>
      <c r="H342" s="477"/>
      <c r="I342" s="478"/>
      <c r="J342" s="477"/>
      <c r="K342" s="478"/>
      <c r="L342" s="477"/>
      <c r="M342" s="476"/>
      <c r="O342" s="471"/>
      <c r="P342" s="471"/>
    </row>
    <row r="343" spans="1:16" s="470" customFormat="1" ht="12.75">
      <c r="A343" s="476"/>
      <c r="B343" s="476"/>
      <c r="C343" s="477"/>
      <c r="D343" s="477"/>
      <c r="E343" s="476"/>
      <c r="F343" s="477"/>
      <c r="G343" s="477"/>
      <c r="H343" s="477"/>
      <c r="I343" s="478"/>
      <c r="J343" s="477"/>
      <c r="K343" s="478"/>
      <c r="L343" s="477"/>
      <c r="M343" s="476"/>
      <c r="O343" s="471"/>
      <c r="P343" s="471"/>
    </row>
    <row r="344" spans="1:16" s="470" customFormat="1" ht="12.75">
      <c r="A344" s="476"/>
      <c r="B344" s="476"/>
      <c r="C344" s="477"/>
      <c r="D344" s="477"/>
      <c r="E344" s="476"/>
      <c r="F344" s="477"/>
      <c r="G344" s="477"/>
      <c r="H344" s="477"/>
      <c r="I344" s="478"/>
      <c r="J344" s="477"/>
      <c r="K344" s="478"/>
      <c r="L344" s="477"/>
      <c r="M344" s="476"/>
      <c r="O344" s="471"/>
      <c r="P344" s="471"/>
    </row>
    <row r="345" spans="1:16" s="470" customFormat="1" ht="12.75">
      <c r="A345" s="476"/>
      <c r="B345" s="476"/>
      <c r="C345" s="477"/>
      <c r="D345" s="477"/>
      <c r="E345" s="476"/>
      <c r="F345" s="477"/>
      <c r="G345" s="477"/>
      <c r="H345" s="477"/>
      <c r="I345" s="478"/>
      <c r="J345" s="477"/>
      <c r="K345" s="478"/>
      <c r="L345" s="477"/>
      <c r="M345" s="476"/>
      <c r="O345" s="471"/>
      <c r="P345" s="471"/>
    </row>
    <row r="346" spans="1:16" s="470" customFormat="1" ht="12.75">
      <c r="A346" s="476"/>
      <c r="B346" s="476"/>
      <c r="C346" s="477"/>
      <c r="D346" s="477"/>
      <c r="E346" s="476"/>
      <c r="F346" s="477"/>
      <c r="G346" s="477"/>
      <c r="H346" s="477"/>
      <c r="I346" s="478"/>
      <c r="J346" s="477"/>
      <c r="K346" s="478"/>
      <c r="L346" s="477"/>
      <c r="M346" s="476"/>
      <c r="O346" s="471"/>
      <c r="P346" s="471"/>
    </row>
    <row r="347" spans="1:16" s="470" customFormat="1" ht="12.75">
      <c r="A347" s="476"/>
      <c r="B347" s="476"/>
      <c r="C347" s="477"/>
      <c r="D347" s="477"/>
      <c r="E347" s="476"/>
      <c r="F347" s="477"/>
      <c r="G347" s="477"/>
      <c r="H347" s="477"/>
      <c r="I347" s="478"/>
      <c r="J347" s="477"/>
      <c r="K347" s="478"/>
      <c r="L347" s="477"/>
      <c r="M347" s="476"/>
      <c r="O347" s="471"/>
      <c r="P347" s="471"/>
    </row>
    <row r="348" spans="1:16" s="470" customFormat="1" ht="12.75">
      <c r="A348" s="476"/>
      <c r="B348" s="476"/>
      <c r="C348" s="477"/>
      <c r="D348" s="477"/>
      <c r="E348" s="476"/>
      <c r="F348" s="477"/>
      <c r="G348" s="477"/>
      <c r="H348" s="477"/>
      <c r="I348" s="478"/>
      <c r="J348" s="477"/>
      <c r="K348" s="478"/>
      <c r="L348" s="477"/>
      <c r="M348" s="476"/>
      <c r="O348" s="471"/>
      <c r="P348" s="471"/>
    </row>
    <row r="349" spans="1:16" s="470" customFormat="1" ht="12.75">
      <c r="A349" s="476"/>
      <c r="B349" s="476"/>
      <c r="C349" s="477"/>
      <c r="D349" s="477"/>
      <c r="E349" s="476"/>
      <c r="F349" s="477"/>
      <c r="G349" s="477"/>
      <c r="H349" s="477"/>
      <c r="I349" s="478"/>
      <c r="J349" s="477"/>
      <c r="K349" s="478"/>
      <c r="L349" s="477"/>
      <c r="M349" s="476"/>
      <c r="O349" s="471"/>
      <c r="P349" s="471"/>
    </row>
    <row r="350" spans="1:16" s="470" customFormat="1" ht="12.75">
      <c r="A350" s="476"/>
      <c r="B350" s="476"/>
      <c r="C350" s="477"/>
      <c r="D350" s="477"/>
      <c r="E350" s="476"/>
      <c r="F350" s="477"/>
      <c r="G350" s="477"/>
      <c r="H350" s="477"/>
      <c r="I350" s="478"/>
      <c r="J350" s="477"/>
      <c r="K350" s="478"/>
      <c r="L350" s="477"/>
      <c r="M350" s="476"/>
      <c r="O350" s="471"/>
      <c r="P350" s="471"/>
    </row>
    <row r="351" spans="1:16" s="470" customFormat="1" ht="12.75">
      <c r="A351" s="476"/>
      <c r="B351" s="476"/>
      <c r="C351" s="477"/>
      <c r="D351" s="477"/>
      <c r="E351" s="476"/>
      <c r="F351" s="477"/>
      <c r="G351" s="477"/>
      <c r="H351" s="477"/>
      <c r="I351" s="478"/>
      <c r="J351" s="477"/>
      <c r="K351" s="478"/>
      <c r="L351" s="477"/>
      <c r="M351" s="476"/>
      <c r="O351" s="471"/>
      <c r="P351" s="471"/>
    </row>
    <row r="352" spans="1:16" s="470" customFormat="1" ht="12.75">
      <c r="A352" s="476"/>
      <c r="B352" s="476"/>
      <c r="C352" s="477"/>
      <c r="D352" s="477"/>
      <c r="E352" s="476"/>
      <c r="F352" s="477"/>
      <c r="G352" s="477"/>
      <c r="H352" s="477"/>
      <c r="I352" s="478"/>
      <c r="J352" s="477"/>
      <c r="K352" s="478"/>
      <c r="L352" s="477"/>
      <c r="M352" s="476"/>
      <c r="O352" s="471"/>
      <c r="P352" s="471"/>
    </row>
    <row r="353" spans="1:16" s="470" customFormat="1" ht="12.75">
      <c r="A353" s="476"/>
      <c r="B353" s="476"/>
      <c r="C353" s="477"/>
      <c r="D353" s="477"/>
      <c r="E353" s="476"/>
      <c r="F353" s="477"/>
      <c r="G353" s="477"/>
      <c r="H353" s="477"/>
      <c r="I353" s="478"/>
      <c r="J353" s="477"/>
      <c r="K353" s="478"/>
      <c r="L353" s="477"/>
      <c r="M353" s="476"/>
      <c r="O353" s="471"/>
      <c r="P353" s="471"/>
    </row>
    <row r="354" spans="1:16" s="470" customFormat="1" ht="12.75">
      <c r="A354" s="476"/>
      <c r="B354" s="476"/>
      <c r="C354" s="477"/>
      <c r="D354" s="477"/>
      <c r="E354" s="476"/>
      <c r="F354" s="477"/>
      <c r="G354" s="477"/>
      <c r="H354" s="477"/>
      <c r="I354" s="478"/>
      <c r="J354" s="477"/>
      <c r="K354" s="478"/>
      <c r="L354" s="477"/>
      <c r="M354" s="476"/>
      <c r="O354" s="471"/>
      <c r="P354" s="471"/>
    </row>
    <row r="355" spans="1:16" s="470" customFormat="1" ht="12.75">
      <c r="A355" s="476"/>
      <c r="B355" s="476"/>
      <c r="C355" s="477"/>
      <c r="D355" s="477"/>
      <c r="E355" s="476"/>
      <c r="F355" s="477"/>
      <c r="G355" s="477"/>
      <c r="H355" s="477"/>
      <c r="I355" s="478"/>
      <c r="J355" s="477"/>
      <c r="K355" s="478"/>
      <c r="L355" s="477"/>
      <c r="M355" s="476"/>
      <c r="O355" s="471"/>
      <c r="P355" s="471"/>
    </row>
    <row r="356" spans="1:16" s="470" customFormat="1" ht="12.75">
      <c r="A356" s="476"/>
      <c r="B356" s="476"/>
      <c r="C356" s="477"/>
      <c r="D356" s="477"/>
      <c r="E356" s="476"/>
      <c r="F356" s="477"/>
      <c r="G356" s="477"/>
      <c r="H356" s="477"/>
      <c r="I356" s="478"/>
      <c r="J356" s="477"/>
      <c r="K356" s="478"/>
      <c r="L356" s="477"/>
      <c r="M356" s="476"/>
      <c r="O356" s="471"/>
      <c r="P356" s="471"/>
    </row>
    <row r="357" spans="1:16" s="470" customFormat="1" ht="12.75">
      <c r="A357" s="476"/>
      <c r="B357" s="476"/>
      <c r="C357" s="477"/>
      <c r="D357" s="477"/>
      <c r="E357" s="476"/>
      <c r="F357" s="477"/>
      <c r="G357" s="477"/>
      <c r="H357" s="477"/>
      <c r="I357" s="478"/>
      <c r="J357" s="477"/>
      <c r="K357" s="478"/>
      <c r="L357" s="477"/>
      <c r="M357" s="476"/>
      <c r="O357" s="471"/>
      <c r="P357" s="471"/>
    </row>
    <row r="358" spans="1:16" s="470" customFormat="1" ht="12.75">
      <c r="A358" s="476"/>
      <c r="B358" s="476"/>
      <c r="C358" s="477"/>
      <c r="D358" s="477"/>
      <c r="E358" s="476"/>
      <c r="F358" s="477"/>
      <c r="G358" s="477"/>
      <c r="H358" s="477"/>
      <c r="I358" s="478"/>
      <c r="J358" s="477"/>
      <c r="K358" s="478"/>
      <c r="L358" s="477"/>
      <c r="M358" s="476"/>
      <c r="O358" s="471"/>
      <c r="P358" s="471"/>
    </row>
    <row r="359" spans="1:16" s="470" customFormat="1" ht="12.75">
      <c r="A359" s="476"/>
      <c r="B359" s="476"/>
      <c r="C359" s="477"/>
      <c r="D359" s="477"/>
      <c r="E359" s="476"/>
      <c r="F359" s="477"/>
      <c r="G359" s="477"/>
      <c r="H359" s="477"/>
      <c r="I359" s="478"/>
      <c r="J359" s="477"/>
      <c r="K359" s="478"/>
      <c r="L359" s="477"/>
      <c r="M359" s="476"/>
      <c r="O359" s="471"/>
      <c r="P359" s="471"/>
    </row>
    <row r="360" spans="1:16" s="470" customFormat="1" ht="12.75">
      <c r="A360" s="476"/>
      <c r="B360" s="476"/>
      <c r="C360" s="477"/>
      <c r="D360" s="477"/>
      <c r="E360" s="476"/>
      <c r="F360" s="477"/>
      <c r="G360" s="477"/>
      <c r="H360" s="477"/>
      <c r="I360" s="478"/>
      <c r="J360" s="477"/>
      <c r="K360" s="478"/>
      <c r="L360" s="477"/>
      <c r="M360" s="476"/>
      <c r="O360" s="471"/>
      <c r="P360" s="471"/>
    </row>
    <row r="361" spans="1:16" s="470" customFormat="1" ht="12.75">
      <c r="A361" s="476"/>
      <c r="B361" s="476"/>
      <c r="C361" s="477"/>
      <c r="D361" s="477"/>
      <c r="E361" s="476"/>
      <c r="F361" s="477"/>
      <c r="G361" s="477"/>
      <c r="H361" s="477"/>
      <c r="I361" s="478"/>
      <c r="J361" s="477"/>
      <c r="K361" s="478"/>
      <c r="L361" s="477"/>
      <c r="M361" s="476"/>
      <c r="O361" s="471"/>
      <c r="P361" s="471"/>
    </row>
    <row r="362" spans="1:16" s="470" customFormat="1" ht="12.75">
      <c r="A362" s="476"/>
      <c r="B362" s="476"/>
      <c r="C362" s="477"/>
      <c r="D362" s="477"/>
      <c r="E362" s="476"/>
      <c r="F362" s="477"/>
      <c r="G362" s="477"/>
      <c r="H362" s="477"/>
      <c r="I362" s="478"/>
      <c r="J362" s="477"/>
      <c r="K362" s="478"/>
      <c r="L362" s="477"/>
      <c r="M362" s="476"/>
      <c r="O362" s="471"/>
      <c r="P362" s="471"/>
    </row>
    <row r="363" spans="1:16" s="470" customFormat="1" ht="12.75">
      <c r="A363" s="476"/>
      <c r="B363" s="476"/>
      <c r="C363" s="477"/>
      <c r="D363" s="477"/>
      <c r="E363" s="476"/>
      <c r="F363" s="477"/>
      <c r="G363" s="477"/>
      <c r="H363" s="477"/>
      <c r="I363" s="478"/>
      <c r="J363" s="477"/>
      <c r="K363" s="478"/>
      <c r="L363" s="477"/>
      <c r="M363" s="476"/>
      <c r="O363" s="471"/>
      <c r="P363" s="471"/>
    </row>
    <row r="364" spans="1:16" s="470" customFormat="1" ht="12.75">
      <c r="A364" s="476"/>
      <c r="B364" s="476"/>
      <c r="C364" s="477"/>
      <c r="D364" s="477"/>
      <c r="E364" s="476"/>
      <c r="F364" s="477"/>
      <c r="G364" s="477"/>
      <c r="H364" s="477"/>
      <c r="I364" s="478"/>
      <c r="J364" s="477"/>
      <c r="K364" s="478"/>
      <c r="L364" s="477"/>
      <c r="M364" s="476"/>
      <c r="O364" s="471"/>
      <c r="P364" s="471"/>
    </row>
    <row r="365" spans="1:16" s="470" customFormat="1" ht="12.75">
      <c r="A365" s="476"/>
      <c r="B365" s="476"/>
      <c r="C365" s="477"/>
      <c r="D365" s="477"/>
      <c r="E365" s="476"/>
      <c r="F365" s="477"/>
      <c r="G365" s="477"/>
      <c r="H365" s="477"/>
      <c r="I365" s="478"/>
      <c r="J365" s="477"/>
      <c r="K365" s="478"/>
      <c r="L365" s="477"/>
      <c r="M365" s="476"/>
      <c r="O365" s="471"/>
      <c r="P365" s="471"/>
    </row>
    <row r="366" spans="1:16" s="470" customFormat="1" ht="12.75">
      <c r="A366" s="476"/>
      <c r="B366" s="476"/>
      <c r="C366" s="477"/>
      <c r="D366" s="477"/>
      <c r="E366" s="476"/>
      <c r="F366" s="477"/>
      <c r="G366" s="477"/>
      <c r="H366" s="477"/>
      <c r="I366" s="478"/>
      <c r="J366" s="477"/>
      <c r="K366" s="478"/>
      <c r="L366" s="477"/>
      <c r="M366" s="476"/>
      <c r="O366" s="471"/>
      <c r="P366" s="471"/>
    </row>
    <row r="367" spans="1:16" s="470" customFormat="1" ht="12.75">
      <c r="A367" s="476"/>
      <c r="B367" s="476"/>
      <c r="C367" s="477"/>
      <c r="D367" s="477"/>
      <c r="E367" s="476"/>
      <c r="F367" s="477"/>
      <c r="G367" s="477"/>
      <c r="H367" s="477"/>
      <c r="I367" s="478"/>
      <c r="J367" s="477"/>
      <c r="K367" s="478"/>
      <c r="L367" s="477"/>
      <c r="M367" s="476"/>
      <c r="O367" s="471"/>
      <c r="P367" s="471"/>
    </row>
    <row r="368" spans="1:16" s="470" customFormat="1" ht="12.75">
      <c r="A368" s="476"/>
      <c r="B368" s="476"/>
      <c r="C368" s="477"/>
      <c r="D368" s="477"/>
      <c r="E368" s="476"/>
      <c r="F368" s="477"/>
      <c r="G368" s="477"/>
      <c r="H368" s="477"/>
      <c r="I368" s="478"/>
      <c r="J368" s="477"/>
      <c r="K368" s="478"/>
      <c r="L368" s="477"/>
      <c r="M368" s="476"/>
      <c r="O368" s="471"/>
      <c r="P368" s="471"/>
    </row>
    <row r="369" spans="1:16" s="470" customFormat="1" ht="12.75">
      <c r="A369" s="476"/>
      <c r="B369" s="476"/>
      <c r="C369" s="477"/>
      <c r="D369" s="477"/>
      <c r="E369" s="476"/>
      <c r="F369" s="477"/>
      <c r="G369" s="477"/>
      <c r="H369" s="477"/>
      <c r="I369" s="478"/>
      <c r="J369" s="477"/>
      <c r="K369" s="478"/>
      <c r="L369" s="477"/>
      <c r="M369" s="476"/>
      <c r="O369" s="471"/>
      <c r="P369" s="471"/>
    </row>
    <row r="370" spans="1:16" s="470" customFormat="1" ht="12.75">
      <c r="A370" s="476"/>
      <c r="B370" s="476"/>
      <c r="C370" s="477"/>
      <c r="D370" s="477"/>
      <c r="E370" s="476"/>
      <c r="F370" s="477"/>
      <c r="G370" s="477"/>
      <c r="H370" s="477"/>
      <c r="I370" s="478"/>
      <c r="J370" s="477"/>
      <c r="K370" s="478"/>
      <c r="L370" s="477"/>
      <c r="M370" s="476"/>
      <c r="O370" s="471"/>
      <c r="P370" s="471"/>
    </row>
    <row r="371" spans="1:16" s="470" customFormat="1" ht="12.75">
      <c r="A371" s="476"/>
      <c r="B371" s="476"/>
      <c r="C371" s="477"/>
      <c r="D371" s="477"/>
      <c r="E371" s="476"/>
      <c r="F371" s="477"/>
      <c r="G371" s="477"/>
      <c r="H371" s="477"/>
      <c r="I371" s="478"/>
      <c r="J371" s="477"/>
      <c r="K371" s="478"/>
      <c r="L371" s="477"/>
      <c r="M371" s="476"/>
      <c r="O371" s="471"/>
      <c r="P371" s="471"/>
    </row>
    <row r="372" spans="1:16" s="470" customFormat="1" ht="12.75">
      <c r="A372" s="476"/>
      <c r="B372" s="476"/>
      <c r="C372" s="477"/>
      <c r="D372" s="477"/>
      <c r="E372" s="476"/>
      <c r="F372" s="477"/>
      <c r="G372" s="477"/>
      <c r="H372" s="477"/>
      <c r="I372" s="478"/>
      <c r="J372" s="477"/>
      <c r="K372" s="478"/>
      <c r="L372" s="477"/>
      <c r="M372" s="476"/>
      <c r="O372" s="471"/>
      <c r="P372" s="471"/>
    </row>
    <row r="373" spans="1:16" s="470" customFormat="1" ht="12.75">
      <c r="A373" s="476"/>
      <c r="B373" s="476"/>
      <c r="C373" s="477"/>
      <c r="D373" s="477"/>
      <c r="E373" s="476"/>
      <c r="F373" s="477"/>
      <c r="G373" s="477"/>
      <c r="H373" s="477"/>
      <c r="I373" s="478"/>
      <c r="J373" s="477"/>
      <c r="K373" s="478"/>
      <c r="L373" s="477"/>
      <c r="M373" s="476"/>
      <c r="O373" s="471"/>
      <c r="P373" s="471"/>
    </row>
    <row r="374" spans="1:16" s="470" customFormat="1" ht="12.75">
      <c r="A374" s="476"/>
      <c r="B374" s="476"/>
      <c r="C374" s="477"/>
      <c r="D374" s="477"/>
      <c r="E374" s="476"/>
      <c r="F374" s="477"/>
      <c r="G374" s="477"/>
      <c r="H374" s="477"/>
      <c r="I374" s="478"/>
      <c r="J374" s="477"/>
      <c r="K374" s="478"/>
      <c r="L374" s="477"/>
      <c r="M374" s="476"/>
      <c r="O374" s="471"/>
      <c r="P374" s="471"/>
    </row>
    <row r="375" spans="1:16" s="470" customFormat="1" ht="12.75">
      <c r="A375" s="476"/>
      <c r="B375" s="476"/>
      <c r="C375" s="477"/>
      <c r="D375" s="477"/>
      <c r="E375" s="476"/>
      <c r="F375" s="477"/>
      <c r="G375" s="477"/>
      <c r="H375" s="477"/>
      <c r="I375" s="478"/>
      <c r="J375" s="477"/>
      <c r="K375" s="478"/>
      <c r="L375" s="477"/>
      <c r="M375" s="476"/>
      <c r="O375" s="471"/>
      <c r="P375" s="471"/>
    </row>
    <row r="376" spans="1:16" s="470" customFormat="1" ht="12.75">
      <c r="A376" s="476"/>
      <c r="B376" s="476"/>
      <c r="C376" s="477"/>
      <c r="D376" s="477"/>
      <c r="E376" s="476"/>
      <c r="F376" s="477"/>
      <c r="G376" s="477"/>
      <c r="H376" s="477"/>
      <c r="I376" s="478"/>
      <c r="J376" s="477"/>
      <c r="K376" s="478"/>
      <c r="L376" s="477"/>
      <c r="M376" s="476"/>
      <c r="O376" s="471"/>
      <c r="P376" s="471"/>
    </row>
    <row r="377" spans="1:16" s="470" customFormat="1" ht="12.75">
      <c r="A377" s="476"/>
      <c r="B377" s="476"/>
      <c r="C377" s="477"/>
      <c r="D377" s="477"/>
      <c r="E377" s="476"/>
      <c r="F377" s="477"/>
      <c r="G377" s="477"/>
      <c r="H377" s="477"/>
      <c r="I377" s="478"/>
      <c r="J377" s="477"/>
      <c r="K377" s="478"/>
      <c r="L377" s="477"/>
      <c r="M377" s="476"/>
      <c r="O377" s="471"/>
      <c r="P377" s="471"/>
    </row>
    <row r="378" spans="1:16" s="470" customFormat="1" ht="12.75">
      <c r="A378" s="476"/>
      <c r="B378" s="476"/>
      <c r="C378" s="477"/>
      <c r="D378" s="477"/>
      <c r="E378" s="476"/>
      <c r="F378" s="477"/>
      <c r="G378" s="477"/>
      <c r="H378" s="477"/>
      <c r="I378" s="478"/>
      <c r="J378" s="477"/>
      <c r="K378" s="478"/>
      <c r="L378" s="477"/>
      <c r="M378" s="476"/>
      <c r="O378" s="471"/>
      <c r="P378" s="471"/>
    </row>
    <row r="379" spans="1:16" s="470" customFormat="1" ht="12.75">
      <c r="A379" s="476"/>
      <c r="B379" s="476"/>
      <c r="C379" s="477"/>
      <c r="D379" s="477"/>
      <c r="E379" s="476"/>
      <c r="F379" s="477"/>
      <c r="G379" s="477"/>
      <c r="H379" s="477"/>
      <c r="I379" s="478"/>
      <c r="J379" s="477"/>
      <c r="K379" s="478"/>
      <c r="L379" s="477"/>
      <c r="M379" s="476"/>
      <c r="O379" s="471"/>
      <c r="P379" s="471"/>
    </row>
    <row r="380" spans="1:16" s="470" customFormat="1" ht="12.75">
      <c r="A380" s="476"/>
      <c r="B380" s="476"/>
      <c r="C380" s="477"/>
      <c r="D380" s="477"/>
      <c r="E380" s="476"/>
      <c r="F380" s="477"/>
      <c r="G380" s="477"/>
      <c r="H380" s="477"/>
      <c r="I380" s="478"/>
      <c r="J380" s="477"/>
      <c r="K380" s="478"/>
      <c r="L380" s="477"/>
      <c r="M380" s="476"/>
      <c r="O380" s="471"/>
      <c r="P380" s="471"/>
    </row>
    <row r="381" spans="1:16" s="470" customFormat="1" ht="12.75">
      <c r="A381" s="476"/>
      <c r="B381" s="476"/>
      <c r="C381" s="477"/>
      <c r="D381" s="477"/>
      <c r="E381" s="476"/>
      <c r="F381" s="477"/>
      <c r="G381" s="477"/>
      <c r="H381" s="477"/>
      <c r="I381" s="478"/>
      <c r="J381" s="477"/>
      <c r="K381" s="478"/>
      <c r="L381" s="477"/>
      <c r="M381" s="476"/>
      <c r="O381" s="471"/>
      <c r="P381" s="471"/>
    </row>
    <row r="382" spans="1:16" s="470" customFormat="1" ht="12.75">
      <c r="A382" s="476"/>
      <c r="B382" s="476"/>
      <c r="C382" s="477"/>
      <c r="D382" s="477"/>
      <c r="E382" s="476"/>
      <c r="F382" s="477"/>
      <c r="G382" s="477"/>
      <c r="H382" s="477"/>
      <c r="I382" s="478"/>
      <c r="J382" s="477"/>
      <c r="K382" s="478"/>
      <c r="L382" s="477"/>
      <c r="M382" s="476"/>
      <c r="O382" s="471"/>
      <c r="P382" s="471"/>
    </row>
    <row r="383" spans="1:16" s="470" customFormat="1" ht="12.75">
      <c r="A383" s="476"/>
      <c r="B383" s="476"/>
      <c r="C383" s="477"/>
      <c r="D383" s="477"/>
      <c r="E383" s="476"/>
      <c r="F383" s="477"/>
      <c r="G383" s="477"/>
      <c r="H383" s="477"/>
      <c r="I383" s="478"/>
      <c r="J383" s="477"/>
      <c r="K383" s="478"/>
      <c r="L383" s="477"/>
      <c r="M383" s="476"/>
      <c r="O383" s="471"/>
      <c r="P383" s="471"/>
    </row>
    <row r="384" spans="1:16" s="470" customFormat="1" ht="12.75">
      <c r="A384" s="476"/>
      <c r="B384" s="476"/>
      <c r="C384" s="477"/>
      <c r="D384" s="477"/>
      <c r="E384" s="476"/>
      <c r="F384" s="477"/>
      <c r="G384" s="477"/>
      <c r="H384" s="477"/>
      <c r="I384" s="478"/>
      <c r="J384" s="477"/>
      <c r="K384" s="478"/>
      <c r="L384" s="477"/>
      <c r="M384" s="476"/>
      <c r="O384" s="471"/>
      <c r="P384" s="471"/>
    </row>
    <row r="385" spans="1:16" s="470" customFormat="1" ht="12.75">
      <c r="A385" s="476"/>
      <c r="B385" s="476"/>
      <c r="C385" s="477"/>
      <c r="D385" s="477"/>
      <c r="E385" s="476"/>
      <c r="F385" s="477"/>
      <c r="G385" s="477"/>
      <c r="H385" s="477"/>
      <c r="I385" s="478"/>
      <c r="J385" s="477"/>
      <c r="K385" s="478"/>
      <c r="L385" s="477"/>
      <c r="M385" s="476"/>
      <c r="O385" s="471"/>
      <c r="P385" s="471"/>
    </row>
    <row r="386" spans="1:16" s="470" customFormat="1" ht="12.75">
      <c r="A386" s="476"/>
      <c r="B386" s="476"/>
      <c r="C386" s="477"/>
      <c r="D386" s="477"/>
      <c r="E386" s="476"/>
      <c r="F386" s="477"/>
      <c r="G386" s="477"/>
      <c r="H386" s="477"/>
      <c r="I386" s="478"/>
      <c r="J386" s="477"/>
      <c r="K386" s="478"/>
      <c r="L386" s="477"/>
      <c r="M386" s="476"/>
      <c r="O386" s="471"/>
      <c r="P386" s="471"/>
    </row>
    <row r="387" spans="1:16" s="470" customFormat="1" ht="12.75">
      <c r="A387" s="476"/>
      <c r="B387" s="476"/>
      <c r="C387" s="477"/>
      <c r="D387" s="477"/>
      <c r="E387" s="476"/>
      <c r="F387" s="477"/>
      <c r="G387" s="477"/>
      <c r="H387" s="477"/>
      <c r="I387" s="478"/>
      <c r="J387" s="477"/>
      <c r="K387" s="478"/>
      <c r="L387" s="477"/>
      <c r="M387" s="476"/>
      <c r="O387" s="471"/>
      <c r="P387" s="471"/>
    </row>
    <row r="388" spans="1:16" s="470" customFormat="1" ht="12.75">
      <c r="A388" s="476"/>
      <c r="B388" s="476"/>
      <c r="C388" s="477"/>
      <c r="D388" s="477"/>
      <c r="E388" s="476"/>
      <c r="F388" s="477"/>
      <c r="G388" s="477"/>
      <c r="H388" s="477"/>
      <c r="I388" s="478"/>
      <c r="J388" s="477"/>
      <c r="K388" s="478"/>
      <c r="L388" s="477"/>
      <c r="M388" s="476"/>
      <c r="O388" s="471"/>
      <c r="P388" s="471"/>
    </row>
    <row r="389" spans="1:16" s="470" customFormat="1" ht="12.75">
      <c r="A389" s="476"/>
      <c r="B389" s="476"/>
      <c r="C389" s="477"/>
      <c r="D389" s="477"/>
      <c r="E389" s="476"/>
      <c r="F389" s="477"/>
      <c r="G389" s="477"/>
      <c r="H389" s="477"/>
      <c r="I389" s="478"/>
      <c r="J389" s="477"/>
      <c r="K389" s="478"/>
      <c r="L389" s="477"/>
      <c r="M389" s="476"/>
      <c r="O389" s="471"/>
      <c r="P389" s="471"/>
    </row>
    <row r="390" spans="1:16" s="470" customFormat="1" ht="12.75">
      <c r="A390" s="476"/>
      <c r="B390" s="476"/>
      <c r="C390" s="477"/>
      <c r="D390" s="477"/>
      <c r="E390" s="476"/>
      <c r="F390" s="477"/>
      <c r="G390" s="477"/>
      <c r="H390" s="477"/>
      <c r="I390" s="478"/>
      <c r="J390" s="477"/>
      <c r="K390" s="478"/>
      <c r="L390" s="477"/>
      <c r="M390" s="476"/>
      <c r="O390" s="471"/>
      <c r="P390" s="471"/>
    </row>
    <row r="391" spans="1:16" s="470" customFormat="1" ht="12.75">
      <c r="A391" s="476"/>
      <c r="B391" s="476"/>
      <c r="C391" s="477"/>
      <c r="D391" s="477"/>
      <c r="E391" s="476"/>
      <c r="F391" s="477"/>
      <c r="G391" s="477"/>
      <c r="H391" s="477"/>
      <c r="I391" s="478"/>
      <c r="J391" s="477"/>
      <c r="K391" s="478"/>
      <c r="L391" s="477"/>
      <c r="M391" s="476"/>
      <c r="O391" s="471"/>
      <c r="P391" s="471"/>
    </row>
    <row r="392" spans="1:16" s="470" customFormat="1" ht="12.75">
      <c r="A392" s="476"/>
      <c r="B392" s="476"/>
      <c r="C392" s="477"/>
      <c r="D392" s="477"/>
      <c r="E392" s="476"/>
      <c r="F392" s="477"/>
      <c r="G392" s="477"/>
      <c r="H392" s="477"/>
      <c r="I392" s="478"/>
      <c r="J392" s="477"/>
      <c r="K392" s="478"/>
      <c r="L392" s="477"/>
      <c r="M392" s="476"/>
      <c r="O392" s="471"/>
      <c r="P392" s="471"/>
    </row>
    <row r="393" spans="1:16" s="470" customFormat="1" ht="12.75">
      <c r="A393" s="476"/>
      <c r="B393" s="476"/>
      <c r="C393" s="477"/>
      <c r="D393" s="477"/>
      <c r="E393" s="476"/>
      <c r="F393" s="477"/>
      <c r="G393" s="477"/>
      <c r="H393" s="477"/>
      <c r="I393" s="478"/>
      <c r="J393" s="477"/>
      <c r="K393" s="478"/>
      <c r="L393" s="477"/>
      <c r="M393" s="476"/>
      <c r="O393" s="471"/>
      <c r="P393" s="471"/>
    </row>
    <row r="394" spans="1:16" s="470" customFormat="1" ht="12.75">
      <c r="A394" s="476"/>
      <c r="B394" s="476"/>
      <c r="C394" s="477"/>
      <c r="D394" s="477"/>
      <c r="E394" s="476"/>
      <c r="F394" s="477"/>
      <c r="G394" s="477"/>
      <c r="H394" s="477"/>
      <c r="I394" s="478"/>
      <c r="J394" s="477"/>
      <c r="K394" s="478"/>
      <c r="L394" s="477"/>
      <c r="M394" s="476"/>
      <c r="O394" s="471"/>
      <c r="P394" s="471"/>
    </row>
    <row r="395" spans="1:16" s="470" customFormat="1" ht="12.75">
      <c r="A395" s="476"/>
      <c r="B395" s="476"/>
      <c r="C395" s="477"/>
      <c r="D395" s="477"/>
      <c r="E395" s="476"/>
      <c r="F395" s="477"/>
      <c r="G395" s="477"/>
      <c r="H395" s="477"/>
      <c r="I395" s="478"/>
      <c r="J395" s="477"/>
      <c r="K395" s="478"/>
      <c r="L395" s="477"/>
      <c r="M395" s="476"/>
      <c r="O395" s="471"/>
      <c r="P395" s="471"/>
    </row>
    <row r="396" spans="1:16" s="470" customFormat="1" ht="12.75">
      <c r="A396" s="476"/>
      <c r="B396" s="476"/>
      <c r="C396" s="477"/>
      <c r="D396" s="477"/>
      <c r="E396" s="476"/>
      <c r="F396" s="477"/>
      <c r="G396" s="477"/>
      <c r="H396" s="477"/>
      <c r="I396" s="478"/>
      <c r="J396" s="477"/>
      <c r="K396" s="478"/>
      <c r="L396" s="477"/>
      <c r="M396" s="476"/>
      <c r="O396" s="471"/>
      <c r="P396" s="471"/>
    </row>
    <row r="397" spans="1:16" s="470" customFormat="1" ht="12.75">
      <c r="A397" s="476"/>
      <c r="B397" s="476"/>
      <c r="C397" s="477"/>
      <c r="D397" s="477"/>
      <c r="E397" s="476"/>
      <c r="F397" s="477"/>
      <c r="G397" s="477"/>
      <c r="H397" s="477"/>
      <c r="I397" s="478"/>
      <c r="J397" s="477"/>
      <c r="K397" s="478"/>
      <c r="L397" s="477"/>
      <c r="M397" s="476"/>
      <c r="O397" s="471"/>
      <c r="P397" s="471"/>
    </row>
    <row r="398" spans="1:16" s="470" customFormat="1" ht="12.75">
      <c r="A398" s="476"/>
      <c r="B398" s="476"/>
      <c r="C398" s="477"/>
      <c r="D398" s="477"/>
      <c r="E398" s="476"/>
      <c r="F398" s="477"/>
      <c r="G398" s="477"/>
      <c r="H398" s="477"/>
      <c r="I398" s="478"/>
      <c r="J398" s="477"/>
      <c r="K398" s="478"/>
      <c r="L398" s="477"/>
      <c r="M398" s="476"/>
      <c r="O398" s="471"/>
      <c r="P398" s="471"/>
    </row>
    <row r="399" spans="1:16" s="470" customFormat="1" ht="12.75">
      <c r="A399" s="476"/>
      <c r="B399" s="476"/>
      <c r="C399" s="477"/>
      <c r="D399" s="477"/>
      <c r="E399" s="476"/>
      <c r="F399" s="477"/>
      <c r="G399" s="477"/>
      <c r="H399" s="477"/>
      <c r="I399" s="478"/>
      <c r="J399" s="477"/>
      <c r="K399" s="478"/>
      <c r="L399" s="477"/>
      <c r="M399" s="476"/>
      <c r="O399" s="471"/>
      <c r="P399" s="471"/>
    </row>
    <row r="400" spans="1:16" s="470" customFormat="1" ht="12.75">
      <c r="A400" s="476"/>
      <c r="B400" s="476"/>
      <c r="C400" s="477"/>
      <c r="D400" s="477"/>
      <c r="E400" s="476"/>
      <c r="F400" s="477"/>
      <c r="G400" s="477"/>
      <c r="H400" s="477"/>
      <c r="I400" s="478"/>
      <c r="J400" s="477"/>
      <c r="K400" s="478"/>
      <c r="L400" s="477"/>
      <c r="M400" s="476"/>
      <c r="O400" s="471"/>
      <c r="P400" s="471"/>
    </row>
    <row r="401" spans="1:16" s="470" customFormat="1" ht="12.75">
      <c r="A401" s="476"/>
      <c r="B401" s="476"/>
      <c r="C401" s="477"/>
      <c r="D401" s="477"/>
      <c r="E401" s="476"/>
      <c r="F401" s="477"/>
      <c r="G401" s="477"/>
      <c r="H401" s="477"/>
      <c r="I401" s="478"/>
      <c r="J401" s="477"/>
      <c r="K401" s="478"/>
      <c r="L401" s="477"/>
      <c r="M401" s="476"/>
      <c r="O401" s="471"/>
      <c r="P401" s="471"/>
    </row>
    <row r="402" spans="1:16" s="470" customFormat="1" ht="12.75">
      <c r="A402" s="476"/>
      <c r="B402" s="476"/>
      <c r="C402" s="477"/>
      <c r="D402" s="477"/>
      <c r="E402" s="476"/>
      <c r="F402" s="477"/>
      <c r="G402" s="477"/>
      <c r="H402" s="477"/>
      <c r="I402" s="478"/>
      <c r="J402" s="477"/>
      <c r="K402" s="478"/>
      <c r="L402" s="477"/>
      <c r="M402" s="476"/>
      <c r="O402" s="471"/>
      <c r="P402" s="471"/>
    </row>
    <row r="403" spans="1:16" s="470" customFormat="1" ht="12.75">
      <c r="A403" s="476"/>
      <c r="B403" s="476"/>
      <c r="C403" s="477"/>
      <c r="D403" s="477"/>
      <c r="E403" s="476"/>
      <c r="F403" s="477"/>
      <c r="G403" s="477"/>
      <c r="H403" s="477"/>
      <c r="I403" s="478"/>
      <c r="J403" s="477"/>
      <c r="K403" s="478"/>
      <c r="L403" s="477"/>
      <c r="M403" s="476"/>
      <c r="O403" s="471"/>
      <c r="P403" s="471"/>
    </row>
    <row r="404" spans="1:16" s="470" customFormat="1" ht="12.75">
      <c r="A404" s="476"/>
      <c r="B404" s="476"/>
      <c r="C404" s="477"/>
      <c r="D404" s="477"/>
      <c r="E404" s="476"/>
      <c r="F404" s="477"/>
      <c r="G404" s="477"/>
      <c r="H404" s="477"/>
      <c r="I404" s="478"/>
      <c r="J404" s="477"/>
      <c r="K404" s="478"/>
      <c r="L404" s="477"/>
      <c r="M404" s="476"/>
      <c r="O404" s="471"/>
      <c r="P404" s="471"/>
    </row>
    <row r="405" spans="1:16" s="470" customFormat="1" ht="12.75">
      <c r="A405" s="476"/>
      <c r="B405" s="476"/>
      <c r="C405" s="477"/>
      <c r="D405" s="477"/>
      <c r="E405" s="476"/>
      <c r="F405" s="477"/>
      <c r="G405" s="477"/>
      <c r="H405" s="477"/>
      <c r="I405" s="478"/>
      <c r="J405" s="477"/>
      <c r="K405" s="478"/>
      <c r="L405" s="477"/>
      <c r="M405" s="476"/>
      <c r="O405" s="471"/>
      <c r="P405" s="471"/>
    </row>
    <row r="406" spans="1:16" s="470" customFormat="1" ht="12.75">
      <c r="A406" s="476"/>
      <c r="B406" s="476"/>
      <c r="C406" s="477"/>
      <c r="D406" s="477"/>
      <c r="E406" s="476"/>
      <c r="F406" s="477"/>
      <c r="G406" s="477"/>
      <c r="H406" s="477"/>
      <c r="I406" s="478"/>
      <c r="J406" s="477"/>
      <c r="K406" s="478"/>
      <c r="L406" s="477"/>
      <c r="M406" s="476"/>
      <c r="O406" s="471"/>
      <c r="P406" s="471"/>
    </row>
    <row r="407" spans="1:16" s="470" customFormat="1" ht="12.75">
      <c r="A407" s="476"/>
      <c r="B407" s="476"/>
      <c r="C407" s="477"/>
      <c r="D407" s="477"/>
      <c r="E407" s="476"/>
      <c r="F407" s="477"/>
      <c r="G407" s="477"/>
      <c r="H407" s="477"/>
      <c r="I407" s="478"/>
      <c r="J407" s="477"/>
      <c r="K407" s="478"/>
      <c r="L407" s="477"/>
      <c r="M407" s="476"/>
      <c r="O407" s="471"/>
      <c r="P407" s="471"/>
    </row>
    <row r="408" spans="1:16" s="470" customFormat="1" ht="12.75">
      <c r="A408" s="476"/>
      <c r="B408" s="476"/>
      <c r="C408" s="477"/>
      <c r="D408" s="477"/>
      <c r="E408" s="476"/>
      <c r="F408" s="477"/>
      <c r="G408" s="477"/>
      <c r="H408" s="477"/>
      <c r="I408" s="478"/>
      <c r="J408" s="477"/>
      <c r="K408" s="478"/>
      <c r="L408" s="477"/>
      <c r="M408" s="476"/>
      <c r="O408" s="471"/>
      <c r="P408" s="471"/>
    </row>
    <row r="409" spans="1:16" s="470" customFormat="1" ht="12.75">
      <c r="A409" s="476"/>
      <c r="B409" s="476"/>
      <c r="C409" s="477"/>
      <c r="D409" s="477"/>
      <c r="E409" s="476"/>
      <c r="F409" s="477"/>
      <c r="G409" s="477"/>
      <c r="H409" s="477"/>
      <c r="I409" s="478"/>
      <c r="J409" s="477"/>
      <c r="K409" s="478"/>
      <c r="L409" s="477"/>
      <c r="M409" s="476"/>
      <c r="O409" s="471"/>
      <c r="P409" s="471"/>
    </row>
    <row r="410" spans="1:16" s="470" customFormat="1" ht="12.75">
      <c r="A410" s="476"/>
      <c r="B410" s="476"/>
      <c r="C410" s="477"/>
      <c r="D410" s="477"/>
      <c r="E410" s="476"/>
      <c r="F410" s="477"/>
      <c r="G410" s="477"/>
      <c r="H410" s="477"/>
      <c r="I410" s="478"/>
      <c r="J410" s="477"/>
      <c r="K410" s="478"/>
      <c r="L410" s="477"/>
      <c r="M410" s="476"/>
      <c r="O410" s="471"/>
      <c r="P410" s="471"/>
    </row>
    <row r="411" spans="1:16" s="470" customFormat="1" ht="12.75">
      <c r="A411" s="476"/>
      <c r="B411" s="476"/>
      <c r="C411" s="477"/>
      <c r="D411" s="477"/>
      <c r="E411" s="476"/>
      <c r="F411" s="477"/>
      <c r="G411" s="477"/>
      <c r="H411" s="477"/>
      <c r="I411" s="478"/>
      <c r="J411" s="477"/>
      <c r="K411" s="478"/>
      <c r="L411" s="477"/>
      <c r="M411" s="476"/>
      <c r="O411" s="471"/>
      <c r="P411" s="471"/>
    </row>
    <row r="412" spans="1:16" s="470" customFormat="1" ht="12.75">
      <c r="A412" s="476"/>
      <c r="B412" s="476"/>
      <c r="C412" s="477"/>
      <c r="D412" s="477"/>
      <c r="E412" s="476"/>
      <c r="F412" s="477"/>
      <c r="G412" s="477"/>
      <c r="H412" s="477"/>
      <c r="I412" s="478"/>
      <c r="J412" s="477"/>
      <c r="K412" s="478"/>
      <c r="L412" s="477"/>
      <c r="M412" s="476"/>
      <c r="O412" s="471"/>
      <c r="P412" s="471"/>
    </row>
    <row r="413" spans="1:16" s="470" customFormat="1" ht="12.75">
      <c r="A413" s="476"/>
      <c r="B413" s="476"/>
      <c r="C413" s="477"/>
      <c r="D413" s="477"/>
      <c r="E413" s="476"/>
      <c r="F413" s="477"/>
      <c r="G413" s="477"/>
      <c r="H413" s="477"/>
      <c r="I413" s="478"/>
      <c r="J413" s="477"/>
      <c r="K413" s="478"/>
      <c r="L413" s="477"/>
      <c r="M413" s="476"/>
      <c r="O413" s="471"/>
      <c r="P413" s="471"/>
    </row>
    <row r="414" spans="1:16" s="470" customFormat="1" ht="12.75">
      <c r="A414" s="476"/>
      <c r="B414" s="476"/>
      <c r="C414" s="477"/>
      <c r="D414" s="477"/>
      <c r="E414" s="476"/>
      <c r="F414" s="477"/>
      <c r="G414" s="477"/>
      <c r="H414" s="477"/>
      <c r="I414" s="478"/>
      <c r="J414" s="477"/>
      <c r="K414" s="478"/>
      <c r="L414" s="477"/>
      <c r="M414" s="476"/>
      <c r="O414" s="471"/>
      <c r="P414" s="471"/>
    </row>
    <row r="415" spans="1:16" s="470" customFormat="1" ht="12.75">
      <c r="A415" s="476"/>
      <c r="B415" s="476"/>
      <c r="C415" s="477"/>
      <c r="D415" s="477"/>
      <c r="E415" s="476"/>
      <c r="F415" s="477"/>
      <c r="G415" s="477"/>
      <c r="H415" s="477"/>
      <c r="I415" s="478"/>
      <c r="J415" s="477"/>
      <c r="K415" s="478"/>
      <c r="L415" s="477"/>
      <c r="M415" s="476"/>
      <c r="O415" s="471"/>
      <c r="P415" s="471"/>
    </row>
    <row r="416" spans="1:16" s="470" customFormat="1" ht="12.75">
      <c r="A416" s="476"/>
      <c r="B416" s="476"/>
      <c r="C416" s="477"/>
      <c r="D416" s="477"/>
      <c r="E416" s="476"/>
      <c r="F416" s="477"/>
      <c r="G416" s="477"/>
      <c r="H416" s="477"/>
      <c r="I416" s="478"/>
      <c r="J416" s="477"/>
      <c r="K416" s="478"/>
      <c r="L416" s="477"/>
      <c r="M416" s="476"/>
      <c r="O416" s="471"/>
      <c r="P416" s="471"/>
    </row>
    <row r="417" spans="1:16" s="470" customFormat="1" ht="12.75">
      <c r="A417" s="476"/>
      <c r="B417" s="476"/>
      <c r="C417" s="477"/>
      <c r="D417" s="477"/>
      <c r="E417" s="476"/>
      <c r="F417" s="477"/>
      <c r="G417" s="477"/>
      <c r="H417" s="477"/>
      <c r="I417" s="478"/>
      <c r="J417" s="477"/>
      <c r="K417" s="478"/>
      <c r="L417" s="477"/>
      <c r="M417" s="476"/>
      <c r="O417" s="471"/>
      <c r="P417" s="471"/>
    </row>
    <row r="418" spans="1:16" s="470" customFormat="1" ht="12.75">
      <c r="A418" s="476"/>
      <c r="B418" s="476"/>
      <c r="C418" s="477"/>
      <c r="D418" s="477"/>
      <c r="E418" s="476"/>
      <c r="F418" s="477"/>
      <c r="G418" s="477"/>
      <c r="H418" s="477"/>
      <c r="I418" s="478"/>
      <c r="J418" s="477"/>
      <c r="K418" s="478"/>
      <c r="L418" s="477"/>
      <c r="M418" s="476"/>
      <c r="O418" s="471"/>
      <c r="P418" s="471"/>
    </row>
    <row r="419" spans="1:16" s="470" customFormat="1" ht="12.75">
      <c r="A419" s="476"/>
      <c r="B419" s="476"/>
      <c r="C419" s="477"/>
      <c r="D419" s="477"/>
      <c r="E419" s="476"/>
      <c r="F419" s="477"/>
      <c r="G419" s="477"/>
      <c r="H419" s="477"/>
      <c r="I419" s="478"/>
      <c r="J419" s="477"/>
      <c r="K419" s="478"/>
      <c r="L419" s="477"/>
      <c r="M419" s="476"/>
      <c r="O419" s="471"/>
      <c r="P419" s="471"/>
    </row>
    <row r="420" spans="1:16" s="470" customFormat="1" ht="12.75">
      <c r="A420" s="476"/>
      <c r="B420" s="476"/>
      <c r="C420" s="477"/>
      <c r="D420" s="477"/>
      <c r="E420" s="476"/>
      <c r="F420" s="477"/>
      <c r="G420" s="477"/>
      <c r="H420" s="477"/>
      <c r="I420" s="478"/>
      <c r="J420" s="477"/>
      <c r="K420" s="478"/>
      <c r="L420" s="477"/>
      <c r="M420" s="476"/>
      <c r="O420" s="471"/>
      <c r="P420" s="471"/>
    </row>
    <row r="421" spans="1:16" s="470" customFormat="1" ht="12.75">
      <c r="A421" s="476"/>
      <c r="B421" s="476"/>
      <c r="C421" s="477"/>
      <c r="D421" s="477"/>
      <c r="E421" s="476"/>
      <c r="F421" s="477"/>
      <c r="G421" s="477"/>
      <c r="H421" s="477"/>
      <c r="I421" s="478"/>
      <c r="J421" s="477"/>
      <c r="K421" s="478"/>
      <c r="L421" s="477"/>
      <c r="M421" s="476"/>
      <c r="O421" s="471"/>
      <c r="P421" s="471"/>
    </row>
    <row r="422" spans="1:16" s="470" customFormat="1" ht="12.75">
      <c r="A422" s="476"/>
      <c r="B422" s="476"/>
      <c r="C422" s="477"/>
      <c r="D422" s="477"/>
      <c r="E422" s="476"/>
      <c r="F422" s="477"/>
      <c r="G422" s="477"/>
      <c r="H422" s="477"/>
      <c r="I422" s="478"/>
      <c r="J422" s="477"/>
      <c r="K422" s="478"/>
      <c r="L422" s="477"/>
      <c r="M422" s="476"/>
      <c r="O422" s="471"/>
      <c r="P422" s="471"/>
    </row>
    <row r="423" spans="1:16" s="470" customFormat="1" ht="12.75">
      <c r="A423" s="476"/>
      <c r="B423" s="476"/>
      <c r="C423" s="477"/>
      <c r="D423" s="477"/>
      <c r="E423" s="476"/>
      <c r="F423" s="477"/>
      <c r="G423" s="477"/>
      <c r="H423" s="477"/>
      <c r="I423" s="478"/>
      <c r="J423" s="477"/>
      <c r="K423" s="478"/>
      <c r="L423" s="477"/>
      <c r="M423" s="476"/>
      <c r="O423" s="471"/>
      <c r="P423" s="471"/>
    </row>
    <row r="424" spans="1:16" s="470" customFormat="1" ht="12.75">
      <c r="A424" s="476"/>
      <c r="B424" s="476"/>
      <c r="C424" s="477"/>
      <c r="D424" s="477"/>
      <c r="E424" s="476"/>
      <c r="F424" s="477"/>
      <c r="G424" s="477"/>
      <c r="H424" s="477"/>
      <c r="I424" s="478"/>
      <c r="J424" s="477"/>
      <c r="K424" s="478"/>
      <c r="L424" s="477"/>
      <c r="M424" s="476"/>
      <c r="O424" s="471"/>
      <c r="P424" s="471"/>
    </row>
    <row r="425" spans="1:16" s="470" customFormat="1" ht="12.75">
      <c r="A425" s="476"/>
      <c r="B425" s="476"/>
      <c r="C425" s="477"/>
      <c r="D425" s="477"/>
      <c r="E425" s="476"/>
      <c r="F425" s="477"/>
      <c r="G425" s="477"/>
      <c r="H425" s="477"/>
      <c r="I425" s="478"/>
      <c r="J425" s="477"/>
      <c r="K425" s="478"/>
      <c r="L425" s="477"/>
      <c r="M425" s="476"/>
      <c r="O425" s="471"/>
      <c r="P425" s="471"/>
    </row>
    <row r="426" spans="1:16" s="470" customFormat="1" ht="12.75">
      <c r="A426" s="476"/>
      <c r="B426" s="476"/>
      <c r="C426" s="477"/>
      <c r="D426" s="477"/>
      <c r="E426" s="476"/>
      <c r="F426" s="477"/>
      <c r="G426" s="477"/>
      <c r="H426" s="477"/>
      <c r="I426" s="478"/>
      <c r="J426" s="477"/>
      <c r="K426" s="478"/>
      <c r="L426" s="477"/>
      <c r="M426" s="476"/>
      <c r="O426" s="471"/>
      <c r="P426" s="471"/>
    </row>
    <row r="427" spans="1:16" s="470" customFormat="1" ht="12.75">
      <c r="A427" s="476"/>
      <c r="B427" s="476"/>
      <c r="C427" s="477"/>
      <c r="D427" s="477"/>
      <c r="E427" s="476"/>
      <c r="F427" s="477"/>
      <c r="G427" s="477"/>
      <c r="H427" s="477"/>
      <c r="I427" s="478"/>
      <c r="J427" s="477"/>
      <c r="K427" s="478"/>
      <c r="L427" s="477"/>
      <c r="M427" s="476"/>
      <c r="O427" s="471"/>
      <c r="P427" s="471"/>
    </row>
    <row r="428" spans="1:16" s="470" customFormat="1" ht="12.75">
      <c r="A428" s="476"/>
      <c r="B428" s="476"/>
      <c r="C428" s="477"/>
      <c r="D428" s="477"/>
      <c r="E428" s="476"/>
      <c r="F428" s="477"/>
      <c r="G428" s="477"/>
      <c r="H428" s="477"/>
      <c r="I428" s="478"/>
      <c r="J428" s="477"/>
      <c r="K428" s="478"/>
      <c r="L428" s="477"/>
      <c r="M428" s="476"/>
      <c r="O428" s="471"/>
      <c r="P428" s="471"/>
    </row>
    <row r="429" spans="1:16" s="470" customFormat="1" ht="12.75">
      <c r="A429" s="476"/>
      <c r="B429" s="476"/>
      <c r="C429" s="477"/>
      <c r="D429" s="477"/>
      <c r="E429" s="476"/>
      <c r="F429" s="477"/>
      <c r="G429" s="477"/>
      <c r="H429" s="477"/>
      <c r="I429" s="478"/>
      <c r="J429" s="477"/>
      <c r="K429" s="478"/>
      <c r="L429" s="477"/>
      <c r="M429" s="476"/>
      <c r="O429" s="471"/>
      <c r="P429" s="471"/>
    </row>
    <row r="430" spans="1:16" s="470" customFormat="1" ht="12.75">
      <c r="A430" s="476"/>
      <c r="B430" s="476"/>
      <c r="C430" s="477"/>
      <c r="D430" s="477"/>
      <c r="E430" s="476"/>
      <c r="F430" s="477"/>
      <c r="G430" s="477"/>
      <c r="H430" s="477"/>
      <c r="I430" s="478"/>
      <c r="J430" s="477"/>
      <c r="K430" s="478"/>
      <c r="L430" s="477"/>
      <c r="M430" s="476"/>
      <c r="O430" s="471"/>
      <c r="P430" s="471"/>
    </row>
    <row r="431" spans="1:16" s="470" customFormat="1" ht="12.75">
      <c r="A431" s="476"/>
      <c r="B431" s="476"/>
      <c r="C431" s="477"/>
      <c r="D431" s="477"/>
      <c r="E431" s="476"/>
      <c r="F431" s="477"/>
      <c r="G431" s="477"/>
      <c r="H431" s="477"/>
      <c r="I431" s="478"/>
      <c r="J431" s="477"/>
      <c r="K431" s="478"/>
      <c r="L431" s="477"/>
      <c r="M431" s="476"/>
      <c r="O431" s="471"/>
      <c r="P431" s="471"/>
    </row>
    <row r="432" spans="1:16" s="470" customFormat="1" ht="12.75">
      <c r="A432" s="476"/>
      <c r="B432" s="476"/>
      <c r="C432" s="477"/>
      <c r="D432" s="477"/>
      <c r="E432" s="476"/>
      <c r="F432" s="477"/>
      <c r="G432" s="477"/>
      <c r="H432" s="477"/>
      <c r="I432" s="478"/>
      <c r="J432" s="477"/>
      <c r="K432" s="478"/>
      <c r="L432" s="477"/>
      <c r="M432" s="476"/>
      <c r="O432" s="471"/>
      <c r="P432" s="471"/>
    </row>
    <row r="433" spans="1:16" s="470" customFormat="1" ht="12.75">
      <c r="A433" s="476"/>
      <c r="B433" s="476"/>
      <c r="C433" s="477"/>
      <c r="D433" s="477"/>
      <c r="E433" s="476"/>
      <c r="F433" s="477"/>
      <c r="G433" s="477"/>
      <c r="H433" s="477"/>
      <c r="I433" s="478"/>
      <c r="J433" s="477"/>
      <c r="K433" s="478"/>
      <c r="L433" s="477"/>
      <c r="M433" s="476"/>
      <c r="O433" s="471"/>
      <c r="P433" s="471"/>
    </row>
    <row r="434" spans="1:16" s="470" customFormat="1" ht="12.75">
      <c r="A434" s="476"/>
      <c r="B434" s="476"/>
      <c r="C434" s="477"/>
      <c r="D434" s="477"/>
      <c r="E434" s="476"/>
      <c r="F434" s="477"/>
      <c r="G434" s="477"/>
      <c r="H434" s="477"/>
      <c r="I434" s="478"/>
      <c r="J434" s="477"/>
      <c r="K434" s="478"/>
      <c r="L434" s="477"/>
      <c r="M434" s="476"/>
      <c r="O434" s="471"/>
      <c r="P434" s="471"/>
    </row>
    <row r="435" spans="1:16" s="470" customFormat="1" ht="12.75">
      <c r="A435" s="476"/>
      <c r="B435" s="476"/>
      <c r="C435" s="477"/>
      <c r="D435" s="477"/>
      <c r="E435" s="476"/>
      <c r="F435" s="477"/>
      <c r="G435" s="477"/>
      <c r="H435" s="477"/>
      <c r="I435" s="478"/>
      <c r="J435" s="477"/>
      <c r="K435" s="478"/>
      <c r="L435" s="477"/>
      <c r="M435" s="476"/>
      <c r="O435" s="471"/>
      <c r="P435" s="471"/>
    </row>
    <row r="436" spans="1:16" s="470" customFormat="1" ht="12.75">
      <c r="A436" s="476"/>
      <c r="B436" s="476"/>
      <c r="C436" s="477"/>
      <c r="D436" s="477"/>
      <c r="E436" s="476"/>
      <c r="F436" s="477"/>
      <c r="G436" s="477"/>
      <c r="H436" s="477"/>
      <c r="I436" s="478"/>
      <c r="J436" s="477"/>
      <c r="K436" s="478"/>
      <c r="L436" s="477"/>
      <c r="M436" s="476"/>
      <c r="O436" s="471"/>
      <c r="P436" s="471"/>
    </row>
    <row r="437" spans="1:16" s="470" customFormat="1" ht="12.75">
      <c r="A437" s="476"/>
      <c r="B437" s="476"/>
      <c r="C437" s="477"/>
      <c r="D437" s="477"/>
      <c r="E437" s="476"/>
      <c r="F437" s="477"/>
      <c r="G437" s="477"/>
      <c r="H437" s="477"/>
      <c r="I437" s="478"/>
      <c r="J437" s="477"/>
      <c r="K437" s="478"/>
      <c r="L437" s="477"/>
      <c r="M437" s="476"/>
      <c r="O437" s="471"/>
      <c r="P437" s="471"/>
    </row>
    <row r="438" spans="1:16" s="470" customFormat="1" ht="12.75">
      <c r="A438" s="476"/>
      <c r="B438" s="476"/>
      <c r="C438" s="477"/>
      <c r="D438" s="477"/>
      <c r="E438" s="476"/>
      <c r="F438" s="477"/>
      <c r="G438" s="477"/>
      <c r="H438" s="477"/>
      <c r="I438" s="478"/>
      <c r="J438" s="477"/>
      <c r="K438" s="478"/>
      <c r="L438" s="477"/>
      <c r="M438" s="476"/>
      <c r="O438" s="471"/>
      <c r="P438" s="471"/>
    </row>
    <row r="439" spans="1:16" s="470" customFormat="1" ht="12.75">
      <c r="A439" s="476"/>
      <c r="B439" s="476"/>
      <c r="C439" s="477"/>
      <c r="D439" s="477"/>
      <c r="E439" s="476"/>
      <c r="F439" s="477"/>
      <c r="G439" s="477"/>
      <c r="H439" s="477"/>
      <c r="I439" s="478"/>
      <c r="J439" s="477"/>
      <c r="K439" s="478"/>
      <c r="L439" s="477"/>
      <c r="M439" s="476"/>
      <c r="O439" s="471"/>
      <c r="P439" s="471"/>
    </row>
    <row r="440" spans="1:16" s="470" customFormat="1" ht="12.75">
      <c r="A440" s="476"/>
      <c r="B440" s="476"/>
      <c r="C440" s="477"/>
      <c r="D440" s="477"/>
      <c r="E440" s="476"/>
      <c r="F440" s="477"/>
      <c r="G440" s="477"/>
      <c r="H440" s="477"/>
      <c r="I440" s="478"/>
      <c r="J440" s="477"/>
      <c r="K440" s="478"/>
      <c r="L440" s="477"/>
      <c r="M440" s="476"/>
      <c r="O440" s="471"/>
      <c r="P440" s="471"/>
    </row>
    <row r="441" spans="1:16" s="470" customFormat="1" ht="12.75">
      <c r="A441" s="476"/>
      <c r="B441" s="476"/>
      <c r="C441" s="477"/>
      <c r="D441" s="477"/>
      <c r="E441" s="476"/>
      <c r="F441" s="477"/>
      <c r="G441" s="477"/>
      <c r="H441" s="477"/>
      <c r="I441" s="478"/>
      <c r="J441" s="477"/>
      <c r="K441" s="478"/>
      <c r="L441" s="477"/>
      <c r="M441" s="476"/>
      <c r="O441" s="471"/>
      <c r="P441" s="471"/>
    </row>
    <row r="442" spans="1:16" s="470" customFormat="1" ht="12.75">
      <c r="A442" s="476"/>
      <c r="B442" s="476"/>
      <c r="C442" s="477"/>
      <c r="D442" s="477"/>
      <c r="E442" s="476"/>
      <c r="F442" s="477"/>
      <c r="G442" s="477"/>
      <c r="H442" s="477"/>
      <c r="I442" s="478"/>
      <c r="J442" s="477"/>
      <c r="K442" s="478"/>
      <c r="L442" s="477"/>
      <c r="M442" s="476"/>
      <c r="O442" s="471"/>
      <c r="P442" s="471"/>
    </row>
    <row r="443" spans="1:16" s="470" customFormat="1" ht="12.75">
      <c r="A443" s="476"/>
      <c r="B443" s="476"/>
      <c r="C443" s="477"/>
      <c r="D443" s="477"/>
      <c r="E443" s="476"/>
      <c r="F443" s="477"/>
      <c r="G443" s="477"/>
      <c r="H443" s="477"/>
      <c r="I443" s="478"/>
      <c r="J443" s="477"/>
      <c r="K443" s="478"/>
      <c r="L443" s="477"/>
      <c r="M443" s="476"/>
      <c r="O443" s="471"/>
      <c r="P443" s="471"/>
    </row>
    <row r="444" spans="1:16" s="470" customFormat="1" ht="12.75">
      <c r="A444" s="476"/>
      <c r="B444" s="476"/>
      <c r="C444" s="477"/>
      <c r="D444" s="477"/>
      <c r="E444" s="476"/>
      <c r="F444" s="477"/>
      <c r="G444" s="477"/>
      <c r="H444" s="477"/>
      <c r="I444" s="478"/>
      <c r="J444" s="477"/>
      <c r="K444" s="478"/>
      <c r="L444" s="477"/>
      <c r="M444" s="476"/>
      <c r="O444" s="471"/>
      <c r="P444" s="471"/>
    </row>
    <row r="445" spans="1:16" s="470" customFormat="1" ht="12.75">
      <c r="A445" s="476"/>
      <c r="B445" s="476"/>
      <c r="C445" s="477"/>
      <c r="D445" s="477"/>
      <c r="E445" s="476"/>
      <c r="F445" s="477"/>
      <c r="G445" s="477"/>
      <c r="H445" s="477"/>
      <c r="I445" s="478"/>
      <c r="J445" s="477"/>
      <c r="K445" s="478"/>
      <c r="L445" s="477"/>
      <c r="M445" s="476"/>
      <c r="O445" s="471"/>
      <c r="P445" s="471"/>
    </row>
    <row r="446" spans="1:16" s="470" customFormat="1" ht="12.75">
      <c r="A446" s="476"/>
      <c r="B446" s="476"/>
      <c r="C446" s="477"/>
      <c r="D446" s="477"/>
      <c r="E446" s="476"/>
      <c r="F446" s="477"/>
      <c r="G446" s="477"/>
      <c r="H446" s="477"/>
      <c r="I446" s="478"/>
      <c r="J446" s="477"/>
      <c r="K446" s="478"/>
      <c r="L446" s="477"/>
      <c r="M446" s="476"/>
      <c r="O446" s="471"/>
      <c r="P446" s="471"/>
    </row>
    <row r="447" spans="1:16" s="470" customFormat="1" ht="12.75">
      <c r="A447" s="476"/>
      <c r="B447" s="476"/>
      <c r="C447" s="477"/>
      <c r="D447" s="477"/>
      <c r="E447" s="476"/>
      <c r="F447" s="477"/>
      <c r="G447" s="477"/>
      <c r="H447" s="477"/>
      <c r="I447" s="478"/>
      <c r="J447" s="477"/>
      <c r="K447" s="478"/>
      <c r="L447" s="477"/>
      <c r="M447" s="476"/>
      <c r="O447" s="471"/>
      <c r="P447" s="471"/>
    </row>
    <row r="448" spans="1:16" s="470" customFormat="1" ht="12.75">
      <c r="A448" s="476"/>
      <c r="B448" s="476"/>
      <c r="C448" s="477"/>
      <c r="D448" s="477"/>
      <c r="E448" s="476"/>
      <c r="F448" s="477"/>
      <c r="G448" s="477"/>
      <c r="H448" s="477"/>
      <c r="I448" s="478"/>
      <c r="J448" s="477"/>
      <c r="K448" s="478"/>
      <c r="L448" s="477"/>
      <c r="M448" s="476"/>
      <c r="O448" s="471"/>
      <c r="P448" s="471"/>
    </row>
    <row r="449" spans="1:16" s="470" customFormat="1" ht="12.75">
      <c r="A449" s="476"/>
      <c r="B449" s="476"/>
      <c r="C449" s="477"/>
      <c r="D449" s="477"/>
      <c r="E449" s="476"/>
      <c r="F449" s="477"/>
      <c r="G449" s="477"/>
      <c r="H449" s="477"/>
      <c r="I449" s="478"/>
      <c r="J449" s="477"/>
      <c r="K449" s="478"/>
      <c r="L449" s="477"/>
      <c r="M449" s="476"/>
      <c r="O449" s="471"/>
      <c r="P449" s="471"/>
    </row>
    <row r="450" spans="1:16" s="470" customFormat="1" ht="12.75">
      <c r="A450" s="476"/>
      <c r="B450" s="476"/>
      <c r="C450" s="477"/>
      <c r="D450" s="477"/>
      <c r="E450" s="476"/>
      <c r="F450" s="477"/>
      <c r="G450" s="477"/>
      <c r="H450" s="477"/>
      <c r="I450" s="478"/>
      <c r="J450" s="477"/>
      <c r="K450" s="478"/>
      <c r="L450" s="477"/>
      <c r="M450" s="476"/>
      <c r="O450" s="471"/>
      <c r="P450" s="471"/>
    </row>
    <row r="451" spans="1:16" s="470" customFormat="1" ht="12.75">
      <c r="A451" s="476"/>
      <c r="B451" s="476"/>
      <c r="C451" s="477"/>
      <c r="D451" s="477"/>
      <c r="E451" s="476"/>
      <c r="F451" s="477"/>
      <c r="G451" s="477"/>
      <c r="H451" s="477"/>
      <c r="I451" s="478"/>
      <c r="J451" s="477"/>
      <c r="K451" s="478"/>
      <c r="L451" s="477"/>
      <c r="M451" s="476"/>
      <c r="O451" s="471"/>
      <c r="P451" s="471"/>
    </row>
    <row r="452" spans="1:16" s="470" customFormat="1" ht="12.75">
      <c r="A452" s="476"/>
      <c r="B452" s="476"/>
      <c r="C452" s="477"/>
      <c r="D452" s="477"/>
      <c r="E452" s="476"/>
      <c r="F452" s="477"/>
      <c r="G452" s="477"/>
      <c r="H452" s="477"/>
      <c r="I452" s="478"/>
      <c r="J452" s="477"/>
      <c r="K452" s="478"/>
      <c r="L452" s="477"/>
      <c r="M452" s="476"/>
      <c r="O452" s="471"/>
      <c r="P452" s="471"/>
    </row>
    <row r="453" spans="1:16" s="470" customFormat="1" ht="12.75">
      <c r="A453" s="476"/>
      <c r="B453" s="476"/>
      <c r="C453" s="477"/>
      <c r="D453" s="477"/>
      <c r="E453" s="476"/>
      <c r="F453" s="477"/>
      <c r="G453" s="477"/>
      <c r="H453" s="477"/>
      <c r="I453" s="478"/>
      <c r="J453" s="477"/>
      <c r="K453" s="478"/>
      <c r="L453" s="477"/>
      <c r="M453" s="476"/>
      <c r="O453" s="471"/>
      <c r="P453" s="471"/>
    </row>
    <row r="454" spans="1:16" s="470" customFormat="1" ht="12.75">
      <c r="A454" s="476"/>
      <c r="B454" s="476"/>
      <c r="C454" s="477"/>
      <c r="D454" s="477"/>
      <c r="E454" s="476"/>
      <c r="F454" s="477"/>
      <c r="G454" s="477"/>
      <c r="H454" s="477"/>
      <c r="I454" s="478"/>
      <c r="J454" s="477"/>
      <c r="K454" s="478"/>
      <c r="L454" s="477"/>
      <c r="M454" s="476"/>
      <c r="O454" s="471"/>
      <c r="P454" s="471"/>
    </row>
    <row r="455" spans="1:16" s="470" customFormat="1" ht="12.75">
      <c r="A455" s="476"/>
      <c r="B455" s="476"/>
      <c r="C455" s="477"/>
      <c r="D455" s="477"/>
      <c r="E455" s="476"/>
      <c r="F455" s="477"/>
      <c r="G455" s="477"/>
      <c r="H455" s="477"/>
      <c r="I455" s="478"/>
      <c r="J455" s="477"/>
      <c r="K455" s="478"/>
      <c r="L455" s="477"/>
      <c r="M455" s="476"/>
      <c r="O455" s="471"/>
      <c r="P455" s="471"/>
    </row>
    <row r="456" spans="1:16" s="470" customFormat="1" ht="12.75">
      <c r="A456" s="476"/>
      <c r="B456" s="476"/>
      <c r="C456" s="477"/>
      <c r="D456" s="477"/>
      <c r="E456" s="476"/>
      <c r="F456" s="477"/>
      <c r="G456" s="477"/>
      <c r="H456" s="477"/>
      <c r="I456" s="478"/>
      <c r="J456" s="477"/>
      <c r="K456" s="478"/>
      <c r="L456" s="477"/>
      <c r="M456" s="476"/>
      <c r="O456" s="471"/>
      <c r="P456" s="471"/>
    </row>
    <row r="457" spans="1:16" s="470" customFormat="1" ht="12.75">
      <c r="A457" s="476"/>
      <c r="B457" s="476"/>
      <c r="C457" s="477"/>
      <c r="D457" s="477"/>
      <c r="E457" s="476"/>
      <c r="F457" s="477"/>
      <c r="G457" s="477"/>
      <c r="H457" s="477"/>
      <c r="I457" s="478"/>
      <c r="J457" s="477"/>
      <c r="K457" s="478"/>
      <c r="L457" s="477"/>
      <c r="M457" s="476"/>
      <c r="O457" s="471"/>
      <c r="P457" s="471"/>
    </row>
    <row r="458" spans="1:16" s="470" customFormat="1" ht="12.75">
      <c r="A458" s="476"/>
      <c r="B458" s="476"/>
      <c r="C458" s="477"/>
      <c r="D458" s="477"/>
      <c r="E458" s="476"/>
      <c r="F458" s="477"/>
      <c r="G458" s="477"/>
      <c r="H458" s="477"/>
      <c r="I458" s="478"/>
      <c r="J458" s="477"/>
      <c r="K458" s="478"/>
      <c r="L458" s="477"/>
      <c r="M458" s="476"/>
      <c r="O458" s="471"/>
      <c r="P458" s="471"/>
    </row>
    <row r="459" spans="1:16" s="470" customFormat="1" ht="12.75">
      <c r="A459" s="476"/>
      <c r="B459" s="476"/>
      <c r="C459" s="477"/>
      <c r="D459" s="477"/>
      <c r="E459" s="476"/>
      <c r="F459" s="477"/>
      <c r="G459" s="477"/>
      <c r="H459" s="477"/>
      <c r="I459" s="478"/>
      <c r="J459" s="477"/>
      <c r="K459" s="478"/>
      <c r="L459" s="477"/>
      <c r="M459" s="476"/>
      <c r="O459" s="471"/>
      <c r="P459" s="471"/>
    </row>
    <row r="460" spans="1:16" s="470" customFormat="1" ht="12.75">
      <c r="A460" s="476"/>
      <c r="B460" s="476"/>
      <c r="C460" s="477"/>
      <c r="D460" s="477"/>
      <c r="E460" s="476"/>
      <c r="F460" s="477"/>
      <c r="G460" s="477"/>
      <c r="H460" s="477"/>
      <c r="I460" s="478"/>
      <c r="J460" s="477"/>
      <c r="K460" s="478"/>
      <c r="L460" s="477"/>
      <c r="M460" s="476"/>
      <c r="O460" s="471"/>
      <c r="P460" s="471"/>
    </row>
    <row r="461" spans="1:16" s="470" customFormat="1" ht="12.75">
      <c r="A461" s="476"/>
      <c r="B461" s="476"/>
      <c r="C461" s="477"/>
      <c r="D461" s="477"/>
      <c r="E461" s="476"/>
      <c r="F461" s="477"/>
      <c r="G461" s="477"/>
      <c r="H461" s="477"/>
      <c r="I461" s="478"/>
      <c r="J461" s="477"/>
      <c r="K461" s="478"/>
      <c r="L461" s="477"/>
      <c r="M461" s="476"/>
      <c r="O461" s="471"/>
      <c r="P461" s="471"/>
    </row>
    <row r="462" spans="1:16" s="470" customFormat="1" ht="12.75">
      <c r="A462" s="476"/>
      <c r="B462" s="476"/>
      <c r="C462" s="477"/>
      <c r="D462" s="477"/>
      <c r="E462" s="476"/>
      <c r="F462" s="477"/>
      <c r="G462" s="477"/>
      <c r="H462" s="477"/>
      <c r="I462" s="478"/>
      <c r="J462" s="477"/>
      <c r="K462" s="478"/>
      <c r="L462" s="477"/>
      <c r="M462" s="476"/>
      <c r="O462" s="471"/>
      <c r="P462" s="471"/>
    </row>
    <row r="463" spans="1:16" s="470" customFormat="1" ht="12.75">
      <c r="A463" s="476"/>
      <c r="B463" s="476"/>
      <c r="C463" s="477"/>
      <c r="D463" s="477"/>
      <c r="E463" s="476"/>
      <c r="F463" s="477"/>
      <c r="G463" s="477"/>
      <c r="H463" s="477"/>
      <c r="I463" s="478"/>
      <c r="J463" s="477"/>
      <c r="K463" s="478"/>
      <c r="L463" s="477"/>
      <c r="M463" s="476"/>
      <c r="O463" s="471"/>
      <c r="P463" s="471"/>
    </row>
    <row r="464" spans="1:16" s="470" customFormat="1" ht="12.75">
      <c r="A464" s="476"/>
      <c r="B464" s="476"/>
      <c r="C464" s="477"/>
      <c r="D464" s="477"/>
      <c r="E464" s="476"/>
      <c r="F464" s="477"/>
      <c r="G464" s="477"/>
      <c r="H464" s="477"/>
      <c r="I464" s="478"/>
      <c r="J464" s="477"/>
      <c r="K464" s="478"/>
      <c r="L464" s="477"/>
      <c r="M464" s="476"/>
      <c r="O464" s="471"/>
      <c r="P464" s="471"/>
    </row>
    <row r="465" spans="1:16" s="470" customFormat="1" ht="12.75">
      <c r="A465" s="476"/>
      <c r="B465" s="476"/>
      <c r="C465" s="477"/>
      <c r="D465" s="477"/>
      <c r="E465" s="476"/>
      <c r="F465" s="477"/>
      <c r="G465" s="477"/>
      <c r="H465" s="477"/>
      <c r="I465" s="478"/>
      <c r="J465" s="477"/>
      <c r="K465" s="478"/>
      <c r="L465" s="477"/>
      <c r="M465" s="476"/>
      <c r="O465" s="471"/>
      <c r="P465" s="471"/>
    </row>
    <row r="466" spans="1:16" s="470" customFormat="1" ht="12.75">
      <c r="A466" s="476"/>
      <c r="B466" s="476"/>
      <c r="C466" s="477"/>
      <c r="D466" s="477"/>
      <c r="E466" s="476"/>
      <c r="F466" s="477"/>
      <c r="G466" s="477"/>
      <c r="H466" s="477"/>
      <c r="I466" s="478"/>
      <c r="J466" s="477"/>
      <c r="K466" s="478"/>
      <c r="L466" s="477"/>
      <c r="M466" s="476"/>
      <c r="O466" s="471"/>
      <c r="P466" s="471"/>
    </row>
    <row r="467" spans="1:16" s="470" customFormat="1" ht="12.75">
      <c r="A467" s="476"/>
      <c r="B467" s="476"/>
      <c r="C467" s="477"/>
      <c r="D467" s="477"/>
      <c r="E467" s="476"/>
      <c r="F467" s="477"/>
      <c r="G467" s="477"/>
      <c r="H467" s="477"/>
      <c r="I467" s="478"/>
      <c r="J467" s="477"/>
      <c r="K467" s="478"/>
      <c r="L467" s="477"/>
      <c r="M467" s="476"/>
      <c r="O467" s="471"/>
      <c r="P467" s="471"/>
    </row>
    <row r="468" spans="1:16" s="470" customFormat="1" ht="12.75">
      <c r="A468" s="476"/>
      <c r="B468" s="476"/>
      <c r="C468" s="477"/>
      <c r="D468" s="477"/>
      <c r="E468" s="476"/>
      <c r="F468" s="477"/>
      <c r="G468" s="477"/>
      <c r="H468" s="477"/>
      <c r="I468" s="478"/>
      <c r="J468" s="477"/>
      <c r="K468" s="478"/>
      <c r="L468" s="477"/>
      <c r="M468" s="476"/>
      <c r="O468" s="471"/>
      <c r="P468" s="471"/>
    </row>
    <row r="469" spans="1:16" s="470" customFormat="1" ht="12.75">
      <c r="A469" s="476"/>
      <c r="B469" s="476"/>
      <c r="C469" s="477"/>
      <c r="D469" s="477"/>
      <c r="E469" s="476"/>
      <c r="F469" s="477"/>
      <c r="G469" s="477"/>
      <c r="H469" s="477"/>
      <c r="I469" s="478"/>
      <c r="J469" s="477"/>
      <c r="K469" s="478"/>
      <c r="L469" s="477"/>
      <c r="M469" s="476"/>
      <c r="O469" s="471"/>
      <c r="P469" s="471"/>
    </row>
    <row r="470" spans="1:16" s="470" customFormat="1" ht="12.75">
      <c r="A470" s="476"/>
      <c r="B470" s="476"/>
      <c r="C470" s="477"/>
      <c r="D470" s="477"/>
      <c r="E470" s="476"/>
      <c r="F470" s="477"/>
      <c r="G470" s="477"/>
      <c r="H470" s="477"/>
      <c r="I470" s="478"/>
      <c r="J470" s="477"/>
      <c r="K470" s="478"/>
      <c r="L470" s="477"/>
      <c r="M470" s="476"/>
      <c r="O470" s="471"/>
      <c r="P470" s="471"/>
    </row>
    <row r="471" spans="1:16" s="470" customFormat="1" ht="12.75">
      <c r="A471" s="476"/>
      <c r="B471" s="476"/>
      <c r="C471" s="477"/>
      <c r="D471" s="477"/>
      <c r="E471" s="476"/>
      <c r="F471" s="477"/>
      <c r="G471" s="477"/>
      <c r="H471" s="477"/>
      <c r="I471" s="478"/>
      <c r="J471" s="477"/>
      <c r="K471" s="478"/>
      <c r="L471" s="477"/>
      <c r="M471" s="476"/>
      <c r="O471" s="471"/>
      <c r="P471" s="471"/>
    </row>
    <row r="472" spans="1:16" s="470" customFormat="1" ht="12.75">
      <c r="A472" s="476"/>
      <c r="B472" s="476"/>
      <c r="C472" s="477"/>
      <c r="D472" s="477"/>
      <c r="E472" s="476"/>
      <c r="F472" s="477"/>
      <c r="G472" s="477"/>
      <c r="H472" s="477"/>
      <c r="I472" s="478"/>
      <c r="J472" s="477"/>
      <c r="K472" s="478"/>
      <c r="L472" s="477"/>
      <c r="M472" s="476"/>
      <c r="O472" s="471"/>
      <c r="P472" s="471"/>
    </row>
    <row r="473" spans="1:16" s="470" customFormat="1" ht="12.75">
      <c r="A473" s="476"/>
      <c r="B473" s="476"/>
      <c r="C473" s="477"/>
      <c r="D473" s="477"/>
      <c r="E473" s="476"/>
      <c r="F473" s="477"/>
      <c r="G473" s="477"/>
      <c r="H473" s="477"/>
      <c r="I473" s="478"/>
      <c r="J473" s="477"/>
      <c r="K473" s="478"/>
      <c r="L473" s="477"/>
      <c r="M473" s="476"/>
      <c r="O473" s="471"/>
      <c r="P473" s="471"/>
    </row>
    <row r="474" spans="1:16" s="470" customFormat="1" ht="12.75">
      <c r="A474" s="476"/>
      <c r="B474" s="476"/>
      <c r="C474" s="477"/>
      <c r="D474" s="477"/>
      <c r="E474" s="476"/>
      <c r="F474" s="477"/>
      <c r="G474" s="477"/>
      <c r="H474" s="477"/>
      <c r="I474" s="478"/>
      <c r="J474" s="477"/>
      <c r="K474" s="478"/>
      <c r="L474" s="477"/>
      <c r="M474" s="476"/>
      <c r="O474" s="471"/>
      <c r="P474" s="471"/>
    </row>
    <row r="475" spans="1:16" s="470" customFormat="1" ht="12.75">
      <c r="A475" s="476"/>
      <c r="B475" s="476"/>
      <c r="C475" s="477"/>
      <c r="D475" s="477"/>
      <c r="E475" s="476"/>
      <c r="F475" s="477"/>
      <c r="G475" s="477"/>
      <c r="H475" s="477"/>
      <c r="I475" s="478"/>
      <c r="J475" s="477"/>
      <c r="K475" s="478"/>
      <c r="L475" s="477"/>
      <c r="M475" s="476"/>
      <c r="O475" s="471"/>
      <c r="P475" s="471"/>
    </row>
    <row r="476" spans="1:16" s="470" customFormat="1" ht="12.75">
      <c r="A476" s="476"/>
      <c r="B476" s="476"/>
      <c r="C476" s="477"/>
      <c r="D476" s="477"/>
      <c r="E476" s="476"/>
      <c r="F476" s="477"/>
      <c r="G476" s="477"/>
      <c r="H476" s="477"/>
      <c r="I476" s="478"/>
      <c r="J476" s="477"/>
      <c r="K476" s="478"/>
      <c r="L476" s="477"/>
      <c r="M476" s="476"/>
      <c r="O476" s="471"/>
      <c r="P476" s="471"/>
    </row>
    <row r="477" spans="1:16" s="470" customFormat="1" ht="12.75">
      <c r="A477" s="476"/>
      <c r="B477" s="476"/>
      <c r="C477" s="477"/>
      <c r="D477" s="477"/>
      <c r="E477" s="476"/>
      <c r="F477" s="477"/>
      <c r="G477" s="477"/>
      <c r="H477" s="477"/>
      <c r="I477" s="478"/>
      <c r="J477" s="477"/>
      <c r="K477" s="478"/>
      <c r="L477" s="477"/>
      <c r="M477" s="476"/>
      <c r="O477" s="471"/>
      <c r="P477" s="471"/>
    </row>
    <row r="478" spans="1:16" s="470" customFormat="1" ht="12.75">
      <c r="A478" s="476"/>
      <c r="B478" s="476"/>
      <c r="C478" s="477"/>
      <c r="D478" s="477"/>
      <c r="E478" s="476"/>
      <c r="F478" s="477"/>
      <c r="G478" s="477"/>
      <c r="H478" s="477"/>
      <c r="I478" s="478"/>
      <c r="J478" s="477"/>
      <c r="K478" s="478"/>
      <c r="L478" s="477"/>
      <c r="M478" s="476"/>
      <c r="O478" s="471"/>
      <c r="P478" s="471"/>
    </row>
    <row r="479" spans="1:16" s="470" customFormat="1" ht="12.75">
      <c r="A479" s="476"/>
      <c r="B479" s="476"/>
      <c r="C479" s="477"/>
      <c r="D479" s="477"/>
      <c r="E479" s="476"/>
      <c r="F479" s="477"/>
      <c r="G479" s="477"/>
      <c r="H479" s="477"/>
      <c r="I479" s="478"/>
      <c r="J479" s="477"/>
      <c r="K479" s="478"/>
      <c r="L479" s="477"/>
      <c r="M479" s="476"/>
      <c r="O479" s="471"/>
      <c r="P479" s="471"/>
    </row>
    <row r="480" spans="1:16" s="470" customFormat="1" ht="12.75">
      <c r="A480" s="476"/>
      <c r="B480" s="476"/>
      <c r="C480" s="477"/>
      <c r="D480" s="477"/>
      <c r="E480" s="476"/>
      <c r="F480" s="477"/>
      <c r="G480" s="477"/>
      <c r="H480" s="477"/>
      <c r="I480" s="478"/>
      <c r="J480" s="477"/>
      <c r="K480" s="478"/>
      <c r="L480" s="477"/>
      <c r="M480" s="476"/>
      <c r="O480" s="471"/>
      <c r="P480" s="471"/>
    </row>
    <row r="481" spans="1:16" s="470" customFormat="1" ht="12.75">
      <c r="A481" s="476"/>
      <c r="B481" s="476"/>
      <c r="C481" s="477"/>
      <c r="D481" s="477"/>
      <c r="E481" s="476"/>
      <c r="F481" s="477"/>
      <c r="G481" s="477"/>
      <c r="H481" s="477"/>
      <c r="I481" s="478"/>
      <c r="J481" s="477"/>
      <c r="K481" s="478"/>
      <c r="L481" s="477"/>
      <c r="M481" s="476"/>
      <c r="O481" s="471"/>
      <c r="P481" s="471"/>
    </row>
    <row r="482" spans="1:16" s="470" customFormat="1" ht="12.75">
      <c r="A482" s="476"/>
      <c r="B482" s="476"/>
      <c r="C482" s="477"/>
      <c r="D482" s="477"/>
      <c r="E482" s="476"/>
      <c r="F482" s="477"/>
      <c r="G482" s="477"/>
      <c r="H482" s="477"/>
      <c r="I482" s="478"/>
      <c r="J482" s="477"/>
      <c r="K482" s="478"/>
      <c r="L482" s="477"/>
      <c r="M482" s="476"/>
      <c r="O482" s="471"/>
      <c r="P482" s="471"/>
    </row>
    <row r="483" spans="1:16" s="470" customFormat="1" ht="12.75">
      <c r="A483" s="476"/>
      <c r="B483" s="476"/>
      <c r="C483" s="477"/>
      <c r="D483" s="477"/>
      <c r="E483" s="476"/>
      <c r="F483" s="477"/>
      <c r="G483" s="477"/>
      <c r="H483" s="477"/>
      <c r="I483" s="478"/>
      <c r="J483" s="477"/>
      <c r="K483" s="478"/>
      <c r="L483" s="477"/>
      <c r="M483" s="476"/>
      <c r="O483" s="471"/>
      <c r="P483" s="471"/>
    </row>
    <row r="484" spans="1:16" s="470" customFormat="1" ht="12.75">
      <c r="A484" s="476"/>
      <c r="B484" s="476"/>
      <c r="C484" s="477"/>
      <c r="D484" s="477"/>
      <c r="E484" s="476"/>
      <c r="F484" s="477"/>
      <c r="G484" s="477"/>
      <c r="H484" s="477"/>
      <c r="I484" s="478"/>
      <c r="J484" s="477"/>
      <c r="K484" s="478"/>
      <c r="L484" s="477"/>
      <c r="M484" s="476"/>
      <c r="O484" s="471"/>
      <c r="P484" s="471"/>
    </row>
    <row r="485" spans="1:16" s="470" customFormat="1" ht="12.75">
      <c r="A485" s="476"/>
      <c r="B485" s="476"/>
      <c r="C485" s="477"/>
      <c r="D485" s="477"/>
      <c r="E485" s="476"/>
      <c r="F485" s="477"/>
      <c r="G485" s="477"/>
      <c r="H485" s="477"/>
      <c r="I485" s="478"/>
      <c r="J485" s="477"/>
      <c r="K485" s="478"/>
      <c r="L485" s="477"/>
      <c r="M485" s="476"/>
      <c r="O485" s="471"/>
      <c r="P485" s="471"/>
    </row>
    <row r="486" spans="1:16" s="470" customFormat="1" ht="12.75">
      <c r="A486" s="476"/>
      <c r="B486" s="476"/>
      <c r="C486" s="477"/>
      <c r="D486" s="477"/>
      <c r="E486" s="476"/>
      <c r="F486" s="477"/>
      <c r="G486" s="477"/>
      <c r="H486" s="477"/>
      <c r="I486" s="478"/>
      <c r="J486" s="477"/>
      <c r="K486" s="478"/>
      <c r="L486" s="477"/>
      <c r="M486" s="476"/>
      <c r="O486" s="471"/>
      <c r="P486" s="471"/>
    </row>
    <row r="487" spans="1:16" s="470" customFormat="1" ht="12.75">
      <c r="A487" s="476"/>
      <c r="B487" s="476"/>
      <c r="C487" s="477"/>
      <c r="D487" s="477"/>
      <c r="E487" s="476"/>
      <c r="F487" s="477"/>
      <c r="G487" s="477"/>
      <c r="H487" s="477"/>
      <c r="I487" s="478"/>
      <c r="J487" s="477"/>
      <c r="K487" s="478"/>
      <c r="L487" s="477"/>
      <c r="M487" s="476"/>
      <c r="O487" s="471"/>
      <c r="P487" s="471"/>
    </row>
    <row r="488" spans="1:16" s="470" customFormat="1" ht="12.75">
      <c r="A488" s="476"/>
      <c r="B488" s="476"/>
      <c r="C488" s="477"/>
      <c r="D488" s="477"/>
      <c r="E488" s="476"/>
      <c r="F488" s="477"/>
      <c r="G488" s="477"/>
      <c r="H488" s="477"/>
      <c r="I488" s="478"/>
      <c r="J488" s="477"/>
      <c r="K488" s="478"/>
      <c r="L488" s="477"/>
      <c r="M488" s="476"/>
      <c r="O488" s="471"/>
      <c r="P488" s="471"/>
    </row>
    <row r="489" spans="1:16" s="470" customFormat="1" ht="12.75">
      <c r="A489" s="476"/>
      <c r="B489" s="476"/>
      <c r="C489" s="477"/>
      <c r="D489" s="477"/>
      <c r="E489" s="476"/>
      <c r="F489" s="477"/>
      <c r="G489" s="477"/>
      <c r="H489" s="477"/>
      <c r="I489" s="478"/>
      <c r="J489" s="477"/>
      <c r="K489" s="478"/>
      <c r="L489" s="477"/>
      <c r="M489" s="476"/>
      <c r="O489" s="471"/>
      <c r="P489" s="471"/>
    </row>
    <row r="490" spans="1:16" s="470" customFormat="1" ht="12.75">
      <c r="A490" s="476"/>
      <c r="B490" s="476"/>
      <c r="C490" s="477"/>
      <c r="D490" s="477"/>
      <c r="E490" s="476"/>
      <c r="F490" s="477"/>
      <c r="G490" s="477"/>
      <c r="H490" s="477"/>
      <c r="I490" s="478"/>
      <c r="J490" s="477"/>
      <c r="K490" s="478"/>
      <c r="L490" s="477"/>
      <c r="M490" s="476"/>
      <c r="O490" s="471"/>
      <c r="P490" s="471"/>
    </row>
    <row r="491" spans="1:16" s="470" customFormat="1" ht="12.75">
      <c r="A491" s="476"/>
      <c r="B491" s="476"/>
      <c r="C491" s="477"/>
      <c r="D491" s="477"/>
      <c r="E491" s="476"/>
      <c r="F491" s="477"/>
      <c r="G491" s="477"/>
      <c r="H491" s="477"/>
      <c r="I491" s="478"/>
      <c r="J491" s="477"/>
      <c r="K491" s="478"/>
      <c r="L491" s="477"/>
      <c r="M491" s="476"/>
      <c r="O491" s="471"/>
      <c r="P491" s="471"/>
    </row>
    <row r="492" spans="1:16" s="470" customFormat="1" ht="12.75">
      <c r="A492" s="476"/>
      <c r="B492" s="476"/>
      <c r="C492" s="477"/>
      <c r="D492" s="477"/>
      <c r="E492" s="476"/>
      <c r="F492" s="477"/>
      <c r="G492" s="477"/>
      <c r="H492" s="477"/>
      <c r="I492" s="478"/>
      <c r="J492" s="477"/>
      <c r="K492" s="478"/>
      <c r="L492" s="477"/>
      <c r="M492" s="476"/>
      <c r="O492" s="471"/>
      <c r="P492" s="471"/>
    </row>
    <row r="493" spans="1:16" s="470" customFormat="1" ht="12.75">
      <c r="A493" s="476"/>
      <c r="B493" s="476"/>
      <c r="C493" s="477"/>
      <c r="D493" s="477"/>
      <c r="E493" s="476"/>
      <c r="F493" s="477"/>
      <c r="G493" s="477"/>
      <c r="H493" s="477"/>
      <c r="I493" s="478"/>
      <c r="J493" s="477"/>
      <c r="K493" s="478"/>
      <c r="L493" s="477"/>
      <c r="M493" s="476"/>
      <c r="O493" s="471"/>
      <c r="P493" s="471"/>
    </row>
    <row r="494" spans="1:16" s="470" customFormat="1" ht="12.75">
      <c r="A494" s="476"/>
      <c r="B494" s="476"/>
      <c r="C494" s="477"/>
      <c r="D494" s="477"/>
      <c r="E494" s="476"/>
      <c r="F494" s="477"/>
      <c r="G494" s="477"/>
      <c r="H494" s="477"/>
      <c r="I494" s="478"/>
      <c r="J494" s="477"/>
      <c r="K494" s="478"/>
      <c r="L494" s="477"/>
      <c r="M494" s="476"/>
      <c r="O494" s="471"/>
      <c r="P494" s="471"/>
    </row>
    <row r="495" spans="1:16" s="470" customFormat="1" ht="12.75">
      <c r="A495" s="476"/>
      <c r="B495" s="476"/>
      <c r="C495" s="477"/>
      <c r="D495" s="477"/>
      <c r="E495" s="476"/>
      <c r="F495" s="477"/>
      <c r="G495" s="477"/>
      <c r="H495" s="477"/>
      <c r="I495" s="478"/>
      <c r="J495" s="477"/>
      <c r="K495" s="478"/>
      <c r="L495" s="477"/>
      <c r="M495" s="476"/>
      <c r="O495" s="471"/>
      <c r="P495" s="471"/>
    </row>
    <row r="496" spans="1:16" s="470" customFormat="1" ht="12.75">
      <c r="A496" s="476"/>
      <c r="B496" s="476"/>
      <c r="C496" s="477"/>
      <c r="D496" s="477"/>
      <c r="E496" s="476"/>
      <c r="F496" s="477"/>
      <c r="G496" s="477"/>
      <c r="H496" s="477"/>
      <c r="I496" s="478"/>
      <c r="J496" s="477"/>
      <c r="K496" s="478"/>
      <c r="L496" s="477"/>
      <c r="M496" s="476"/>
      <c r="O496" s="471"/>
      <c r="P496" s="471"/>
    </row>
    <row r="497" spans="1:16" s="470" customFormat="1" ht="12.75">
      <c r="A497" s="476"/>
      <c r="B497" s="476"/>
      <c r="C497" s="477"/>
      <c r="D497" s="477"/>
      <c r="E497" s="476"/>
      <c r="F497" s="477"/>
      <c r="G497" s="477"/>
      <c r="H497" s="477"/>
      <c r="I497" s="478"/>
      <c r="J497" s="477"/>
      <c r="K497" s="478"/>
      <c r="L497" s="477"/>
      <c r="M497" s="476"/>
      <c r="O497" s="471"/>
      <c r="P497" s="471"/>
    </row>
    <row r="498" spans="1:16" s="470" customFormat="1" ht="12.75">
      <c r="A498" s="476"/>
      <c r="B498" s="476"/>
      <c r="C498" s="477"/>
      <c r="D498" s="477"/>
      <c r="E498" s="476"/>
      <c r="F498" s="477"/>
      <c r="G498" s="477"/>
      <c r="H498" s="477"/>
      <c r="I498" s="478"/>
      <c r="J498" s="477"/>
      <c r="K498" s="478"/>
      <c r="L498" s="477"/>
      <c r="M498" s="476"/>
      <c r="O498" s="471"/>
      <c r="P498" s="471"/>
    </row>
    <row r="499" spans="1:16" s="470" customFormat="1" ht="12.75">
      <c r="A499" s="476"/>
      <c r="B499" s="476"/>
      <c r="C499" s="477"/>
      <c r="D499" s="477"/>
      <c r="E499" s="476"/>
      <c r="F499" s="477"/>
      <c r="G499" s="477"/>
      <c r="H499" s="477"/>
      <c r="I499" s="478"/>
      <c r="J499" s="477"/>
      <c r="K499" s="478"/>
      <c r="L499" s="477"/>
      <c r="M499" s="476"/>
      <c r="O499" s="471"/>
      <c r="P499" s="471"/>
    </row>
    <row r="500" spans="1:16" s="470" customFormat="1" ht="12.75">
      <c r="A500" s="476"/>
      <c r="B500" s="476"/>
      <c r="C500" s="477"/>
      <c r="D500" s="477"/>
      <c r="E500" s="476"/>
      <c r="F500" s="477"/>
      <c r="G500" s="477"/>
      <c r="H500" s="477"/>
      <c r="I500" s="478"/>
      <c r="J500" s="477"/>
      <c r="K500" s="478"/>
      <c r="L500" s="477"/>
      <c r="M500" s="476"/>
      <c r="O500" s="471"/>
      <c r="P500" s="471"/>
    </row>
    <row r="501" spans="1:16" s="470" customFormat="1" ht="12.75">
      <c r="A501" s="476"/>
      <c r="B501" s="476"/>
      <c r="C501" s="477"/>
      <c r="D501" s="477"/>
      <c r="E501" s="476"/>
      <c r="F501" s="477"/>
      <c r="G501" s="477"/>
      <c r="H501" s="477"/>
      <c r="I501" s="478"/>
      <c r="J501" s="477"/>
      <c r="K501" s="478"/>
      <c r="L501" s="477"/>
      <c r="M501" s="476"/>
      <c r="O501" s="471"/>
      <c r="P501" s="471"/>
    </row>
    <row r="502" spans="1:16" s="470" customFormat="1" ht="12.75">
      <c r="A502" s="476"/>
      <c r="B502" s="476"/>
      <c r="C502" s="477"/>
      <c r="D502" s="477"/>
      <c r="E502" s="476"/>
      <c r="F502" s="477"/>
      <c r="G502" s="477"/>
      <c r="H502" s="477"/>
      <c r="I502" s="478"/>
      <c r="J502" s="477"/>
      <c r="K502" s="478"/>
      <c r="L502" s="477"/>
      <c r="M502" s="476"/>
      <c r="O502" s="471"/>
      <c r="P502" s="471"/>
    </row>
    <row r="503" spans="1:16" s="470" customFormat="1" ht="12.75">
      <c r="A503" s="476"/>
      <c r="B503" s="476"/>
      <c r="C503" s="477"/>
      <c r="D503" s="477"/>
      <c r="E503" s="476"/>
      <c r="F503" s="477"/>
      <c r="G503" s="477"/>
      <c r="H503" s="477"/>
      <c r="I503" s="478"/>
      <c r="J503" s="477"/>
      <c r="K503" s="478"/>
      <c r="L503" s="477"/>
      <c r="M503" s="476"/>
      <c r="O503" s="471"/>
      <c r="P503" s="471"/>
    </row>
    <row r="504" spans="1:16" s="470" customFormat="1" ht="12.75">
      <c r="A504" s="476"/>
      <c r="B504" s="476"/>
      <c r="C504" s="477"/>
      <c r="D504" s="477"/>
      <c r="E504" s="476"/>
      <c r="F504" s="477"/>
      <c r="G504" s="477"/>
      <c r="H504" s="477"/>
      <c r="I504" s="478"/>
      <c r="J504" s="477"/>
      <c r="K504" s="478"/>
      <c r="L504" s="477"/>
      <c r="M504" s="476"/>
      <c r="O504" s="471"/>
      <c r="P504" s="471"/>
    </row>
    <row r="505" spans="1:16" s="470" customFormat="1" ht="12.75">
      <c r="A505" s="476"/>
      <c r="B505" s="476"/>
      <c r="C505" s="477"/>
      <c r="D505" s="477"/>
      <c r="E505" s="476"/>
      <c r="F505" s="477"/>
      <c r="G505" s="477"/>
      <c r="H505" s="477"/>
      <c r="I505" s="478"/>
      <c r="J505" s="477"/>
      <c r="K505" s="478"/>
      <c r="L505" s="477"/>
      <c r="M505" s="476"/>
      <c r="O505" s="471"/>
      <c r="P505" s="471"/>
    </row>
    <row r="506" spans="1:16" s="470" customFormat="1" ht="12.75">
      <c r="A506" s="476"/>
      <c r="B506" s="476"/>
      <c r="C506" s="477"/>
      <c r="D506" s="477"/>
      <c r="E506" s="476"/>
      <c r="F506" s="477"/>
      <c r="G506" s="477"/>
      <c r="H506" s="477"/>
      <c r="I506" s="478"/>
      <c r="J506" s="477"/>
      <c r="K506" s="478"/>
      <c r="L506" s="477"/>
      <c r="M506" s="476"/>
      <c r="O506" s="471"/>
      <c r="P506" s="471"/>
    </row>
    <row r="507" spans="1:16" s="470" customFormat="1" ht="12.75">
      <c r="A507" s="476"/>
      <c r="B507" s="476"/>
      <c r="C507" s="477"/>
      <c r="D507" s="477"/>
      <c r="E507" s="476"/>
      <c r="F507" s="477"/>
      <c r="G507" s="477"/>
      <c r="H507" s="477"/>
      <c r="I507" s="478"/>
      <c r="J507" s="477"/>
      <c r="K507" s="478"/>
      <c r="L507" s="477"/>
      <c r="M507" s="476"/>
      <c r="O507" s="471"/>
      <c r="P507" s="471"/>
    </row>
    <row r="508" spans="1:16" s="470" customFormat="1" ht="12.75">
      <c r="A508" s="476"/>
      <c r="B508" s="476"/>
      <c r="C508" s="477"/>
      <c r="D508" s="477"/>
      <c r="E508" s="476"/>
      <c r="F508" s="477"/>
      <c r="G508" s="477"/>
      <c r="H508" s="477"/>
      <c r="I508" s="478"/>
      <c r="J508" s="477"/>
      <c r="K508" s="478"/>
      <c r="L508" s="477"/>
      <c r="M508" s="476"/>
      <c r="O508" s="471"/>
      <c r="P508" s="471"/>
    </row>
    <row r="509" spans="1:16" s="470" customFormat="1" ht="12.75">
      <c r="A509" s="476"/>
      <c r="B509" s="476"/>
      <c r="C509" s="477"/>
      <c r="D509" s="477"/>
      <c r="E509" s="476"/>
      <c r="F509" s="477"/>
      <c r="G509" s="477"/>
      <c r="H509" s="477"/>
      <c r="I509" s="478"/>
      <c r="J509" s="477"/>
      <c r="K509" s="478"/>
      <c r="L509" s="477"/>
      <c r="M509" s="476"/>
      <c r="O509" s="471"/>
      <c r="P509" s="471"/>
    </row>
    <row r="510" spans="1:16" s="470" customFormat="1" ht="12.75">
      <c r="A510" s="476"/>
      <c r="B510" s="476"/>
      <c r="C510" s="477"/>
      <c r="D510" s="477"/>
      <c r="E510" s="476"/>
      <c r="F510" s="477"/>
      <c r="G510" s="477"/>
      <c r="H510" s="477"/>
      <c r="I510" s="478"/>
      <c r="J510" s="477"/>
      <c r="K510" s="478"/>
      <c r="L510" s="477"/>
      <c r="M510" s="476"/>
      <c r="O510" s="471"/>
      <c r="P510" s="471"/>
    </row>
    <row r="511" spans="1:16" s="470" customFormat="1" ht="12.75">
      <c r="A511" s="476"/>
      <c r="B511" s="476"/>
      <c r="C511" s="477"/>
      <c r="D511" s="477"/>
      <c r="E511" s="476"/>
      <c r="F511" s="477"/>
      <c r="G511" s="477"/>
      <c r="H511" s="477"/>
      <c r="I511" s="478"/>
      <c r="J511" s="477"/>
      <c r="K511" s="478"/>
      <c r="L511" s="477"/>
      <c r="M511" s="476"/>
      <c r="O511" s="471"/>
      <c r="P511" s="471"/>
    </row>
    <row r="512" spans="1:16" s="470" customFormat="1" ht="12.75">
      <c r="A512" s="476"/>
      <c r="B512" s="476"/>
      <c r="C512" s="477"/>
      <c r="D512" s="477"/>
      <c r="E512" s="476"/>
      <c r="F512" s="477"/>
      <c r="G512" s="477"/>
      <c r="H512" s="477"/>
      <c r="I512" s="478"/>
      <c r="J512" s="477"/>
      <c r="K512" s="478"/>
      <c r="L512" s="477"/>
      <c r="M512" s="476"/>
      <c r="O512" s="471"/>
      <c r="P512" s="471"/>
    </row>
    <row r="513" spans="1:16" s="470" customFormat="1" ht="12.75">
      <c r="A513" s="476"/>
      <c r="B513" s="476"/>
      <c r="C513" s="477"/>
      <c r="D513" s="477"/>
      <c r="E513" s="476"/>
      <c r="F513" s="477"/>
      <c r="G513" s="477"/>
      <c r="H513" s="477"/>
      <c r="I513" s="478"/>
      <c r="J513" s="477"/>
      <c r="K513" s="478"/>
      <c r="L513" s="477"/>
      <c r="M513" s="476"/>
      <c r="O513" s="471"/>
      <c r="P513" s="471"/>
    </row>
    <row r="514" spans="1:16" s="470" customFormat="1" ht="12.75">
      <c r="A514" s="476"/>
      <c r="B514" s="476"/>
      <c r="C514" s="477"/>
      <c r="D514" s="477"/>
      <c r="E514" s="476"/>
      <c r="F514" s="477"/>
      <c r="G514" s="477"/>
      <c r="H514" s="477"/>
      <c r="I514" s="478"/>
      <c r="J514" s="477"/>
      <c r="K514" s="478"/>
      <c r="L514" s="477"/>
      <c r="M514" s="476"/>
      <c r="O514" s="471"/>
      <c r="P514" s="471"/>
    </row>
    <row r="515" spans="1:16" s="470" customFormat="1" ht="12.75">
      <c r="A515" s="476"/>
      <c r="B515" s="476"/>
      <c r="C515" s="477"/>
      <c r="D515" s="477"/>
      <c r="E515" s="476"/>
      <c r="F515" s="477"/>
      <c r="G515" s="477"/>
      <c r="H515" s="477"/>
      <c r="I515" s="478"/>
      <c r="J515" s="477"/>
      <c r="K515" s="478"/>
      <c r="L515" s="477"/>
      <c r="M515" s="476"/>
      <c r="O515" s="471"/>
      <c r="P515" s="471"/>
    </row>
    <row r="516" spans="1:16" s="470" customFormat="1" ht="12.75">
      <c r="A516" s="476"/>
      <c r="B516" s="476"/>
      <c r="C516" s="477"/>
      <c r="D516" s="477"/>
      <c r="E516" s="476"/>
      <c r="F516" s="477"/>
      <c r="G516" s="477"/>
      <c r="H516" s="477"/>
      <c r="I516" s="478"/>
      <c r="J516" s="477"/>
      <c r="K516" s="478"/>
      <c r="L516" s="477"/>
      <c r="M516" s="476"/>
      <c r="O516" s="471"/>
      <c r="P516" s="471"/>
    </row>
    <row r="517" spans="1:16" s="470" customFormat="1" ht="12.75">
      <c r="A517" s="476"/>
      <c r="B517" s="476"/>
      <c r="C517" s="477"/>
      <c r="D517" s="477"/>
      <c r="E517" s="476"/>
      <c r="F517" s="477"/>
      <c r="G517" s="477"/>
      <c r="H517" s="477"/>
      <c r="I517" s="478"/>
      <c r="J517" s="477"/>
      <c r="K517" s="478"/>
      <c r="L517" s="477"/>
      <c r="M517" s="476"/>
      <c r="O517" s="471"/>
      <c r="P517" s="471"/>
    </row>
    <row r="518" spans="1:16" s="470" customFormat="1" ht="12.75">
      <c r="A518" s="476"/>
      <c r="B518" s="476"/>
      <c r="C518" s="477"/>
      <c r="D518" s="477"/>
      <c r="E518" s="476"/>
      <c r="F518" s="477"/>
      <c r="G518" s="477"/>
      <c r="H518" s="477"/>
      <c r="I518" s="478"/>
      <c r="J518" s="477"/>
      <c r="K518" s="478"/>
      <c r="L518" s="477"/>
      <c r="M518" s="476"/>
      <c r="O518" s="471"/>
      <c r="P518" s="471"/>
    </row>
    <row r="519" spans="1:16" s="470" customFormat="1" ht="12.75">
      <c r="A519" s="476"/>
      <c r="B519" s="476"/>
      <c r="C519" s="477"/>
      <c r="D519" s="477"/>
      <c r="E519" s="476"/>
      <c r="F519" s="477"/>
      <c r="G519" s="477"/>
      <c r="H519" s="477"/>
      <c r="I519" s="478"/>
      <c r="J519" s="477"/>
      <c r="K519" s="478"/>
      <c r="L519" s="477"/>
      <c r="M519" s="476"/>
      <c r="O519" s="471"/>
      <c r="P519" s="471"/>
    </row>
    <row r="520" spans="1:16" s="470" customFormat="1" ht="12.75">
      <c r="A520" s="476"/>
      <c r="B520" s="476"/>
      <c r="C520" s="477"/>
      <c r="D520" s="477"/>
      <c r="E520" s="476"/>
      <c r="F520" s="477"/>
      <c r="G520" s="477"/>
      <c r="H520" s="477"/>
      <c r="I520" s="478"/>
      <c r="J520" s="477"/>
      <c r="K520" s="478"/>
      <c r="L520" s="477"/>
      <c r="M520" s="476"/>
      <c r="O520" s="471"/>
      <c r="P520" s="471"/>
    </row>
    <row r="521" spans="1:16" s="470" customFormat="1" ht="12.75">
      <c r="A521" s="476"/>
      <c r="B521" s="476"/>
      <c r="C521" s="477"/>
      <c r="D521" s="477"/>
      <c r="E521" s="476"/>
      <c r="F521" s="477"/>
      <c r="G521" s="477"/>
      <c r="H521" s="477"/>
      <c r="I521" s="478"/>
      <c r="J521" s="477"/>
      <c r="K521" s="478"/>
      <c r="L521" s="477"/>
      <c r="M521" s="476"/>
      <c r="O521" s="471"/>
      <c r="P521" s="471"/>
    </row>
    <row r="522" spans="1:16" s="470" customFormat="1" ht="12.75">
      <c r="A522" s="476"/>
      <c r="B522" s="476"/>
      <c r="C522" s="477"/>
      <c r="D522" s="477"/>
      <c r="E522" s="476"/>
      <c r="F522" s="477"/>
      <c r="G522" s="477"/>
      <c r="H522" s="477"/>
      <c r="I522" s="478"/>
      <c r="J522" s="477"/>
      <c r="K522" s="478"/>
      <c r="L522" s="477"/>
      <c r="M522" s="476"/>
      <c r="O522" s="471"/>
      <c r="P522" s="471"/>
    </row>
    <row r="523" spans="1:16" s="470" customFormat="1" ht="12.75">
      <c r="A523" s="476"/>
      <c r="B523" s="476"/>
      <c r="C523" s="477"/>
      <c r="D523" s="477"/>
      <c r="E523" s="476"/>
      <c r="F523" s="477"/>
      <c r="G523" s="477"/>
      <c r="H523" s="477"/>
      <c r="I523" s="478"/>
      <c r="J523" s="477"/>
      <c r="K523" s="478"/>
      <c r="L523" s="477"/>
      <c r="M523" s="476"/>
      <c r="O523" s="471"/>
      <c r="P523" s="471"/>
    </row>
    <row r="524" spans="1:16" s="470" customFormat="1" ht="12.75">
      <c r="A524" s="476"/>
      <c r="B524" s="476"/>
      <c r="C524" s="477"/>
      <c r="D524" s="477"/>
      <c r="E524" s="476"/>
      <c r="F524" s="477"/>
      <c r="G524" s="477"/>
      <c r="H524" s="477"/>
      <c r="I524" s="478"/>
      <c r="J524" s="477"/>
      <c r="K524" s="478"/>
      <c r="L524" s="477"/>
      <c r="M524" s="476"/>
      <c r="O524" s="471"/>
      <c r="P524" s="471"/>
    </row>
    <row r="525" spans="1:16" s="470" customFormat="1" ht="12.75">
      <c r="A525" s="476"/>
      <c r="B525" s="476"/>
      <c r="C525" s="477"/>
      <c r="D525" s="477"/>
      <c r="E525" s="476"/>
      <c r="F525" s="477"/>
      <c r="G525" s="477"/>
      <c r="H525" s="477"/>
      <c r="I525" s="478"/>
      <c r="J525" s="477"/>
      <c r="K525" s="478"/>
      <c r="L525" s="477"/>
      <c r="M525" s="476"/>
      <c r="O525" s="471"/>
      <c r="P525" s="471"/>
    </row>
    <row r="526" spans="1:16" s="470" customFormat="1" ht="12.75">
      <c r="A526" s="476"/>
      <c r="B526" s="476"/>
      <c r="C526" s="477"/>
      <c r="D526" s="477"/>
      <c r="E526" s="476"/>
      <c r="F526" s="477"/>
      <c r="G526" s="477"/>
      <c r="H526" s="477"/>
      <c r="I526" s="478"/>
      <c r="J526" s="477"/>
      <c r="K526" s="478"/>
      <c r="L526" s="477"/>
      <c r="M526" s="476"/>
      <c r="O526" s="471"/>
      <c r="P526" s="471"/>
    </row>
    <row r="527" spans="1:16" s="470" customFormat="1" ht="12.75">
      <c r="A527" s="476"/>
      <c r="B527" s="476"/>
      <c r="C527" s="477"/>
      <c r="D527" s="477"/>
      <c r="E527" s="476"/>
      <c r="F527" s="477"/>
      <c r="G527" s="477"/>
      <c r="H527" s="477"/>
      <c r="I527" s="478"/>
      <c r="J527" s="477"/>
      <c r="K527" s="478"/>
      <c r="L527" s="477"/>
      <c r="M527" s="476"/>
      <c r="O527" s="471"/>
      <c r="P527" s="471"/>
    </row>
    <row r="528" spans="1:16" s="470" customFormat="1" ht="12.75">
      <c r="A528" s="476"/>
      <c r="B528" s="476"/>
      <c r="C528" s="477"/>
      <c r="D528" s="477"/>
      <c r="E528" s="476"/>
      <c r="F528" s="477"/>
      <c r="G528" s="477"/>
      <c r="H528" s="477"/>
      <c r="I528" s="478"/>
      <c r="J528" s="477"/>
      <c r="K528" s="478"/>
      <c r="L528" s="477"/>
      <c r="M528" s="476"/>
      <c r="O528" s="471"/>
      <c r="P528" s="471"/>
    </row>
    <row r="529" spans="1:16" s="470" customFormat="1" ht="12.75">
      <c r="A529" s="476"/>
      <c r="B529" s="476"/>
      <c r="C529" s="477"/>
      <c r="D529" s="477"/>
      <c r="E529" s="476"/>
      <c r="F529" s="477"/>
      <c r="G529" s="477"/>
      <c r="H529" s="477"/>
      <c r="I529" s="478"/>
      <c r="J529" s="477"/>
      <c r="K529" s="478"/>
      <c r="L529" s="477"/>
      <c r="M529" s="476"/>
      <c r="O529" s="471"/>
      <c r="P529" s="471"/>
    </row>
    <row r="530" spans="1:16" s="470" customFormat="1" ht="12.75">
      <c r="A530" s="476"/>
      <c r="B530" s="476"/>
      <c r="C530" s="477"/>
      <c r="D530" s="477"/>
      <c r="E530" s="476"/>
      <c r="F530" s="477"/>
      <c r="G530" s="477"/>
      <c r="H530" s="477"/>
      <c r="I530" s="478"/>
      <c r="J530" s="477"/>
      <c r="K530" s="478"/>
      <c r="L530" s="477"/>
      <c r="M530" s="476"/>
      <c r="O530" s="471"/>
      <c r="P530" s="471"/>
    </row>
    <row r="531" spans="1:16" s="470" customFormat="1" ht="12.75">
      <c r="A531" s="476"/>
      <c r="B531" s="476"/>
      <c r="C531" s="477"/>
      <c r="D531" s="477"/>
      <c r="E531" s="476"/>
      <c r="F531" s="477"/>
      <c r="G531" s="477"/>
      <c r="H531" s="477"/>
      <c r="I531" s="478"/>
      <c r="J531" s="477"/>
      <c r="K531" s="478"/>
      <c r="L531" s="477"/>
      <c r="M531" s="476"/>
      <c r="O531" s="471"/>
      <c r="P531" s="471"/>
    </row>
    <row r="532" spans="1:16" s="470" customFormat="1" ht="12.75">
      <c r="A532" s="476"/>
      <c r="B532" s="476"/>
      <c r="C532" s="477"/>
      <c r="D532" s="477"/>
      <c r="E532" s="476"/>
      <c r="F532" s="477"/>
      <c r="G532" s="477"/>
      <c r="H532" s="477"/>
      <c r="I532" s="478"/>
      <c r="J532" s="477"/>
      <c r="K532" s="478"/>
      <c r="L532" s="477"/>
      <c r="M532" s="476"/>
      <c r="O532" s="471"/>
      <c r="P532" s="471"/>
    </row>
    <row r="533" spans="1:16" s="470" customFormat="1" ht="12.75">
      <c r="A533" s="476"/>
      <c r="B533" s="476"/>
      <c r="C533" s="477"/>
      <c r="D533" s="477"/>
      <c r="E533" s="476"/>
      <c r="F533" s="477"/>
      <c r="G533" s="477"/>
      <c r="H533" s="477"/>
      <c r="I533" s="478"/>
      <c r="J533" s="477"/>
      <c r="K533" s="478"/>
      <c r="L533" s="477"/>
      <c r="M533" s="476"/>
      <c r="O533" s="471"/>
      <c r="P533" s="471"/>
    </row>
    <row r="534" spans="1:16" s="470" customFormat="1" ht="12.75">
      <c r="A534" s="476"/>
      <c r="B534" s="476"/>
      <c r="C534" s="477"/>
      <c r="D534" s="477"/>
      <c r="E534" s="476"/>
      <c r="F534" s="477"/>
      <c r="G534" s="477"/>
      <c r="H534" s="477"/>
      <c r="I534" s="478"/>
      <c r="J534" s="477"/>
      <c r="K534" s="478"/>
      <c r="L534" s="477"/>
      <c r="M534" s="476"/>
      <c r="O534" s="471"/>
      <c r="P534" s="471"/>
    </row>
    <row r="535" spans="1:16" s="470" customFormat="1" ht="12.75">
      <c r="A535" s="476"/>
      <c r="B535" s="476"/>
      <c r="C535" s="477"/>
      <c r="D535" s="477"/>
      <c r="E535" s="476"/>
      <c r="F535" s="477"/>
      <c r="G535" s="477"/>
      <c r="H535" s="477"/>
      <c r="I535" s="478"/>
      <c r="J535" s="477"/>
      <c r="K535" s="478"/>
      <c r="L535" s="477"/>
      <c r="M535" s="476"/>
      <c r="O535" s="471"/>
      <c r="P535" s="471"/>
    </row>
    <row r="536" spans="1:16" s="470" customFormat="1" ht="12.75">
      <c r="A536" s="476"/>
      <c r="B536" s="476"/>
      <c r="C536" s="477"/>
      <c r="D536" s="477"/>
      <c r="E536" s="476"/>
      <c r="F536" s="477"/>
      <c r="G536" s="477"/>
      <c r="H536" s="477"/>
      <c r="I536" s="478"/>
      <c r="J536" s="477"/>
      <c r="K536" s="478"/>
      <c r="L536" s="477"/>
      <c r="M536" s="476"/>
      <c r="O536" s="471"/>
      <c r="P536" s="471"/>
    </row>
    <row r="537" spans="1:16" s="470" customFormat="1" ht="12.75">
      <c r="A537" s="476"/>
      <c r="B537" s="476"/>
      <c r="C537" s="477"/>
      <c r="D537" s="477"/>
      <c r="E537" s="476"/>
      <c r="F537" s="477"/>
      <c r="G537" s="477"/>
      <c r="H537" s="477"/>
      <c r="I537" s="478"/>
      <c r="J537" s="477"/>
      <c r="K537" s="478"/>
      <c r="L537" s="477"/>
      <c r="M537" s="476"/>
      <c r="O537" s="471"/>
      <c r="P537" s="471"/>
    </row>
    <row r="538" spans="1:16" s="470" customFormat="1" ht="12.75">
      <c r="A538" s="476"/>
      <c r="B538" s="476"/>
      <c r="C538" s="477"/>
      <c r="D538" s="477"/>
      <c r="E538" s="476"/>
      <c r="F538" s="477"/>
      <c r="G538" s="477"/>
      <c r="H538" s="477"/>
      <c r="I538" s="478"/>
      <c r="J538" s="477"/>
      <c r="K538" s="478"/>
      <c r="L538" s="477"/>
      <c r="M538" s="476"/>
      <c r="O538" s="471"/>
      <c r="P538" s="471"/>
    </row>
    <row r="539" spans="1:16" s="470" customFormat="1" ht="12.75">
      <c r="A539" s="476"/>
      <c r="B539" s="476"/>
      <c r="C539" s="477"/>
      <c r="D539" s="477"/>
      <c r="E539" s="476"/>
      <c r="F539" s="477"/>
      <c r="G539" s="477"/>
      <c r="H539" s="477"/>
      <c r="I539" s="478"/>
      <c r="J539" s="477"/>
      <c r="K539" s="478"/>
      <c r="L539" s="477"/>
      <c r="M539" s="476"/>
      <c r="O539" s="471"/>
      <c r="P539" s="471"/>
    </row>
    <row r="540" spans="1:16" s="470" customFormat="1" ht="12.75">
      <c r="A540" s="476"/>
      <c r="B540" s="476"/>
      <c r="C540" s="477"/>
      <c r="D540" s="477"/>
      <c r="E540" s="476"/>
      <c r="F540" s="477"/>
      <c r="G540" s="477"/>
      <c r="H540" s="477"/>
      <c r="I540" s="478"/>
      <c r="J540" s="477"/>
      <c r="K540" s="478"/>
      <c r="L540" s="477"/>
      <c r="M540" s="476"/>
      <c r="O540" s="471"/>
      <c r="P540" s="471"/>
    </row>
    <row r="541" spans="1:16" s="470" customFormat="1" ht="12.75">
      <c r="A541" s="476"/>
      <c r="B541" s="476"/>
      <c r="C541" s="477"/>
      <c r="D541" s="477"/>
      <c r="E541" s="476"/>
      <c r="F541" s="477"/>
      <c r="G541" s="477"/>
      <c r="H541" s="477"/>
      <c r="I541" s="478"/>
      <c r="J541" s="477"/>
      <c r="K541" s="478"/>
      <c r="L541" s="477"/>
      <c r="M541" s="476"/>
      <c r="O541" s="471"/>
      <c r="P541" s="471"/>
    </row>
    <row r="542" spans="1:16" s="470" customFormat="1" ht="12.75">
      <c r="A542" s="476"/>
      <c r="B542" s="476"/>
      <c r="C542" s="477"/>
      <c r="D542" s="477"/>
      <c r="E542" s="476"/>
      <c r="F542" s="477"/>
      <c r="G542" s="477"/>
      <c r="H542" s="477"/>
      <c r="I542" s="478"/>
      <c r="J542" s="477"/>
      <c r="K542" s="478"/>
      <c r="L542" s="477"/>
      <c r="M542" s="476"/>
      <c r="O542" s="471"/>
      <c r="P542" s="471"/>
    </row>
    <row r="543" spans="1:16" s="470" customFormat="1" ht="12.75">
      <c r="A543" s="476"/>
      <c r="B543" s="476"/>
      <c r="C543" s="477"/>
      <c r="D543" s="477"/>
      <c r="E543" s="476"/>
      <c r="F543" s="477"/>
      <c r="G543" s="477"/>
      <c r="H543" s="477"/>
      <c r="I543" s="478"/>
      <c r="J543" s="477"/>
      <c r="K543" s="478"/>
      <c r="L543" s="477"/>
      <c r="M543" s="476"/>
      <c r="O543" s="471"/>
      <c r="P543" s="471"/>
    </row>
    <row r="544" spans="1:16" s="470" customFormat="1" ht="12.75">
      <c r="A544" s="476"/>
      <c r="B544" s="476"/>
      <c r="C544" s="477"/>
      <c r="D544" s="477"/>
      <c r="E544" s="476"/>
      <c r="F544" s="477"/>
      <c r="G544" s="477"/>
      <c r="H544" s="477"/>
      <c r="I544" s="478"/>
      <c r="J544" s="477"/>
      <c r="K544" s="478"/>
      <c r="L544" s="477"/>
      <c r="M544" s="476"/>
      <c r="O544" s="471"/>
      <c r="P544" s="471"/>
    </row>
    <row r="545" spans="1:16" s="470" customFormat="1" ht="12.75">
      <c r="A545" s="476"/>
      <c r="B545" s="476"/>
      <c r="C545" s="477"/>
      <c r="D545" s="477"/>
      <c r="E545" s="476"/>
      <c r="F545" s="477"/>
      <c r="G545" s="477"/>
      <c r="H545" s="477"/>
      <c r="I545" s="478"/>
      <c r="J545" s="477"/>
      <c r="K545" s="478"/>
      <c r="L545" s="477"/>
      <c r="M545" s="476"/>
      <c r="O545" s="471"/>
      <c r="P545" s="471"/>
    </row>
    <row r="546" spans="1:16" s="470" customFormat="1" ht="12.75">
      <c r="A546" s="476"/>
      <c r="B546" s="476"/>
      <c r="C546" s="477"/>
      <c r="D546" s="477"/>
      <c r="E546" s="476"/>
      <c r="F546" s="477"/>
      <c r="G546" s="477"/>
      <c r="H546" s="477"/>
      <c r="I546" s="478"/>
      <c r="J546" s="477"/>
      <c r="K546" s="478"/>
      <c r="L546" s="477"/>
      <c r="M546" s="476"/>
      <c r="O546" s="471"/>
      <c r="P546" s="471"/>
    </row>
    <row r="547" spans="1:16" s="470" customFormat="1" ht="12.75">
      <c r="A547" s="476"/>
      <c r="B547" s="476"/>
      <c r="C547" s="477"/>
      <c r="D547" s="477"/>
      <c r="E547" s="476"/>
      <c r="F547" s="477"/>
      <c r="G547" s="477"/>
      <c r="H547" s="477"/>
      <c r="I547" s="478"/>
      <c r="J547" s="477"/>
      <c r="K547" s="478"/>
      <c r="L547" s="477"/>
      <c r="M547" s="476"/>
      <c r="O547" s="471"/>
      <c r="P547" s="471"/>
    </row>
    <row r="548" spans="1:16" s="470" customFormat="1" ht="12.75">
      <c r="A548" s="476"/>
      <c r="B548" s="476"/>
      <c r="C548" s="477"/>
      <c r="D548" s="477"/>
      <c r="E548" s="476"/>
      <c r="F548" s="477"/>
      <c r="G548" s="477"/>
      <c r="H548" s="477"/>
      <c r="I548" s="478"/>
      <c r="J548" s="477"/>
      <c r="K548" s="478"/>
      <c r="L548" s="477"/>
      <c r="M548" s="476"/>
      <c r="O548" s="471"/>
      <c r="P548" s="471"/>
    </row>
    <row r="549" spans="1:16" s="470" customFormat="1" ht="12.75">
      <c r="A549" s="476"/>
      <c r="B549" s="476"/>
      <c r="C549" s="477"/>
      <c r="D549" s="477"/>
      <c r="E549" s="476"/>
      <c r="F549" s="477"/>
      <c r="G549" s="477"/>
      <c r="H549" s="477"/>
      <c r="I549" s="478"/>
      <c r="J549" s="477"/>
      <c r="K549" s="478"/>
      <c r="L549" s="477"/>
      <c r="M549" s="476"/>
      <c r="O549" s="471"/>
      <c r="P549" s="471"/>
    </row>
    <row r="550" spans="1:16" s="470" customFormat="1" ht="12.75">
      <c r="A550" s="476"/>
      <c r="B550" s="476"/>
      <c r="C550" s="477"/>
      <c r="D550" s="477"/>
      <c r="E550" s="476"/>
      <c r="F550" s="477"/>
      <c r="G550" s="477"/>
      <c r="H550" s="477"/>
      <c r="I550" s="478"/>
      <c r="J550" s="477"/>
      <c r="K550" s="478"/>
      <c r="L550" s="477"/>
      <c r="M550" s="476"/>
      <c r="O550" s="471"/>
      <c r="P550" s="471"/>
    </row>
    <row r="551" spans="1:16" s="470" customFormat="1" ht="12.75">
      <c r="A551" s="476"/>
      <c r="B551" s="476"/>
      <c r="C551" s="477"/>
      <c r="D551" s="477"/>
      <c r="E551" s="476"/>
      <c r="F551" s="477"/>
      <c r="G551" s="477"/>
      <c r="H551" s="477"/>
      <c r="I551" s="478"/>
      <c r="J551" s="477"/>
      <c r="K551" s="478"/>
      <c r="L551" s="477"/>
      <c r="M551" s="476"/>
      <c r="O551" s="471"/>
      <c r="P551" s="471"/>
    </row>
    <row r="552" spans="1:16" s="470" customFormat="1" ht="12.75">
      <c r="A552" s="476"/>
      <c r="B552" s="476"/>
      <c r="C552" s="477"/>
      <c r="D552" s="477"/>
      <c r="E552" s="476"/>
      <c r="F552" s="477"/>
      <c r="G552" s="477"/>
      <c r="H552" s="477"/>
      <c r="I552" s="478"/>
      <c r="J552" s="477"/>
      <c r="K552" s="478"/>
      <c r="L552" s="477"/>
      <c r="M552" s="476"/>
      <c r="O552" s="471"/>
      <c r="P552" s="471"/>
    </row>
    <row r="553" spans="1:16" s="470" customFormat="1" ht="12.75">
      <c r="A553" s="476"/>
      <c r="B553" s="476"/>
      <c r="C553" s="477"/>
      <c r="D553" s="477"/>
      <c r="E553" s="476"/>
      <c r="F553" s="477"/>
      <c r="G553" s="477"/>
      <c r="H553" s="477"/>
      <c r="I553" s="478"/>
      <c r="J553" s="477"/>
      <c r="K553" s="478"/>
      <c r="L553" s="477"/>
      <c r="M553" s="476"/>
      <c r="O553" s="471"/>
      <c r="P553" s="471"/>
    </row>
    <row r="554" spans="1:16" s="470" customFormat="1" ht="12.75">
      <c r="A554" s="476"/>
      <c r="B554" s="476"/>
      <c r="C554" s="477"/>
      <c r="D554" s="477"/>
      <c r="E554" s="476"/>
      <c r="F554" s="477"/>
      <c r="G554" s="477"/>
      <c r="H554" s="477"/>
      <c r="I554" s="478"/>
      <c r="J554" s="477"/>
      <c r="K554" s="478"/>
      <c r="L554" s="477"/>
      <c r="M554" s="476"/>
      <c r="O554" s="471"/>
      <c r="P554" s="471"/>
    </row>
    <row r="555" spans="1:16" s="470" customFormat="1" ht="12.75">
      <c r="A555" s="476"/>
      <c r="B555" s="476"/>
      <c r="C555" s="477"/>
      <c r="D555" s="477"/>
      <c r="E555" s="476"/>
      <c r="F555" s="477"/>
      <c r="G555" s="477"/>
      <c r="H555" s="477"/>
      <c r="I555" s="478"/>
      <c r="J555" s="477"/>
      <c r="K555" s="478"/>
      <c r="L555" s="477"/>
      <c r="M555" s="476"/>
      <c r="O555" s="471"/>
      <c r="P555" s="471"/>
    </row>
    <row r="556" spans="1:16" s="470" customFormat="1" ht="12.75">
      <c r="A556" s="476"/>
      <c r="B556" s="476"/>
      <c r="C556" s="477"/>
      <c r="D556" s="477"/>
      <c r="E556" s="476"/>
      <c r="F556" s="477"/>
      <c r="G556" s="477"/>
      <c r="H556" s="477"/>
      <c r="I556" s="478"/>
      <c r="J556" s="477"/>
      <c r="K556" s="478"/>
      <c r="L556" s="477"/>
      <c r="M556" s="476"/>
      <c r="O556" s="471"/>
      <c r="P556" s="471"/>
    </row>
    <row r="557" spans="1:16" s="470" customFormat="1" ht="12.75">
      <c r="A557" s="476"/>
      <c r="B557" s="476"/>
      <c r="C557" s="477"/>
      <c r="D557" s="477"/>
      <c r="E557" s="476"/>
      <c r="F557" s="477"/>
      <c r="G557" s="477"/>
      <c r="H557" s="477"/>
      <c r="I557" s="478"/>
      <c r="J557" s="477"/>
      <c r="K557" s="478"/>
      <c r="L557" s="477"/>
      <c r="M557" s="476"/>
      <c r="O557" s="471"/>
      <c r="P557" s="471"/>
    </row>
    <row r="558" spans="1:16" s="470" customFormat="1" ht="12.75">
      <c r="A558" s="476"/>
      <c r="B558" s="476"/>
      <c r="C558" s="477"/>
      <c r="D558" s="477"/>
      <c r="E558" s="476"/>
      <c r="F558" s="477"/>
      <c r="G558" s="477"/>
      <c r="H558" s="477"/>
      <c r="I558" s="478"/>
      <c r="J558" s="477"/>
      <c r="K558" s="478"/>
      <c r="L558" s="477"/>
      <c r="M558" s="476"/>
      <c r="O558" s="471"/>
      <c r="P558" s="471"/>
    </row>
    <row r="559" spans="1:16" s="470" customFormat="1" ht="12.75">
      <c r="A559" s="476"/>
      <c r="B559" s="476"/>
      <c r="C559" s="477"/>
      <c r="D559" s="477"/>
      <c r="E559" s="476"/>
      <c r="F559" s="477"/>
      <c r="G559" s="477"/>
      <c r="H559" s="477"/>
      <c r="I559" s="478"/>
      <c r="J559" s="477"/>
      <c r="K559" s="478"/>
      <c r="L559" s="477"/>
      <c r="M559" s="476"/>
      <c r="O559" s="471"/>
      <c r="P559" s="471"/>
    </row>
    <row r="560" spans="1:16" s="470" customFormat="1" ht="12.75">
      <c r="A560" s="476"/>
      <c r="B560" s="476"/>
      <c r="C560" s="477"/>
      <c r="D560" s="477"/>
      <c r="E560" s="476"/>
      <c r="F560" s="477"/>
      <c r="G560" s="477"/>
      <c r="H560" s="477"/>
      <c r="I560" s="478"/>
      <c r="J560" s="477"/>
      <c r="K560" s="478"/>
      <c r="L560" s="477"/>
      <c r="M560" s="476"/>
      <c r="O560" s="471"/>
      <c r="P560" s="471"/>
    </row>
    <row r="561" spans="1:16" s="470" customFormat="1" ht="12.75">
      <c r="A561" s="476"/>
      <c r="B561" s="476"/>
      <c r="C561" s="477"/>
      <c r="D561" s="477"/>
      <c r="E561" s="476"/>
      <c r="F561" s="477"/>
      <c r="G561" s="477"/>
      <c r="H561" s="477"/>
      <c r="I561" s="478"/>
      <c r="J561" s="477"/>
      <c r="K561" s="478"/>
      <c r="L561" s="477"/>
      <c r="M561" s="476"/>
      <c r="O561" s="471"/>
      <c r="P561" s="471"/>
    </row>
    <row r="562" spans="1:16" s="470" customFormat="1" ht="12.75">
      <c r="A562" s="476"/>
      <c r="B562" s="476"/>
      <c r="C562" s="477"/>
      <c r="D562" s="477"/>
      <c r="E562" s="476"/>
      <c r="F562" s="477"/>
      <c r="G562" s="477"/>
      <c r="H562" s="477"/>
      <c r="I562" s="478"/>
      <c r="J562" s="477"/>
      <c r="K562" s="478"/>
      <c r="L562" s="477"/>
      <c r="M562" s="476"/>
      <c r="O562" s="471"/>
      <c r="P562" s="471"/>
    </row>
    <row r="563" spans="1:16" s="470" customFormat="1" ht="12.75">
      <c r="A563" s="476"/>
      <c r="B563" s="476"/>
      <c r="C563" s="477"/>
      <c r="D563" s="477"/>
      <c r="E563" s="476"/>
      <c r="F563" s="477"/>
      <c r="G563" s="477"/>
      <c r="H563" s="477"/>
      <c r="I563" s="478"/>
      <c r="J563" s="477"/>
      <c r="K563" s="478"/>
      <c r="L563" s="477"/>
      <c r="M563" s="476"/>
      <c r="O563" s="471"/>
      <c r="P563" s="471"/>
    </row>
    <row r="564" spans="1:16" s="470" customFormat="1" ht="12.75">
      <c r="A564" s="476"/>
      <c r="B564" s="476"/>
      <c r="C564" s="477"/>
      <c r="D564" s="477"/>
      <c r="E564" s="476"/>
      <c r="F564" s="477"/>
      <c r="G564" s="477"/>
      <c r="H564" s="477"/>
      <c r="I564" s="478"/>
      <c r="J564" s="477"/>
      <c r="K564" s="478"/>
      <c r="L564" s="477"/>
      <c r="M564" s="476"/>
      <c r="O564" s="471"/>
      <c r="P564" s="471"/>
    </row>
    <row r="565" spans="1:16" s="470" customFormat="1" ht="12.75">
      <c r="A565" s="476"/>
      <c r="B565" s="476"/>
      <c r="C565" s="477"/>
      <c r="D565" s="477"/>
      <c r="E565" s="476"/>
      <c r="F565" s="477"/>
      <c r="G565" s="477"/>
      <c r="H565" s="477"/>
      <c r="I565" s="478"/>
      <c r="J565" s="477"/>
      <c r="K565" s="478"/>
      <c r="L565" s="477"/>
      <c r="M565" s="476"/>
      <c r="O565" s="471"/>
      <c r="P565" s="471"/>
    </row>
    <row r="566" spans="1:16" s="470" customFormat="1" ht="12.75">
      <c r="A566" s="476"/>
      <c r="B566" s="476"/>
      <c r="C566" s="477"/>
      <c r="D566" s="477"/>
      <c r="E566" s="476"/>
      <c r="F566" s="477"/>
      <c r="G566" s="477"/>
      <c r="H566" s="477"/>
      <c r="I566" s="478"/>
      <c r="J566" s="477"/>
      <c r="K566" s="478"/>
      <c r="L566" s="477"/>
      <c r="M566" s="476"/>
      <c r="O566" s="471"/>
      <c r="P566" s="471"/>
    </row>
    <row r="567" spans="1:16" s="470" customFormat="1" ht="12.75">
      <c r="A567" s="476"/>
      <c r="B567" s="476"/>
      <c r="C567" s="477"/>
      <c r="D567" s="477"/>
      <c r="E567" s="476"/>
      <c r="F567" s="477"/>
      <c r="G567" s="477"/>
      <c r="H567" s="477"/>
      <c r="I567" s="478"/>
      <c r="J567" s="477"/>
      <c r="K567" s="478"/>
      <c r="L567" s="477"/>
      <c r="M567" s="476"/>
      <c r="O567" s="471"/>
      <c r="P567" s="471"/>
    </row>
    <row r="568" spans="1:16" s="470" customFormat="1" ht="12.75">
      <c r="A568" s="476"/>
      <c r="B568" s="476"/>
      <c r="C568" s="477"/>
      <c r="D568" s="477"/>
      <c r="E568" s="476"/>
      <c r="F568" s="477"/>
      <c r="G568" s="477"/>
      <c r="H568" s="477"/>
      <c r="I568" s="478"/>
      <c r="J568" s="477"/>
      <c r="K568" s="478"/>
      <c r="L568" s="477"/>
      <c r="M568" s="476"/>
      <c r="O568" s="471"/>
      <c r="P568" s="471"/>
    </row>
    <row r="569" spans="1:16" s="470" customFormat="1" ht="12.75">
      <c r="A569" s="476"/>
      <c r="B569" s="476"/>
      <c r="C569" s="477"/>
      <c r="D569" s="477"/>
      <c r="E569" s="476"/>
      <c r="F569" s="477"/>
      <c r="G569" s="477"/>
      <c r="H569" s="477"/>
      <c r="I569" s="478"/>
      <c r="J569" s="477"/>
      <c r="K569" s="478"/>
      <c r="L569" s="477"/>
      <c r="M569" s="476"/>
      <c r="O569" s="471"/>
      <c r="P569" s="471"/>
    </row>
    <row r="570" spans="1:16" s="470" customFormat="1" ht="12.75">
      <c r="A570" s="476"/>
      <c r="B570" s="476"/>
      <c r="C570" s="477"/>
      <c r="D570" s="477"/>
      <c r="E570" s="476"/>
      <c r="F570" s="477"/>
      <c r="G570" s="477"/>
      <c r="H570" s="477"/>
      <c r="I570" s="478"/>
      <c r="J570" s="477"/>
      <c r="K570" s="478"/>
      <c r="L570" s="477"/>
      <c r="M570" s="476"/>
      <c r="O570" s="471"/>
      <c r="P570" s="471"/>
    </row>
    <row r="571" spans="1:16" s="470" customFormat="1" ht="12.75">
      <c r="A571" s="476"/>
      <c r="B571" s="476"/>
      <c r="C571" s="477"/>
      <c r="D571" s="477"/>
      <c r="E571" s="476"/>
      <c r="F571" s="477"/>
      <c r="G571" s="477"/>
      <c r="H571" s="477"/>
      <c r="I571" s="478"/>
      <c r="J571" s="477"/>
      <c r="K571" s="478"/>
      <c r="L571" s="477"/>
      <c r="M571" s="476"/>
      <c r="O571" s="471"/>
      <c r="P571" s="471"/>
    </row>
    <row r="572" spans="1:16" s="470" customFormat="1" ht="12.75">
      <c r="A572" s="476"/>
      <c r="B572" s="476"/>
      <c r="C572" s="477"/>
      <c r="D572" s="477"/>
      <c r="E572" s="476"/>
      <c r="F572" s="477"/>
      <c r="G572" s="477"/>
      <c r="H572" s="477"/>
      <c r="I572" s="478"/>
      <c r="J572" s="477"/>
      <c r="K572" s="478"/>
      <c r="L572" s="477"/>
      <c r="M572" s="476"/>
      <c r="O572" s="471"/>
      <c r="P572" s="471"/>
    </row>
    <row r="573" spans="1:16" s="470" customFormat="1" ht="12.75">
      <c r="A573" s="476"/>
      <c r="B573" s="476"/>
      <c r="C573" s="477"/>
      <c r="D573" s="477"/>
      <c r="E573" s="476"/>
      <c r="F573" s="477"/>
      <c r="G573" s="477"/>
      <c r="H573" s="477"/>
      <c r="I573" s="478"/>
      <c r="J573" s="477"/>
      <c r="K573" s="478"/>
      <c r="L573" s="477"/>
      <c r="M573" s="476"/>
      <c r="O573" s="471"/>
      <c r="P573" s="471"/>
    </row>
    <row r="574" spans="1:16" s="470" customFormat="1" ht="12.75">
      <c r="A574" s="476"/>
      <c r="B574" s="476"/>
      <c r="C574" s="477"/>
      <c r="D574" s="477"/>
      <c r="E574" s="476"/>
      <c r="F574" s="477"/>
      <c r="G574" s="477"/>
      <c r="H574" s="477"/>
      <c r="I574" s="478"/>
      <c r="J574" s="477"/>
      <c r="K574" s="478"/>
      <c r="L574" s="477"/>
      <c r="M574" s="476"/>
      <c r="O574" s="471"/>
      <c r="P574" s="471"/>
    </row>
    <row r="575" spans="1:16" s="470" customFormat="1" ht="12.75">
      <c r="A575" s="476"/>
      <c r="B575" s="476"/>
      <c r="C575" s="477"/>
      <c r="D575" s="477"/>
      <c r="E575" s="476"/>
      <c r="F575" s="477"/>
      <c r="G575" s="477"/>
      <c r="H575" s="477"/>
      <c r="I575" s="478"/>
      <c r="J575" s="477"/>
      <c r="K575" s="478"/>
      <c r="L575" s="477"/>
      <c r="M575" s="476"/>
      <c r="O575" s="471"/>
      <c r="P575" s="471"/>
    </row>
    <row r="576" spans="1:16" s="470" customFormat="1" ht="12.75">
      <c r="A576" s="476"/>
      <c r="B576" s="476"/>
      <c r="C576" s="477"/>
      <c r="D576" s="477"/>
      <c r="E576" s="476"/>
      <c r="F576" s="477"/>
      <c r="G576" s="477"/>
      <c r="H576" s="477"/>
      <c r="I576" s="478"/>
      <c r="J576" s="477"/>
      <c r="K576" s="478"/>
      <c r="L576" s="477"/>
      <c r="M576" s="476"/>
      <c r="O576" s="471"/>
      <c r="P576" s="471"/>
    </row>
    <row r="577" spans="1:16" s="470" customFormat="1" ht="12.75">
      <c r="A577" s="476"/>
      <c r="B577" s="476"/>
      <c r="C577" s="477"/>
      <c r="D577" s="477"/>
      <c r="E577" s="476"/>
      <c r="F577" s="477"/>
      <c r="G577" s="477"/>
      <c r="H577" s="477"/>
      <c r="I577" s="478"/>
      <c r="J577" s="477"/>
      <c r="K577" s="478"/>
      <c r="L577" s="477"/>
      <c r="M577" s="476"/>
      <c r="O577" s="471"/>
      <c r="P577" s="471"/>
    </row>
    <row r="578" spans="1:16" s="470" customFormat="1" ht="12.75">
      <c r="A578" s="476"/>
      <c r="B578" s="476"/>
      <c r="C578" s="477"/>
      <c r="D578" s="477"/>
      <c r="E578" s="476"/>
      <c r="F578" s="477"/>
      <c r="G578" s="477"/>
      <c r="H578" s="477"/>
      <c r="I578" s="478"/>
      <c r="J578" s="477"/>
      <c r="K578" s="478"/>
      <c r="L578" s="477"/>
      <c r="M578" s="476"/>
      <c r="O578" s="471"/>
      <c r="P578" s="471"/>
    </row>
    <row r="579" spans="1:16" s="470" customFormat="1" ht="12.75">
      <c r="A579" s="476"/>
      <c r="B579" s="476"/>
      <c r="C579" s="477"/>
      <c r="D579" s="477"/>
      <c r="E579" s="476"/>
      <c r="F579" s="477"/>
      <c r="G579" s="477"/>
      <c r="H579" s="477"/>
      <c r="I579" s="478"/>
      <c r="J579" s="477"/>
      <c r="K579" s="478"/>
      <c r="L579" s="477"/>
      <c r="M579" s="476"/>
      <c r="O579" s="471"/>
      <c r="P579" s="471"/>
    </row>
    <row r="580" spans="1:16" s="470" customFormat="1" ht="12.75">
      <c r="A580" s="476"/>
      <c r="B580" s="476"/>
      <c r="C580" s="477"/>
      <c r="D580" s="477"/>
      <c r="E580" s="476"/>
      <c r="F580" s="477"/>
      <c r="G580" s="477"/>
      <c r="H580" s="477"/>
      <c r="I580" s="478"/>
      <c r="J580" s="477"/>
      <c r="K580" s="478"/>
      <c r="L580" s="477"/>
      <c r="M580" s="476"/>
      <c r="O580" s="471"/>
      <c r="P580" s="471"/>
    </row>
    <row r="581" spans="1:16" s="470" customFormat="1" ht="12.75">
      <c r="A581" s="476"/>
      <c r="B581" s="476"/>
      <c r="C581" s="477"/>
      <c r="D581" s="477"/>
      <c r="E581" s="476"/>
      <c r="F581" s="477"/>
      <c r="G581" s="477"/>
      <c r="H581" s="477"/>
      <c r="I581" s="478"/>
      <c r="J581" s="477"/>
      <c r="K581" s="478"/>
      <c r="L581" s="477"/>
      <c r="M581" s="476"/>
      <c r="O581" s="471"/>
      <c r="P581" s="471"/>
    </row>
    <row r="582" spans="1:16" s="470" customFormat="1" ht="12.75">
      <c r="A582" s="476"/>
      <c r="B582" s="476"/>
      <c r="C582" s="477"/>
      <c r="D582" s="477"/>
      <c r="E582" s="476"/>
      <c r="F582" s="477"/>
      <c r="G582" s="477"/>
      <c r="H582" s="477"/>
      <c r="I582" s="478"/>
      <c r="J582" s="477"/>
      <c r="K582" s="478"/>
      <c r="L582" s="477"/>
      <c r="M582" s="476"/>
      <c r="O582" s="471"/>
      <c r="P582" s="471"/>
    </row>
    <row r="583" spans="1:16" s="470" customFormat="1" ht="12.75">
      <c r="A583" s="476"/>
      <c r="B583" s="476"/>
      <c r="C583" s="477"/>
      <c r="D583" s="477"/>
      <c r="E583" s="476"/>
      <c r="F583" s="477"/>
      <c r="G583" s="477"/>
      <c r="H583" s="477"/>
      <c r="I583" s="478"/>
      <c r="J583" s="477"/>
      <c r="K583" s="478"/>
      <c r="L583" s="477"/>
      <c r="M583" s="476"/>
      <c r="O583" s="471"/>
      <c r="P583" s="471"/>
    </row>
    <row r="584" spans="1:16" s="470" customFormat="1" ht="12.75">
      <c r="A584" s="476"/>
      <c r="B584" s="476"/>
      <c r="C584" s="477"/>
      <c r="D584" s="477"/>
      <c r="E584" s="476"/>
      <c r="F584" s="477"/>
      <c r="G584" s="477"/>
      <c r="H584" s="477"/>
      <c r="I584" s="478"/>
      <c r="J584" s="477"/>
      <c r="K584" s="478"/>
      <c r="L584" s="477"/>
      <c r="M584" s="476"/>
      <c r="O584" s="471"/>
      <c r="P584" s="471"/>
    </row>
    <row r="585" spans="1:16" s="470" customFormat="1" ht="12.75">
      <c r="A585" s="476"/>
      <c r="B585" s="476"/>
      <c r="C585" s="477"/>
      <c r="D585" s="477"/>
      <c r="E585" s="476"/>
      <c r="F585" s="477"/>
      <c r="G585" s="477"/>
      <c r="H585" s="477"/>
      <c r="I585" s="478"/>
      <c r="J585" s="477"/>
      <c r="K585" s="478"/>
      <c r="L585" s="477"/>
      <c r="M585" s="476"/>
      <c r="O585" s="471"/>
      <c r="P585" s="471"/>
    </row>
    <row r="586" spans="1:16" s="470" customFormat="1" ht="12.75">
      <c r="A586" s="476"/>
      <c r="B586" s="476"/>
      <c r="C586" s="477"/>
      <c r="D586" s="477"/>
      <c r="E586" s="476"/>
      <c r="F586" s="477"/>
      <c r="G586" s="477"/>
      <c r="H586" s="477"/>
      <c r="I586" s="478"/>
      <c r="J586" s="477"/>
      <c r="K586" s="478"/>
      <c r="L586" s="477"/>
      <c r="M586" s="476"/>
      <c r="O586" s="471"/>
      <c r="P586" s="471"/>
    </row>
    <row r="587" spans="1:16" s="470" customFormat="1" ht="12.75">
      <c r="A587" s="476"/>
      <c r="B587" s="476"/>
      <c r="C587" s="477"/>
      <c r="D587" s="477"/>
      <c r="E587" s="476"/>
      <c r="F587" s="477"/>
      <c r="G587" s="477"/>
      <c r="H587" s="477"/>
      <c r="I587" s="478"/>
      <c r="J587" s="477"/>
      <c r="K587" s="478"/>
      <c r="L587" s="477"/>
      <c r="M587" s="476"/>
      <c r="O587" s="471"/>
      <c r="P587" s="471"/>
    </row>
    <row r="588" spans="1:16" s="470" customFormat="1" ht="12.75">
      <c r="A588" s="476"/>
      <c r="B588" s="476"/>
      <c r="C588" s="477"/>
      <c r="D588" s="477"/>
      <c r="E588" s="476"/>
      <c r="F588" s="477"/>
      <c r="G588" s="477"/>
      <c r="H588" s="477"/>
      <c r="I588" s="478"/>
      <c r="J588" s="477"/>
      <c r="K588" s="478"/>
      <c r="L588" s="477"/>
      <c r="M588" s="476"/>
      <c r="O588" s="471"/>
      <c r="P588" s="471"/>
    </row>
    <row r="589" spans="1:16" s="470" customFormat="1" ht="12.75">
      <c r="A589" s="476"/>
      <c r="B589" s="476"/>
      <c r="C589" s="477"/>
      <c r="D589" s="477"/>
      <c r="E589" s="476"/>
      <c r="F589" s="477"/>
      <c r="G589" s="477"/>
      <c r="H589" s="477"/>
      <c r="I589" s="478"/>
      <c r="J589" s="477"/>
      <c r="K589" s="478"/>
      <c r="L589" s="477"/>
      <c r="M589" s="476"/>
      <c r="O589" s="471"/>
      <c r="P589" s="471"/>
    </row>
    <row r="590" spans="1:16" s="470" customFormat="1" ht="12.75">
      <c r="A590" s="476"/>
      <c r="B590" s="476"/>
      <c r="C590" s="477"/>
      <c r="D590" s="477"/>
      <c r="E590" s="476"/>
      <c r="F590" s="477"/>
      <c r="G590" s="477"/>
      <c r="H590" s="477"/>
      <c r="I590" s="478"/>
      <c r="J590" s="477"/>
      <c r="K590" s="478"/>
      <c r="L590" s="477"/>
      <c r="M590" s="476"/>
      <c r="O590" s="471"/>
      <c r="P590" s="471"/>
    </row>
    <row r="591" spans="1:16" s="470" customFormat="1" ht="12.75">
      <c r="A591" s="476"/>
      <c r="B591" s="476"/>
      <c r="C591" s="477"/>
      <c r="D591" s="477"/>
      <c r="E591" s="476"/>
      <c r="F591" s="477"/>
      <c r="G591" s="477"/>
      <c r="H591" s="477"/>
      <c r="I591" s="478"/>
      <c r="J591" s="477"/>
      <c r="K591" s="478"/>
      <c r="L591" s="477"/>
      <c r="M591" s="476"/>
      <c r="O591" s="471"/>
      <c r="P591" s="471"/>
    </row>
    <row r="592" spans="1:16" s="470" customFormat="1" ht="12.75">
      <c r="A592" s="476"/>
      <c r="B592" s="476"/>
      <c r="C592" s="477"/>
      <c r="D592" s="477"/>
      <c r="E592" s="476"/>
      <c r="F592" s="477"/>
      <c r="G592" s="477"/>
      <c r="H592" s="477"/>
      <c r="I592" s="478"/>
      <c r="J592" s="477"/>
      <c r="K592" s="478"/>
      <c r="L592" s="477"/>
      <c r="M592" s="476"/>
      <c r="O592" s="471"/>
      <c r="P592" s="471"/>
    </row>
    <row r="593" spans="1:16" s="470" customFormat="1" ht="12.75">
      <c r="A593" s="476"/>
      <c r="B593" s="476"/>
      <c r="C593" s="477"/>
      <c r="D593" s="477"/>
      <c r="E593" s="476"/>
      <c r="F593" s="477"/>
      <c r="G593" s="477"/>
      <c r="H593" s="477"/>
      <c r="I593" s="478"/>
      <c r="J593" s="477"/>
      <c r="K593" s="478"/>
      <c r="L593" s="477"/>
      <c r="M593" s="476"/>
      <c r="O593" s="471"/>
      <c r="P593" s="471"/>
    </row>
    <row r="594" spans="1:16" s="470" customFormat="1" ht="12.75">
      <c r="A594" s="476"/>
      <c r="B594" s="476"/>
      <c r="C594" s="477"/>
      <c r="D594" s="477"/>
      <c r="E594" s="476"/>
      <c r="F594" s="477"/>
      <c r="G594" s="477"/>
      <c r="H594" s="477"/>
      <c r="I594" s="478"/>
      <c r="J594" s="477"/>
      <c r="K594" s="478"/>
      <c r="L594" s="477"/>
      <c r="M594" s="476"/>
      <c r="O594" s="471"/>
      <c r="P594" s="471"/>
    </row>
    <row r="595" spans="1:16" s="470" customFormat="1" ht="12.75">
      <c r="A595" s="476"/>
      <c r="B595" s="476"/>
      <c r="C595" s="477"/>
      <c r="D595" s="477"/>
      <c r="E595" s="476"/>
      <c r="F595" s="477"/>
      <c r="G595" s="477"/>
      <c r="H595" s="477"/>
      <c r="I595" s="478"/>
      <c r="J595" s="477"/>
      <c r="K595" s="478"/>
      <c r="L595" s="477"/>
      <c r="M595" s="476"/>
      <c r="O595" s="471"/>
      <c r="P595" s="471"/>
    </row>
    <row r="596" spans="1:16" s="470" customFormat="1" ht="12.75">
      <c r="A596" s="476"/>
      <c r="B596" s="476"/>
      <c r="C596" s="477"/>
      <c r="D596" s="477"/>
      <c r="E596" s="476"/>
      <c r="F596" s="477"/>
      <c r="G596" s="477"/>
      <c r="H596" s="477"/>
      <c r="I596" s="478"/>
      <c r="J596" s="477"/>
      <c r="K596" s="478"/>
      <c r="L596" s="477"/>
      <c r="M596" s="476"/>
      <c r="O596" s="471"/>
      <c r="P596" s="471"/>
    </row>
    <row r="597" spans="1:16" s="470" customFormat="1" ht="12.75">
      <c r="A597" s="476"/>
      <c r="B597" s="476"/>
      <c r="C597" s="477"/>
      <c r="D597" s="477"/>
      <c r="E597" s="476"/>
      <c r="F597" s="477"/>
      <c r="G597" s="477"/>
      <c r="H597" s="477"/>
      <c r="I597" s="478"/>
      <c r="J597" s="477"/>
      <c r="K597" s="478"/>
      <c r="L597" s="477"/>
      <c r="M597" s="476"/>
      <c r="O597" s="471"/>
      <c r="P597" s="471"/>
    </row>
    <row r="598" spans="1:16" s="470" customFormat="1" ht="12.75">
      <c r="A598" s="476"/>
      <c r="B598" s="476"/>
      <c r="C598" s="477"/>
      <c r="D598" s="477"/>
      <c r="E598" s="476"/>
      <c r="F598" s="477"/>
      <c r="G598" s="477"/>
      <c r="H598" s="477"/>
      <c r="I598" s="478"/>
      <c r="J598" s="477"/>
      <c r="K598" s="478"/>
      <c r="L598" s="477"/>
      <c r="M598" s="476"/>
      <c r="O598" s="471"/>
      <c r="P598" s="471"/>
    </row>
    <row r="599" spans="1:16" s="470" customFormat="1" ht="12.75">
      <c r="A599" s="476"/>
      <c r="B599" s="476"/>
      <c r="C599" s="477"/>
      <c r="D599" s="477"/>
      <c r="E599" s="476"/>
      <c r="F599" s="477"/>
      <c r="G599" s="477"/>
      <c r="H599" s="477"/>
      <c r="I599" s="478"/>
      <c r="J599" s="477"/>
      <c r="K599" s="478"/>
      <c r="L599" s="477"/>
      <c r="M599" s="476"/>
      <c r="O599" s="471"/>
      <c r="P599" s="471"/>
    </row>
    <row r="600" spans="1:16" s="470" customFormat="1" ht="12.75">
      <c r="A600" s="476"/>
      <c r="B600" s="476"/>
      <c r="C600" s="477"/>
      <c r="D600" s="477"/>
      <c r="E600" s="476"/>
      <c r="F600" s="477"/>
      <c r="G600" s="477"/>
      <c r="H600" s="477"/>
      <c r="I600" s="478"/>
      <c r="J600" s="477"/>
      <c r="K600" s="478"/>
      <c r="L600" s="477"/>
      <c r="M600" s="476"/>
      <c r="O600" s="471"/>
      <c r="P600" s="471"/>
    </row>
    <row r="601" spans="1:16" s="470" customFormat="1" ht="12.75">
      <c r="A601" s="476"/>
      <c r="B601" s="476"/>
      <c r="C601" s="477"/>
      <c r="D601" s="477"/>
      <c r="E601" s="476"/>
      <c r="F601" s="477"/>
      <c r="G601" s="477"/>
      <c r="H601" s="477"/>
      <c r="I601" s="478"/>
      <c r="J601" s="477"/>
      <c r="K601" s="478"/>
      <c r="L601" s="477"/>
      <c r="M601" s="476"/>
      <c r="O601" s="471"/>
      <c r="P601" s="471"/>
    </row>
    <row r="602" spans="1:16" s="470" customFormat="1" ht="12.75">
      <c r="A602" s="476"/>
      <c r="B602" s="476"/>
      <c r="C602" s="477"/>
      <c r="D602" s="477"/>
      <c r="E602" s="476"/>
      <c r="F602" s="477"/>
      <c r="G602" s="477"/>
      <c r="H602" s="477"/>
      <c r="I602" s="478"/>
      <c r="J602" s="477"/>
      <c r="K602" s="478"/>
      <c r="L602" s="477"/>
      <c r="M602" s="476"/>
      <c r="O602" s="471"/>
      <c r="P602" s="471"/>
    </row>
    <row r="603" spans="1:16" s="470" customFormat="1" ht="12.75">
      <c r="A603" s="476"/>
      <c r="B603" s="476"/>
      <c r="C603" s="477"/>
      <c r="D603" s="477"/>
      <c r="E603" s="476"/>
      <c r="F603" s="477"/>
      <c r="G603" s="477"/>
      <c r="H603" s="477"/>
      <c r="I603" s="478"/>
      <c r="J603" s="477"/>
      <c r="K603" s="478"/>
      <c r="L603" s="477"/>
      <c r="M603" s="476"/>
      <c r="O603" s="471"/>
      <c r="P603" s="471"/>
    </row>
    <row r="604" spans="1:16" s="470" customFormat="1" ht="12.75">
      <c r="A604" s="476"/>
      <c r="B604" s="476"/>
      <c r="C604" s="477"/>
      <c r="D604" s="477"/>
      <c r="E604" s="476"/>
      <c r="F604" s="477"/>
      <c r="G604" s="477"/>
      <c r="H604" s="477"/>
      <c r="I604" s="478"/>
      <c r="J604" s="477"/>
      <c r="K604" s="478"/>
      <c r="L604" s="477"/>
      <c r="M604" s="476"/>
      <c r="O604" s="471"/>
      <c r="P604" s="471"/>
    </row>
    <row r="605" spans="1:16" s="470" customFormat="1" ht="12.75">
      <c r="A605" s="476"/>
      <c r="B605" s="476"/>
      <c r="C605" s="477"/>
      <c r="D605" s="477"/>
      <c r="E605" s="476"/>
      <c r="F605" s="477"/>
      <c r="G605" s="477"/>
      <c r="H605" s="477"/>
      <c r="I605" s="478"/>
      <c r="J605" s="477"/>
      <c r="K605" s="478"/>
      <c r="L605" s="477"/>
      <c r="M605" s="476"/>
      <c r="O605" s="471"/>
      <c r="P605" s="471"/>
    </row>
    <row r="606" spans="1:16" s="470" customFormat="1" ht="12.75">
      <c r="A606" s="476"/>
      <c r="B606" s="476"/>
      <c r="C606" s="477"/>
      <c r="D606" s="477"/>
      <c r="E606" s="476"/>
      <c r="F606" s="477"/>
      <c r="G606" s="477"/>
      <c r="H606" s="477"/>
      <c r="I606" s="478"/>
      <c r="J606" s="477"/>
      <c r="K606" s="478"/>
      <c r="L606" s="477"/>
      <c r="M606" s="476"/>
      <c r="O606" s="471"/>
      <c r="P606" s="471"/>
    </row>
    <row r="607" spans="1:16" s="470" customFormat="1" ht="12.75">
      <c r="A607" s="476"/>
      <c r="B607" s="476"/>
      <c r="C607" s="477"/>
      <c r="D607" s="477"/>
      <c r="E607" s="476"/>
      <c r="F607" s="477"/>
      <c r="G607" s="477"/>
      <c r="H607" s="477"/>
      <c r="I607" s="478"/>
      <c r="J607" s="477"/>
      <c r="K607" s="478"/>
      <c r="L607" s="477"/>
      <c r="M607" s="476"/>
      <c r="O607" s="471"/>
      <c r="P607" s="471"/>
    </row>
    <row r="608" spans="1:16" s="470" customFormat="1" ht="12.75">
      <c r="A608" s="476"/>
      <c r="B608" s="476"/>
      <c r="C608" s="477"/>
      <c r="D608" s="477"/>
      <c r="E608" s="476"/>
      <c r="F608" s="477"/>
      <c r="G608" s="477"/>
      <c r="H608" s="477"/>
      <c r="I608" s="478"/>
      <c r="J608" s="477"/>
      <c r="K608" s="478"/>
      <c r="L608" s="477"/>
      <c r="M608" s="476"/>
      <c r="O608" s="471"/>
      <c r="P608" s="471"/>
    </row>
    <row r="609" spans="1:16" s="470" customFormat="1" ht="12.75">
      <c r="A609" s="476"/>
      <c r="B609" s="476"/>
      <c r="C609" s="477"/>
      <c r="D609" s="477"/>
      <c r="E609" s="476"/>
      <c r="F609" s="477"/>
      <c r="G609" s="477"/>
      <c r="H609" s="477"/>
      <c r="I609" s="478"/>
      <c r="J609" s="477"/>
      <c r="K609" s="478"/>
      <c r="L609" s="477"/>
      <c r="M609" s="476"/>
      <c r="O609" s="471"/>
      <c r="P609" s="471"/>
    </row>
    <row r="610" spans="1:16" s="470" customFormat="1" ht="12.75">
      <c r="A610" s="476"/>
      <c r="B610" s="476"/>
      <c r="C610" s="477"/>
      <c r="D610" s="477"/>
      <c r="E610" s="476"/>
      <c r="F610" s="477"/>
      <c r="G610" s="477"/>
      <c r="H610" s="477"/>
      <c r="I610" s="478"/>
      <c r="J610" s="477"/>
      <c r="K610" s="478"/>
      <c r="L610" s="477"/>
      <c r="M610" s="476"/>
      <c r="O610" s="471"/>
      <c r="P610" s="471"/>
    </row>
    <row r="611" spans="1:16" s="470" customFormat="1" ht="12.75">
      <c r="A611" s="476"/>
      <c r="B611" s="476"/>
      <c r="C611" s="477"/>
      <c r="D611" s="477"/>
      <c r="E611" s="476"/>
      <c r="F611" s="477"/>
      <c r="G611" s="477"/>
      <c r="H611" s="477"/>
      <c r="I611" s="478"/>
      <c r="J611" s="477"/>
      <c r="K611" s="478"/>
      <c r="L611" s="477"/>
      <c r="M611" s="476"/>
      <c r="O611" s="471"/>
      <c r="P611" s="471"/>
    </row>
    <row r="612" spans="1:16" s="470" customFormat="1" ht="12.75">
      <c r="A612" s="476"/>
      <c r="B612" s="476"/>
      <c r="C612" s="477"/>
      <c r="D612" s="477"/>
      <c r="E612" s="476"/>
      <c r="F612" s="477"/>
      <c r="G612" s="477"/>
      <c r="H612" s="477"/>
      <c r="I612" s="478"/>
      <c r="J612" s="477"/>
      <c r="K612" s="478"/>
      <c r="L612" s="477"/>
      <c r="M612" s="476"/>
      <c r="O612" s="471"/>
      <c r="P612" s="471"/>
    </row>
    <row r="613" spans="1:16" s="470" customFormat="1" ht="12.75">
      <c r="A613" s="476"/>
      <c r="B613" s="476"/>
      <c r="C613" s="477"/>
      <c r="D613" s="477"/>
      <c r="E613" s="476"/>
      <c r="F613" s="477"/>
      <c r="G613" s="477"/>
      <c r="H613" s="477"/>
      <c r="I613" s="478"/>
      <c r="J613" s="477"/>
      <c r="K613" s="478"/>
      <c r="L613" s="477"/>
      <c r="M613" s="476"/>
      <c r="O613" s="471"/>
      <c r="P613" s="471"/>
    </row>
    <row r="614" spans="1:16" s="470" customFormat="1" ht="12.75">
      <c r="A614" s="476"/>
      <c r="B614" s="476"/>
      <c r="C614" s="477"/>
      <c r="D614" s="477"/>
      <c r="E614" s="476"/>
      <c r="F614" s="477"/>
      <c r="G614" s="477"/>
      <c r="H614" s="477"/>
      <c r="I614" s="478"/>
      <c r="J614" s="477"/>
      <c r="K614" s="478"/>
      <c r="L614" s="477"/>
      <c r="M614" s="476"/>
      <c r="O614" s="471"/>
      <c r="P614" s="471"/>
    </row>
    <row r="615" spans="1:16" s="470" customFormat="1" ht="12.75">
      <c r="A615" s="476"/>
      <c r="B615" s="476"/>
      <c r="C615" s="477"/>
      <c r="D615" s="477"/>
      <c r="E615" s="476"/>
      <c r="F615" s="477"/>
      <c r="G615" s="477"/>
      <c r="H615" s="477"/>
      <c r="I615" s="478"/>
      <c r="J615" s="477"/>
      <c r="K615" s="478"/>
      <c r="L615" s="477"/>
      <c r="M615" s="476"/>
      <c r="O615" s="471"/>
      <c r="P615" s="471"/>
    </row>
  </sheetData>
  <sheetProtection/>
  <mergeCells count="14">
    <mergeCell ref="G26:I26"/>
    <mergeCell ref="A7:A8"/>
    <mergeCell ref="B7:B8"/>
    <mergeCell ref="C7:C8"/>
    <mergeCell ref="D7:D8"/>
    <mergeCell ref="E7:E8"/>
    <mergeCell ref="A1:M1"/>
    <mergeCell ref="A3:M3"/>
    <mergeCell ref="F7:F8"/>
    <mergeCell ref="G7:H7"/>
    <mergeCell ref="I7:J7"/>
    <mergeCell ref="K7:L7"/>
    <mergeCell ref="M7:M8"/>
    <mergeCell ref="A5:M5"/>
  </mergeCells>
  <printOptions horizontalCentered="1"/>
  <pageMargins left="0.2" right="0.2" top="0.5" bottom="0.5" header="0.433070866141732" footer="0.196850393700787"/>
  <pageSetup cellComments="asDisplayed" horizontalDpi="600" verticalDpi="600" orientation="landscape" paperSize="9" scale="9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MegaWatt.ge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subject/>
  <dc:creator>Alex &amp; Alex</dc:creator>
  <cp:keywords/>
  <dc:description>893 33 15 96</dc:description>
  <cp:lastModifiedBy>Tamar Gelashvili</cp:lastModifiedBy>
  <cp:lastPrinted>2018-12-25T13:11:52Z</cp:lastPrinted>
  <dcterms:created xsi:type="dcterms:W3CDTF">2004-08-24T15:11:32Z</dcterms:created>
  <dcterms:modified xsi:type="dcterms:W3CDTF">2019-04-18T14:42:51Z</dcterms:modified>
  <cp:category/>
  <cp:version/>
  <cp:contentType/>
  <cp:contentStatus/>
</cp:coreProperties>
</file>