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0" yWindow="0" windowWidth="20730" windowHeight="11760" activeTab="1"/>
  </bookViews>
  <sheets>
    <sheet name="კრებსითი" sheetId="4" r:id="rId1"/>
    <sheet name="1-1" sheetId="5" r:id="rId2"/>
    <sheet name="2-1" sheetId="9" r:id="rId3"/>
    <sheet name="4-1" sheetId="24" r:id="rId4"/>
    <sheet name="სატენდერო კრებსითი" sheetId="31" r:id="rId5"/>
    <sheet name="სატენდერო" sheetId="30" r:id="rId6"/>
    <sheet name="ტრანსპორტირება" sheetId="29" r:id="rId7"/>
  </sheets>
  <definedNames>
    <definedName name="_xlnm.Print_Area" localSheetId="1">'1-1'!$A$1:$M$29</definedName>
    <definedName name="_xlnm.Print_Area" localSheetId="2">'2-1'!$A$1:$M$24</definedName>
    <definedName name="_xlnm.Print_Area" localSheetId="3">'4-1'!$A$1:$M$89</definedName>
    <definedName name="_xlnm.Print_Area" localSheetId="0">კრებსითი!$A$1:$G$33</definedName>
    <definedName name="_xlnm.Print_Area" localSheetId="5">სატენდერო!$A$1:$I$54</definedName>
    <definedName name="_xlnm.Print_Area" localSheetId="4">'სატენდერო კრებსითი'!$A$1:$D$31</definedName>
    <definedName name="_xlnm.Print_Area" localSheetId="6">ტრანსპორტირება!$A$1:$L$74</definedName>
    <definedName name="აგური251210">ტრანსპორტირება!$J$49</definedName>
    <definedName name="აგური251211">ტრანსპორტირება!$K$49</definedName>
    <definedName name="ანაკრებიკიუვეტი10">ტრანსპორტირება!$J$66</definedName>
    <definedName name="ანაკრებიკიუვეტი11">ტრანსპორტირება!$K$66</definedName>
    <definedName name="არმატურაა110">ტრანსპორტირება!$J$32</definedName>
    <definedName name="არმატურაა111">ტრანსპორტირება!$K$32</definedName>
    <definedName name="არმატურაა310">ტრანსპორტირება!$J$33</definedName>
    <definedName name="არმატურაა311">ტრანსპორტირება!$K$33</definedName>
    <definedName name="ბაგირიფოლადის10">ტრანსპორტირება!$J$60</definedName>
    <definedName name="ბაგირიფოლადის11">ტრანსპორტირება!$K$60</definedName>
    <definedName name="ბარიერიბეტონის10">ტრანსპორტირება!$J$64</definedName>
    <definedName name="ბარიერიბეტონის11">ტრანსპორტირება!$K$64</definedName>
    <definedName name="ბეტონიბ1510">ტრანსპორტირება!$J$26</definedName>
    <definedName name="ბეტონიბ1511">ტრანსპორტირება!$K$26</definedName>
    <definedName name="ბეტონიბ22510">ტრანსპორტირება!$J$27</definedName>
    <definedName name="ბეტონიბ22511">ტრანსპორტირება!$K$27</definedName>
    <definedName name="ბეტონიბ2510">ტრანსპორტირება!$J$29</definedName>
    <definedName name="ბეტონიბ2510უ">ტრანსპორტირება!$J$28</definedName>
    <definedName name="ბეტონიბ2511">ტრანსპორტირება!$K$29</definedName>
    <definedName name="ბეტონიბ2511უ">ტრანსპორტირება!$K$28</definedName>
    <definedName name="ბეტონიბ3010">ტრანსპორტირება!$J$31</definedName>
    <definedName name="ბეტონიბ3010უ">ტრანსპორტირება!$J$30</definedName>
    <definedName name="ბეტონიბ3011">ტრანსპორტირება!$K$31</definedName>
    <definedName name="ბეტონიბ3011უ">ტრანსპორტირება!$K$30</definedName>
    <definedName name="ბეტონიბ710">ტრანსპორტირება!$J$25</definedName>
    <definedName name="ბეტონიბ711">ტრანსპორტირება!$K$25</definedName>
    <definedName name="ბეტონისქვაფენილი10">ტრანსპორტირება!$J$70</definedName>
    <definedName name="ბეტონისქვაფენილი11">ტრანსპორტირება!$K$70</definedName>
    <definedName name="ბიტუმინავთობის10">ტრანსპორტირება!$J$47</definedName>
    <definedName name="ბიტუმინავთობის11">ტრანსპორტირება!$K$47</definedName>
    <definedName name="ბიტუმისემულსია10">ტრანსპორტირება!$J$48</definedName>
    <definedName name="ბიტუმისემულსია11">ტრანსპორტირება!$K$48</definedName>
    <definedName name="ბლოკიბეტონის10">ტრანსპორტირება!$J$65</definedName>
    <definedName name="ბლოკიბეტონის11">ტრანსპორტირება!$K$65</definedName>
    <definedName name="გაბიონი1.51110">ტრანსპორტირება!$J$62</definedName>
    <definedName name="გაბიონი1.51111">ტრანსპორტირება!$K$62</definedName>
    <definedName name="გაბიონი21110">ტრანსპორტირება!$J$61</definedName>
    <definedName name="გაბიონი21111">ტრანსპორტირება!$K$61</definedName>
    <definedName name="დგარიცდ10">ტრანსპორტირება!$J$58</definedName>
    <definedName name="დგარიცდ11">ტრანსპორტირება!$K$58</definedName>
    <definedName name="კუთხოვანა608010">ტრანსპორტირება!$J$51</definedName>
    <definedName name="კუთხოვანა608011">ტრანსპორტირება!$K$51</definedName>
    <definedName name="ლითონისდგარი10210">ტრანსპორტირება!$J$55</definedName>
    <definedName name="ლითონისდგარი10211">ტრანსპორტირება!$K$55</definedName>
    <definedName name="ლითონისდგარი11410">ტრანსპორტირება!$J$56</definedName>
    <definedName name="ლითონისდგარი11411">ტრანსპორტირება!$K$56</definedName>
    <definedName name="ლითონისდგარი7610">ტრანსპორტირება!$J$54</definedName>
    <definedName name="ლითონისდგარი7611">ტრანსპორტირება!$K$54</definedName>
    <definedName name="ლითონისმილი10">ტრანსპორტირება!$J$50</definedName>
    <definedName name="ლითონისმილი11">ტრანსპორტირება!$K$50</definedName>
    <definedName name="ლითონისმილიდ150010">ტრანსპორტირება!$J$57</definedName>
    <definedName name="ლითონისმილიდ150011">ტრანსპორტირება!$K$57</definedName>
    <definedName name="ლითონისმოაჯირი10">ტრანსპორტირება!$J$63</definedName>
    <definedName name="ლითონისმოაჯირი11">ტრანსპორტირება!$K$63</definedName>
    <definedName name="მილი1მრბ100010">ტრანსპორტირება!$J$68</definedName>
    <definedName name="მილი1მრბ100011">ტრანსპორტირება!$K$68</definedName>
    <definedName name="მილი1მრბ150010">ტრანსპორტირება!$J$69</definedName>
    <definedName name="მილი1მრბ150011">ტრანსპორტირება!$K$69</definedName>
    <definedName name="მილირბ100010">ტრანსპორტირება!$J$67</definedName>
    <definedName name="მილირბ100011">ტრანსპორტირება!$K$67</definedName>
    <definedName name="მსხვილმარცვლოვანიასფალტობეტონი10">ტრანსპორტირება!$J$34</definedName>
    <definedName name="მსხვილმარცვლოვანიასფალტობეტონი11">ტრანსპორტირება!$K$34</definedName>
    <definedName name="რესორიფოლადის10">ტრანსპორტირება!$J$59</definedName>
    <definedName name="რესორიფოლადის11">ტრანსპორტირება!$K$59</definedName>
    <definedName name="ფიცარიჩამოგანილი10">ტრანსპორტირება!$J$44</definedName>
    <definedName name="ფიცარიჩამოგანილი11">ტრანსპორტირება!$K$44</definedName>
    <definedName name="ფიცარიჩამოგანილი2510">ტრანსპორტირება!$J$43</definedName>
    <definedName name="ფიცარიჩამოგანილი2511">ტრანსპორტირება!$K$43</definedName>
    <definedName name="ფიცარიჩამოგანილი7010">ტრანსპორტირება!$J$45</definedName>
    <definedName name="ფიცარიჩამოგანილი7011">ტრანსპორტირება!$K$45</definedName>
    <definedName name="ფლეთილიქვა10">ტრანსპორტირება!$J$41</definedName>
    <definedName name="ფლეთილიქვა11">ტრანსპორტირება!$K$41</definedName>
    <definedName name="ფოლადისზოლოვანა6010">ტრანსპორტირება!$J$52</definedName>
    <definedName name="ფოლადისზოლოვანა6011">ტრანსპორტირება!$K$52</definedName>
    <definedName name="ფოლადისკვადრატი10">ტრანსპორტირება!$J$53</definedName>
    <definedName name="ფოლადისკვადრატი11">ტრანსპორტირება!$K$53</definedName>
    <definedName name="ქვიშაყვითელი10">ტრანსპორტირება!$J$39</definedName>
    <definedName name="ქვიშაყვითელი11">ტრანსპორტირება!$K$39</definedName>
    <definedName name="ქვიშაშავი10">ტრანსპორტირება!$J$38</definedName>
    <definedName name="ქვიშაშავი11">ტრანსპორტირება!$K$38</definedName>
    <definedName name="ქვიშახრეშოვანინარევი10">ტრანსპორტირება!$J$37</definedName>
    <definedName name="ქვიშახრეშოვანინარევი11">ტრანსპორტირება!$K$37</definedName>
    <definedName name="ღორღი10">ტრანსპორტირება!$J$36</definedName>
    <definedName name="ღორღი11">ტრანსპორტირება!$K$36</definedName>
    <definedName name="ყალიბისფიცარი4010">ტრანსპორტირება!$J$42</definedName>
    <definedName name="ყალიბისფიცარი4011">ტრანსპორტირება!$K$42</definedName>
    <definedName name="ყორექვა10">ტრანსპორტირება!$J$40</definedName>
    <definedName name="ყორექვა11">ტრანსპორტირება!$K$40</definedName>
    <definedName name="ცემენტიმ40010">ტრანსპორტირება!$J$21</definedName>
    <definedName name="ცემენტიმ40011">ტრანსპორტირება!$K$21</definedName>
    <definedName name="ცემენტისსხნარიმ20010">ტრანსპორტირება!$J$22</definedName>
    <definedName name="ცემენტისხნსარი1210">ტრანსპორტირება!$J$23</definedName>
    <definedName name="ცემენტისხსნარი1211">ტრანსპორტირება!$K$23</definedName>
    <definedName name="ცემენტისხსნარი1310">ტრანსპორტირება!$J$24</definedName>
    <definedName name="ცემენტისხსნარი1311">ტრანსპორტირება!$K$24</definedName>
    <definedName name="ცემენტისხსნარიმ20011">ტრანსპორტირება!$K$22</definedName>
    <definedName name="წვრილმარცვლოვანიასფალტობეტონი10">ტრანსპორტირება!$J$35</definedName>
    <definedName name="წვრილმარცვლოვანიასფალტობეტონი11">ტრანსპორტირება!$K$35</definedName>
    <definedName name="ხისმორი10">ტრანსპორტირება!$J$46</definedName>
    <definedName name="ხისმორი11">ტრანსპორტირება!$K$46</definedName>
  </definedName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/>
  <c r="E17"/>
  <c r="G17" s="1"/>
  <c r="D17"/>
  <c r="F15"/>
  <c r="E15"/>
  <c r="D15"/>
  <c r="F19"/>
  <c r="F13"/>
  <c r="E13"/>
  <c r="D13"/>
  <c r="G13" s="1"/>
  <c r="E16" i="5"/>
  <c r="F16" s="1"/>
  <c r="F10" i="9"/>
  <c r="F11" s="1"/>
  <c r="E68" i="24"/>
  <c r="F68" s="1"/>
  <c r="E64"/>
  <c r="F63"/>
  <c r="F67"/>
  <c r="F66"/>
  <c r="F65"/>
  <c r="F62"/>
  <c r="F56"/>
  <c r="F71"/>
  <c r="E47"/>
  <c r="E46"/>
  <c r="F44"/>
  <c r="E41"/>
  <c r="F40"/>
  <c r="F45" s="1"/>
  <c r="F37"/>
  <c r="F36"/>
  <c r="E33"/>
  <c r="E32"/>
  <c r="E27"/>
  <c r="F26"/>
  <c r="F28" s="1"/>
  <c r="F23"/>
  <c r="F22"/>
  <c r="F19"/>
  <c r="F18"/>
  <c r="F17"/>
  <c r="F10"/>
  <c r="F12" s="1"/>
  <c r="G15" i="4" l="1"/>
  <c r="G19" s="1"/>
  <c r="G21" s="1"/>
  <c r="G22" s="1"/>
  <c r="G23" s="1"/>
  <c r="G24" s="1"/>
  <c r="E19"/>
  <c r="D19"/>
  <c r="F12" i="9"/>
  <c r="F32" i="24"/>
  <c r="F27"/>
  <c r="F31"/>
  <c r="F33"/>
  <c r="F13"/>
  <c r="F64"/>
  <c r="F14"/>
  <c r="F46"/>
  <c r="F15"/>
  <c r="F11"/>
  <c r="F16"/>
  <c r="F41"/>
  <c r="F47"/>
  <c r="F30"/>
  <c r="F43"/>
  <c r="F29"/>
  <c r="F42"/>
  <c r="G25" i="4" l="1"/>
  <c r="G26" s="1"/>
  <c r="G27" l="1"/>
  <c r="G29" s="1"/>
  <c r="J33" i="29" l="1"/>
  <c r="J31"/>
  <c r="J30"/>
  <c r="J29"/>
  <c r="I42" i="30" l="1"/>
  <c r="I41"/>
  <c r="I40"/>
  <c r="D42"/>
  <c r="D41"/>
  <c r="D40"/>
  <c r="C42"/>
  <c r="E42" s="1"/>
  <c r="C41"/>
  <c r="E41" s="1"/>
  <c r="C40"/>
  <c r="E40" s="1"/>
  <c r="A42"/>
  <c r="A41"/>
  <c r="A40"/>
  <c r="B42"/>
  <c r="B41"/>
  <c r="B40"/>
  <c r="F60" i="24"/>
  <c r="F59"/>
  <c r="F75"/>
  <c r="F74"/>
  <c r="E73"/>
  <c r="F73" s="1"/>
  <c r="E72"/>
  <c r="F72" s="1"/>
  <c r="F41" i="30" l="1"/>
  <c r="F42"/>
  <c r="F40"/>
  <c r="H41"/>
  <c r="G41" l="1"/>
  <c r="F55" i="24"/>
  <c r="F54"/>
  <c r="F53"/>
  <c r="F52"/>
  <c r="F51"/>
  <c r="H42" i="30" l="1"/>
  <c r="G42" s="1"/>
  <c r="H40" l="1"/>
  <c r="G40" s="1"/>
  <c r="G70" i="29"/>
  <c r="K70" s="1"/>
  <c r="G69" l="1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I39" i="30" l="1"/>
  <c r="I38"/>
  <c r="I37"/>
  <c r="I36"/>
  <c r="I35"/>
  <c r="D38"/>
  <c r="D37"/>
  <c r="D36"/>
  <c r="D35"/>
  <c r="C39"/>
  <c r="E39" s="1"/>
  <c r="C38"/>
  <c r="E38" s="1"/>
  <c r="C37"/>
  <c r="E37" s="1"/>
  <c r="C36"/>
  <c r="E36" s="1"/>
  <c r="C35"/>
  <c r="E35" s="1"/>
  <c r="A39"/>
  <c r="A38"/>
  <c r="A37"/>
  <c r="A36"/>
  <c r="A35"/>
  <c r="B39"/>
  <c r="B38"/>
  <c r="B37"/>
  <c r="B36"/>
  <c r="B35"/>
  <c r="B34"/>
  <c r="B23" i="31" s="1"/>
  <c r="I28" i="30"/>
  <c r="D28"/>
  <c r="C28"/>
  <c r="E28" s="1"/>
  <c r="A28"/>
  <c r="B28"/>
  <c r="B27"/>
  <c r="B21" i="31" s="1"/>
  <c r="B20" i="30"/>
  <c r="B19" i="31" s="1"/>
  <c r="I21" i="30"/>
  <c r="D21"/>
  <c r="C21"/>
  <c r="A21"/>
  <c r="B21"/>
  <c r="A13"/>
  <c r="A3"/>
  <c r="A3" i="31" s="1"/>
  <c r="A7" i="30"/>
  <c r="A7" i="31" s="1"/>
  <c r="F37" i="30" l="1"/>
  <c r="F35"/>
  <c r="F38"/>
  <c r="F36"/>
  <c r="F28"/>
  <c r="F21"/>
  <c r="E21"/>
  <c r="D39" l="1"/>
  <c r="F39" s="1"/>
  <c r="K69" i="29" l="1"/>
  <c r="A22"/>
  <c r="H28" i="30" l="1"/>
  <c r="G28" s="1"/>
  <c r="K68" i="29" l="1"/>
  <c r="J68"/>
  <c r="J67"/>
  <c r="D67"/>
  <c r="K67" s="1"/>
  <c r="D66"/>
  <c r="K66" s="1"/>
  <c r="K65"/>
  <c r="K64"/>
  <c r="D64"/>
  <c r="K63"/>
  <c r="K62"/>
  <c r="K61"/>
  <c r="K60"/>
  <c r="K59"/>
  <c r="K58"/>
  <c r="K57"/>
  <c r="J56"/>
  <c r="D56"/>
  <c r="K56" s="1"/>
  <c r="K55"/>
  <c r="J55"/>
  <c r="D55"/>
  <c r="K54"/>
  <c r="J54"/>
  <c r="D54"/>
  <c r="K53"/>
  <c r="K52"/>
  <c r="K51"/>
  <c r="K50"/>
  <c r="K49"/>
  <c r="K48"/>
  <c r="K47"/>
  <c r="K46"/>
  <c r="K45"/>
  <c r="K44"/>
  <c r="K43"/>
  <c r="D42"/>
  <c r="K42" s="1"/>
  <c r="K41"/>
  <c r="K40"/>
  <c r="K39"/>
  <c r="K38"/>
  <c r="K37"/>
  <c r="K36"/>
  <c r="K35"/>
  <c r="H39" i="30" s="1"/>
  <c r="G39" s="1"/>
  <c r="K34" i="29"/>
  <c r="K33"/>
  <c r="K32"/>
  <c r="K31"/>
  <c r="K30"/>
  <c r="K29"/>
  <c r="K28"/>
  <c r="K27"/>
  <c r="K26"/>
  <c r="K25"/>
  <c r="K24"/>
  <c r="K23"/>
  <c r="K22"/>
  <c r="K21"/>
  <c r="A3"/>
  <c r="H37" i="30" l="1"/>
  <c r="G37" s="1"/>
  <c r="H38"/>
  <c r="G38" s="1"/>
  <c r="A7" i="29"/>
  <c r="B17" i="4" l="1"/>
  <c r="B15"/>
  <c r="B13" l="1"/>
  <c r="H36" i="30" l="1"/>
  <c r="G36" s="1"/>
  <c r="H35" l="1"/>
  <c r="G35" l="1"/>
  <c r="H43"/>
  <c r="H44" s="1"/>
  <c r="H45" s="1"/>
  <c r="H46" s="1"/>
  <c r="H47" s="1"/>
  <c r="D23" i="31" s="1"/>
  <c r="H21" i="30" l="1"/>
  <c r="H22" l="1"/>
  <c r="H23" s="1"/>
  <c r="H24" s="1"/>
  <c r="H25" s="1"/>
  <c r="H26" s="1"/>
  <c r="D19" i="31" s="1"/>
  <c r="G21" i="30"/>
  <c r="H29"/>
  <c r="H30" s="1"/>
  <c r="H31" s="1"/>
  <c r="H32" s="1"/>
  <c r="H33" s="1"/>
  <c r="D21" i="31" s="1"/>
  <c r="D24" l="1"/>
  <c r="D25" s="1"/>
  <c r="D26" s="1"/>
  <c r="D27" s="1"/>
  <c r="D28" s="1"/>
</calcChain>
</file>

<file path=xl/sharedStrings.xml><?xml version="1.0" encoding="utf-8"?>
<sst xmlns="http://schemas.openxmlformats.org/spreadsheetml/2006/main" count="644" uniqueCount="266">
  <si>
    <t>1.1.1</t>
  </si>
  <si>
    <t>კაც/სთ</t>
  </si>
  <si>
    <t>N</t>
  </si>
  <si>
    <t>სამუშაოებისა და მასალების დასახელება</t>
  </si>
  <si>
    <t>ჯამი</t>
  </si>
  <si>
    <t>ნორმა</t>
  </si>
  <si>
    <t>ხელფასი</t>
  </si>
  <si>
    <t>განზ. ერთ.</t>
  </si>
  <si>
    <t>რაოდენობა</t>
  </si>
  <si>
    <t>I</t>
  </si>
  <si>
    <t>ზედნადები ხარჯები</t>
  </si>
  <si>
    <t>გეგმიური დაგროვება</t>
  </si>
  <si>
    <t>%</t>
  </si>
  <si>
    <t>სხვა მანქანები</t>
  </si>
  <si>
    <t>სხვა მასალები</t>
  </si>
  <si>
    <t>შრომითი დანახარჯები</t>
  </si>
  <si>
    <t>II</t>
  </si>
  <si>
    <t xml:space="preserve">დამკვეთი: </t>
  </si>
  <si>
    <t xml:space="preserve">საპროექტო ორგანიზაცია: </t>
  </si>
  <si>
    <t>სამშენებლო კომპანია:</t>
  </si>
  <si>
    <t>ოთარ დავითაძე</t>
  </si>
  <si>
    <t>1.2.1</t>
  </si>
  <si>
    <t>1.4.1</t>
  </si>
  <si>
    <t>ტ</t>
  </si>
  <si>
    <t>მანქ/სთ</t>
  </si>
  <si>
    <t>ლარი</t>
  </si>
  <si>
    <t>გაუთვალისწინებელი ხარჯები</t>
  </si>
  <si>
    <t>დ.ღ.გ</t>
  </si>
  <si>
    <t xml:space="preserve">                  ფასთა კრებული: 2017 წლის მე-4 კვარტალი </t>
  </si>
  <si>
    <t xml:space="preserve">                                ვალუტა: ლარი ₾</t>
  </si>
  <si>
    <t>მოსამზადებელი სამუშაოები</t>
  </si>
  <si>
    <t>ტრასის აღდგენა და გამაგრება</t>
  </si>
  <si>
    <t>კმ</t>
  </si>
  <si>
    <t>1.2.2</t>
  </si>
  <si>
    <t xml:space="preserve">შრომითი დანახარჯები </t>
  </si>
  <si>
    <t>ტვირთის ტრანსპორტირების ხარჯები</t>
  </si>
  <si>
    <t>მასალის დასახელება</t>
  </si>
  <si>
    <t>სამონტაჟო მასალები</t>
  </si>
  <si>
    <t>ტრანსპორტირების მანძილი              (კმ)</t>
  </si>
  <si>
    <t>კრებისთი ხარჯთაღრიცხვა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</si>
  <si>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</si>
  <si>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</si>
  <si>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</si>
  <si>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</si>
  <si>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თავი 1. მოსამზადებელი სამუშაოები</t>
  </si>
  <si>
    <t>თავი 2. მიწის ვაკისი</t>
  </si>
  <si>
    <t>თავი 4. გზის სამოსი</t>
  </si>
  <si>
    <t>მიწის ვაკისი</t>
  </si>
  <si>
    <t xml:space="preserve">ხარჯთაღმრიცხველი: </t>
  </si>
  <si>
    <t>Checked</t>
  </si>
  <si>
    <t>1.6.1</t>
  </si>
  <si>
    <t>1.6.2</t>
  </si>
  <si>
    <t>1.7.1</t>
  </si>
  <si>
    <t>1.7.2</t>
  </si>
  <si>
    <t>1.8.1</t>
  </si>
  <si>
    <t>თხევადი ბიტუმის მოსხმა</t>
  </si>
  <si>
    <t>27-63-1</t>
  </si>
  <si>
    <t>ავტოგუდრონატორი 3500 ლ</t>
  </si>
  <si>
    <t>ბიტუმის ემულსია</t>
  </si>
  <si>
    <t>27-39-1-2                            27-40-1-2</t>
  </si>
  <si>
    <t>ასფალტობეტონის დამგები</t>
  </si>
  <si>
    <t>ბეტონი B25 F200 W6</t>
  </si>
  <si>
    <t>ხის ფიცარი ყალიბის 25-40 მმ</t>
  </si>
  <si>
    <t>ფიცარი ჩამოგანილი სისქით 40-60 მმ, III ხარისხის</t>
  </si>
  <si>
    <t>23-1-2</t>
  </si>
  <si>
    <t>ქვიშა-ხრეშოვანი ნარევი</t>
  </si>
  <si>
    <t>რ/ბ ანაკრები კიუვეტი</t>
  </si>
  <si>
    <t>მ</t>
  </si>
  <si>
    <t>ლითონის მილი D=1220 მმ, კედლის სისქე t=14მმ</t>
  </si>
  <si>
    <t>ბიტუმი ნავთობის</t>
  </si>
  <si>
    <t>1 ტ</t>
  </si>
  <si>
    <t>კუთხოვანა 60X80X3 მმ</t>
  </si>
  <si>
    <t>ცემენტის ხსნარი M200</t>
  </si>
  <si>
    <t>ცემენტის ხსნარი 1:3</t>
  </si>
  <si>
    <t>ფოლადის ზოლოვანა 60X6 მმ</t>
  </si>
  <si>
    <t>ფოლადის კვადრატი 8X8 მმ</t>
  </si>
  <si>
    <t>არმატურა A-I d=8 მმ</t>
  </si>
  <si>
    <t>ბეტონი B22.5 F200 W6</t>
  </si>
  <si>
    <t>1-68-3</t>
  </si>
  <si>
    <t>ტერიტორიის მოშანდაკება</t>
  </si>
  <si>
    <t xml:space="preserve">მსხვილმარცვლოვანი ასფალტობეტონი </t>
  </si>
  <si>
    <t xml:space="preserve">წვრილმარცვლოვანი ასფალტობეტონი </t>
  </si>
  <si>
    <t>აგური  25X12X6.5 სმ</t>
  </si>
  <si>
    <t>ცემენტი M400</t>
  </si>
  <si>
    <t xml:space="preserve">წონა     ტ </t>
  </si>
  <si>
    <t>ტრანსპორტირების დაწყების ადგილი</t>
  </si>
  <si>
    <t xml:space="preserve">ტრანსპორტირების </t>
  </si>
  <si>
    <t xml:space="preserve">კლასი </t>
  </si>
  <si>
    <t>კოეფ.</t>
  </si>
  <si>
    <t>ღორღი, ფრაქცია 5-10 მმ, მარკა 600-1200</t>
  </si>
  <si>
    <t>ქვიშა შავი 0.5 სმ</t>
  </si>
  <si>
    <t>ხის მორი</t>
  </si>
  <si>
    <t>ფიცარი ჩამოგანილი სისქით 25-32 მმ, III ხარისხის</t>
  </si>
  <si>
    <t>არმატურა A-III კლასი</t>
  </si>
  <si>
    <r>
      <t>1 მ</t>
    </r>
    <r>
      <rPr>
        <sz val="16"/>
        <color theme="1"/>
        <rFont val="Sylfaen"/>
        <family val="1"/>
      </rPr>
      <t>³</t>
    </r>
  </si>
  <si>
    <t>გადაზიდვის მანძილი, კმ</t>
  </si>
  <si>
    <t>სატარიფო გადასახადი 1 ტ ტვირთის გადაზიდვისას, ლ</t>
  </si>
  <si>
    <t>1 ტ-ის ტრანსპორტირების ხარჯი                        ₾</t>
  </si>
  <si>
    <t>მასალის საბაზრო ფასი</t>
  </si>
  <si>
    <r>
      <t>1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</si>
  <si>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სრფ საფუძველი</t>
  </si>
  <si>
    <t>4-344, 4-359</t>
  </si>
  <si>
    <t>4-246</t>
  </si>
  <si>
    <t>5-138</t>
  </si>
  <si>
    <t>5-22</t>
  </si>
  <si>
    <t>ერთეული განზომილების  მასალის ტრანსპორტირება</t>
  </si>
  <si>
    <t>4-222</t>
  </si>
  <si>
    <t>ბეტონი B7,5</t>
  </si>
  <si>
    <t>4-339</t>
  </si>
  <si>
    <t>4-371</t>
  </si>
  <si>
    <t>5-7</t>
  </si>
  <si>
    <t>5-19</t>
  </si>
  <si>
    <t>1  ტ</t>
  </si>
  <si>
    <t>1-1</t>
  </si>
  <si>
    <t>4-537</t>
  </si>
  <si>
    <t>4-224</t>
  </si>
  <si>
    <t>ყორე-ქვა</t>
  </si>
  <si>
    <t>4-228</t>
  </si>
  <si>
    <t>უახლოესი კარიერი</t>
  </si>
  <si>
    <t>1 მ</t>
  </si>
  <si>
    <t>4-90</t>
  </si>
  <si>
    <t>4-172</t>
  </si>
  <si>
    <t>4-538</t>
  </si>
  <si>
    <t>4-522</t>
  </si>
  <si>
    <t>4-524</t>
  </si>
  <si>
    <t>2-1</t>
  </si>
  <si>
    <t>ბაზა</t>
  </si>
  <si>
    <t>1-10</t>
  </si>
  <si>
    <t>1-4-27</t>
  </si>
  <si>
    <t>1-4-76</t>
  </si>
  <si>
    <t>4-379</t>
  </si>
  <si>
    <t>ბეტონი B15</t>
  </si>
  <si>
    <t>4-341</t>
  </si>
  <si>
    <t>ბეტონი B25</t>
  </si>
  <si>
    <t>ცემენტის ხსნარი 1:2</t>
  </si>
  <si>
    <t xml:space="preserve">ქვიშა ყვითელი ხსნარის </t>
  </si>
  <si>
    <t>4-221</t>
  </si>
  <si>
    <t>4-378</t>
  </si>
  <si>
    <t>1  ც</t>
  </si>
  <si>
    <t>4-1</t>
  </si>
  <si>
    <t>2-1-29</t>
  </si>
  <si>
    <t>ფიცარი ჩამოგანილი სისქით 70 მმ, II ხარისხის</t>
  </si>
  <si>
    <t>ბეტონი B30 F200 W6</t>
  </si>
  <si>
    <t xml:space="preserve">ბეტონი B30  </t>
  </si>
  <si>
    <t xml:space="preserve">ლითონის მოაჯირი </t>
  </si>
  <si>
    <t>ბეტონის უსაფრთხოების ბარიერი</t>
  </si>
  <si>
    <t>ბეტონის ბლოკი</t>
  </si>
  <si>
    <t>ლითონის მილი d-1500 მმ</t>
  </si>
  <si>
    <t>3-1</t>
  </si>
  <si>
    <t>1.1.2</t>
  </si>
  <si>
    <t>1.1.3</t>
  </si>
  <si>
    <t>1.1.4</t>
  </si>
  <si>
    <t>1.5.1</t>
  </si>
  <si>
    <t>1.5.2</t>
  </si>
  <si>
    <t>1.1.5</t>
  </si>
  <si>
    <t>1.1.6</t>
  </si>
  <si>
    <t>1.7.3</t>
  </si>
  <si>
    <t>1.7.4</t>
  </si>
  <si>
    <t>1.7.5</t>
  </si>
  <si>
    <t>1.6.3</t>
  </si>
  <si>
    <t>1.6.4</t>
  </si>
  <si>
    <t>1.6.5</t>
  </si>
  <si>
    <t>1.6.6</t>
  </si>
  <si>
    <t>1.4.2</t>
  </si>
  <si>
    <t>ზუგდიდი</t>
  </si>
  <si>
    <t>ფლეთილი ქვა</t>
  </si>
  <si>
    <t>ლითონის დგარი d-76მმ , 2.5 მ</t>
  </si>
  <si>
    <t>ლითონის დგარი d-102მმ , 3.5 მ</t>
  </si>
  <si>
    <t>ლითონის დგარი d-114მმ , 3.5 მ</t>
  </si>
  <si>
    <t>დგარი CД-6, CД-7, CД-8</t>
  </si>
  <si>
    <t>ფოლადის რესორის კომპენსატორი და სამაგრი საშუალებები</t>
  </si>
  <si>
    <t>ფოლადის ბაგირი</t>
  </si>
  <si>
    <t>გაბიონის კალათა უჯრედით 8X10სმ, ზომით 2X1X1 მ, მოთუთიებული მავთულის სისქე t=2,7 მმ</t>
  </si>
  <si>
    <t>1-8-6</t>
  </si>
  <si>
    <t>გაბიონის კალათა უჯრედით 8X10სმ, ზომით 1,5X1X1 მ, მოთუთიებული მავთულის სისქე t=2,7 მმ</t>
  </si>
  <si>
    <t>1-8-5</t>
  </si>
  <si>
    <t>რკინაბეტონის ანაკრები მილი d-1000 მმ L-2000 მმ</t>
  </si>
  <si>
    <t>რკინაბეტონის ანაკრები მილი d-1000 მმ L-1000 მმ</t>
  </si>
  <si>
    <t>რკინაბეტონის ანაკრები მილი d-1500 მმ L-1000 მმ</t>
  </si>
  <si>
    <t>წვრილმარცვლოვანი ასფალტობეტონი</t>
  </si>
  <si>
    <t>ერთ. ფასი</t>
  </si>
  <si>
    <t>სულ</t>
  </si>
  <si>
    <t>ქარხანა</t>
  </si>
  <si>
    <t>ქუთაისი</t>
  </si>
  <si>
    <t>1.1.7</t>
  </si>
  <si>
    <t>1.1.8</t>
  </si>
  <si>
    <t>1.1.9</t>
  </si>
  <si>
    <t>ბეტონის ქვაფენილი</t>
  </si>
  <si>
    <t>საგზაო სამოსი</t>
  </si>
  <si>
    <t>დაბა მესტიაში გაბლიანის ქუჩის სარეაბილიტაციო სამუშაოების ლოკალურ-რესურსული ხარჯთაღრიცხვა</t>
  </si>
  <si>
    <t xml:space="preserve">100 მ </t>
  </si>
  <si>
    <t>ბეტონი M200</t>
  </si>
  <si>
    <t>საფარის მოწყობა ტროტუარზე ასფალტობეტონით t=30 მმ</t>
  </si>
  <si>
    <t>27-42-1</t>
  </si>
  <si>
    <t xml:space="preserve">ასფალტობეტონი ქვიშოვანი </t>
  </si>
  <si>
    <t>6.72.2</t>
  </si>
  <si>
    <t>ტროტუარის საფუძვლის მოწყობა ქვიშა-ღორღით, სისქით 8 სმ</t>
  </si>
  <si>
    <t>პროექტის კოდი: GAB-BoQ</t>
  </si>
  <si>
    <t xml:space="preserve">ფასთა კრებული: 2018 წლის II კვარტალი </t>
  </si>
  <si>
    <t>შესრულების თარიღი: 21/05/2018</t>
  </si>
  <si>
    <t>ვალუტა: ლარი ₾</t>
  </si>
  <si>
    <t>მ³</t>
  </si>
  <si>
    <t>10 მ³</t>
  </si>
  <si>
    <t>№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</si>
  <si>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</si>
  <si>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</si>
  <si>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</si>
  <si>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</si>
  <si>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</si>
  <si>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ტრანსპორტი და მექანიზმები</t>
  </si>
  <si>
    <t>ერთ</t>
  </si>
  <si>
    <t>27-7-2.</t>
  </si>
  <si>
    <t>საფუძვლის ფენის მოწყობა ქვიშა-ღორღის ნარევით (ფრ. 0-40მმ), სისქით 18 სმ.</t>
  </si>
  <si>
    <t>მ3</t>
  </si>
  <si>
    <t>100 მ3</t>
  </si>
  <si>
    <t>14-1-200</t>
  </si>
  <si>
    <t>ავტოგრეიდერი საშუალო ტიპის 79 კვტ (108 ც.ძ.)</t>
  </si>
  <si>
    <t>14-1-222</t>
  </si>
  <si>
    <t>თვითმავალი სატკეპნი საგზაო, პნევმოსვლით 18 ტ</t>
  </si>
  <si>
    <t>14-1-228</t>
  </si>
  <si>
    <t>მოსარწყავ-მოსარეცხი მანქანა 6000 ლ</t>
  </si>
  <si>
    <t>წყალი</t>
  </si>
  <si>
    <t>4-1-237</t>
  </si>
  <si>
    <t>ღორღი ბუნებრივი ქვის, ფრაქცია 0-40 მმ, მარკა 600-1200</t>
  </si>
  <si>
    <t>ღორღი, ფრაქცია 0-40 მმ, მარკა 600-1200</t>
  </si>
  <si>
    <t>14-1-198</t>
  </si>
  <si>
    <t>14-1-538</t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</si>
  <si>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</t>
  </si>
  <si>
    <t>მ2</t>
  </si>
  <si>
    <t>1000 მ2</t>
  </si>
  <si>
    <t>14-1-231</t>
  </si>
  <si>
    <t>14-1-218</t>
  </si>
  <si>
    <t>თვითმავალი სატკეპნი საგზაო გლუვი 5 ტ</t>
  </si>
  <si>
    <t>14-1-219</t>
  </si>
  <si>
    <t>თვითმავალი სატკეპნი საგზაო გლუვი 10 ტ</t>
  </si>
  <si>
    <t>4-1-522</t>
  </si>
  <si>
    <t>მსხვილმარცვლოვანი ასფალტობეტონი</t>
  </si>
  <si>
    <t>საფარის ზედა ფენის მოწყობა  წვრილმარცვლოვანი მკვრივი ღორღოვანი ასფალტობეტონის ცხელი ნარევით, მარკა II, სისქით 4 სმ</t>
  </si>
  <si>
    <t>4-1-524</t>
  </si>
  <si>
    <t>1.8.2</t>
  </si>
  <si>
    <t>1.8.3</t>
  </si>
  <si>
    <t>1.8.4</t>
  </si>
  <si>
    <t>100 მ2</t>
  </si>
  <si>
    <t>4-1-226</t>
  </si>
  <si>
    <t>4-1-527</t>
  </si>
  <si>
    <t>ბეტონის ბორდიური 150x300 მმ</t>
  </si>
  <si>
    <t>ბეტონის ბორდიურის მოწყობა, ზომით 150x300 მმ</t>
  </si>
  <si>
    <t>27-19-2</t>
  </si>
  <si>
    <t>4-1-370</t>
  </si>
  <si>
    <t>ხსნარი წყობის, ცემენტის მ-100</t>
  </si>
  <si>
    <t>4-1-176</t>
  </si>
  <si>
    <t>1.3.1</t>
  </si>
  <si>
    <t>1.3.2</t>
  </si>
  <si>
    <t>1.3.3</t>
  </si>
  <si>
    <t>1.3.4</t>
  </si>
  <si>
    <t>1.3.5</t>
  </si>
  <si>
    <t>1.3.6</t>
  </si>
  <si>
    <t>1.5.3</t>
  </si>
  <si>
    <t>1.5.4</t>
  </si>
  <si>
    <t>1.5.5</t>
  </si>
  <si>
    <t>1.5.6</t>
  </si>
  <si>
    <t>1.5.7</t>
  </si>
  <si>
    <t>27-43-1; -2</t>
  </si>
  <si>
    <t>10 000 მ2</t>
  </si>
  <si>
    <t>СЦИР-82, გვ. 557, ცხრ. 17; პ. 7 ა კ=1.1;  პ. 15 კ=1.13</t>
  </si>
  <si>
    <r>
      <t xml:space="preserve">ქვიშა </t>
    </r>
    <r>
      <rPr>
        <strike/>
        <sz val="10"/>
        <rFont val="Arial"/>
        <family val="2"/>
        <charset val="204"/>
      </rPr>
      <t>ყვითელი ხსნარის</t>
    </r>
    <r>
      <rPr>
        <b/>
        <sz val="10"/>
        <rFont val="Arial"/>
        <family val="2"/>
        <charset val="204"/>
      </rPr>
      <t xml:space="preserve"> სამშენებლო 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</si>
</sst>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#,##0.000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trike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9" fillId="0" borderId="0"/>
    <xf numFmtId="43" fontId="7" fillId="0" borderId="0" applyFont="0" applyFill="0" applyBorder="0" applyAlignment="0" applyProtection="0"/>
    <xf numFmtId="0" fontId="10" fillId="0" borderId="0"/>
    <xf numFmtId="0" fontId="11" fillId="0" borderId="0"/>
    <xf numFmtId="164" fontId="7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2" borderId="0" xfId="0" applyNumberFormat="1" applyFill="1" applyBorder="1"/>
    <xf numFmtId="2" fontId="4" fillId="0" borderId="0" xfId="0" applyNumberFormat="1" applyFont="1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vertical="center" wrapText="1"/>
    </xf>
    <xf numFmtId="0" fontId="0" fillId="0" borderId="0" xfId="0" applyFill="1"/>
    <xf numFmtId="0" fontId="0" fillId="3" borderId="0" xfId="0" applyFill="1"/>
    <xf numFmtId="0" fontId="0" fillId="4" borderId="0" xfId="0" applyFill="1"/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/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9" fontId="3" fillId="2" borderId="1" xfId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/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" fillId="0" borderId="0" xfId="0" applyFont="1" applyFill="1"/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inden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49" fontId="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" xfId="0" applyFont="1" applyFill="1" applyBorder="1" applyAlignment="1">
      <alignment vertical="center"/>
    </xf>
    <xf numFmtId="0" fontId="1" fillId="0" borderId="0" xfId="0" applyFont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indent="1"/>
    </xf>
    <xf numFmtId="9" fontId="1" fillId="2" borderId="1" xfId="1" applyNumberFormat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0" fontId="12" fillId="0" borderId="0" xfId="0" applyFont="1" applyFill="1"/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indent="1"/>
    </xf>
    <xf numFmtId="49" fontId="1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vertical="center"/>
    </xf>
    <xf numFmtId="0" fontId="9" fillId="0" borderId="0" xfId="0" applyFont="1" applyFill="1"/>
    <xf numFmtId="2" fontId="9" fillId="0" borderId="0" xfId="0" applyNumberFormat="1" applyFont="1" applyFill="1"/>
    <xf numFmtId="0" fontId="13" fillId="0" borderId="0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Comma 2" xfId="3"/>
    <cellStyle name="Normal 12" xfId="4"/>
    <cellStyle name="Normal 2 3" xfId="2"/>
    <cellStyle name="Normal 3" xfId="5"/>
    <cellStyle name="Обычный" xfId="0" builtinId="0"/>
    <cellStyle name="Процентный" xfId="1" builtinId="5"/>
    <cellStyle name="Финансовый" xfId="6" builtinId="3"/>
  </cellStyles>
  <dxfs count="0"/>
  <tableStyles count="0" defaultTableStyle="TableStyleMedium2" defaultPivotStyle="PivotStyleLight16"/>
  <colors>
    <mruColors>
      <color rgb="FFC9D2DD"/>
      <color rgb="FF5B718F"/>
      <color rgb="FF526680"/>
      <color rgb="FFB8C3D0"/>
      <color rgb="FF9DACBF"/>
      <color rgb="FF788DA8"/>
      <color rgb="FF8AA7FA"/>
      <color rgb="FFA3BAFB"/>
      <color rgb="FF4675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6"/>
  <sheetViews>
    <sheetView view="pageBreakPreview" zoomScaleNormal="55" zoomScaleSheetLayoutView="100" workbookViewId="0">
      <selection activeCell="Q56" sqref="Q56"/>
    </sheetView>
  </sheetViews>
  <sheetFormatPr defaultRowHeight="12.75"/>
  <cols>
    <col min="1" max="1" width="3.7109375" style="41" bestFit="1" customWidth="1"/>
    <col min="2" max="2" width="45.5703125" style="41" bestFit="1" customWidth="1"/>
    <col min="3" max="3" width="5.28515625" style="41" bestFit="1" customWidth="1"/>
    <col min="4" max="4" width="25.85546875" style="41" customWidth="1"/>
    <col min="5" max="7" width="23.5703125" style="41" customWidth="1"/>
    <col min="8" max="10" width="20.7109375" style="41" customWidth="1"/>
    <col min="11" max="16384" width="9.140625" style="41"/>
  </cols>
  <sheetData>
    <row r="1" spans="1:7">
      <c r="A1" s="40"/>
      <c r="B1" s="40" t="s">
        <v>197</v>
      </c>
      <c r="C1" s="40"/>
      <c r="D1" s="40"/>
      <c r="E1" s="40"/>
      <c r="F1" s="40" t="s">
        <v>17</v>
      </c>
      <c r="G1" s="40"/>
    </row>
    <row r="2" spans="1:7">
      <c r="A2" s="40"/>
      <c r="B2" s="40" t="s">
        <v>198</v>
      </c>
      <c r="C2" s="40"/>
      <c r="D2" s="40"/>
      <c r="E2" s="40"/>
      <c r="F2" s="40" t="s">
        <v>18</v>
      </c>
      <c r="G2" s="40"/>
    </row>
    <row r="3" spans="1:7">
      <c r="A3" s="40"/>
      <c r="B3" s="40" t="s">
        <v>199</v>
      </c>
      <c r="C3" s="40"/>
      <c r="D3" s="40"/>
      <c r="E3" s="40"/>
      <c r="F3" s="40" t="s">
        <v>48</v>
      </c>
      <c r="G3" s="40" t="s">
        <v>20</v>
      </c>
    </row>
    <row r="4" spans="1:7">
      <c r="A4" s="40"/>
      <c r="B4" s="40" t="s">
        <v>200</v>
      </c>
      <c r="C4" s="40"/>
      <c r="D4" s="40"/>
      <c r="E4" s="40"/>
      <c r="F4" s="40" t="s">
        <v>19</v>
      </c>
      <c r="G4" s="40"/>
    </row>
    <row r="5" spans="1:7">
      <c r="A5" s="40"/>
      <c r="B5" s="40"/>
      <c r="C5" s="40"/>
      <c r="D5" s="40"/>
      <c r="E5" s="40"/>
      <c r="F5" s="40"/>
      <c r="G5" s="40"/>
    </row>
    <row r="6" spans="1:7" s="42" customFormat="1">
      <c r="A6" s="113" t="s">
        <v>39</v>
      </c>
      <c r="B6" s="113"/>
      <c r="C6" s="113"/>
      <c r="D6" s="113"/>
      <c r="E6" s="113"/>
      <c r="F6" s="113"/>
      <c r="G6" s="113"/>
    </row>
    <row r="7" spans="1:7" s="45" customFormat="1">
      <c r="A7" s="43"/>
      <c r="B7" s="44"/>
      <c r="C7" s="44"/>
      <c r="D7" s="44"/>
      <c r="E7" s="44"/>
      <c r="F7" s="44"/>
      <c r="G7" s="44"/>
    </row>
    <row r="8" spans="1:7" s="45" customFormat="1">
      <c r="A8" s="114" t="s">
        <v>2</v>
      </c>
      <c r="B8" s="114" t="s">
        <v>3</v>
      </c>
      <c r="C8" s="114" t="s">
        <v>12</v>
      </c>
      <c r="D8" s="115" t="s">
        <v>40</v>
      </c>
      <c r="E8" s="115" t="s">
        <v>41</v>
      </c>
      <c r="F8" s="115" t="s">
        <v>42</v>
      </c>
      <c r="G8" s="115" t="s">
        <v>43</v>
      </c>
    </row>
    <row r="9" spans="1:7" s="45" customFormat="1">
      <c r="A9" s="114"/>
      <c r="B9" s="114"/>
      <c r="C9" s="114"/>
      <c r="D9" s="115"/>
      <c r="E9" s="115"/>
      <c r="F9" s="115"/>
      <c r="G9" s="115"/>
    </row>
    <row r="10" spans="1:7" s="45" customFormat="1">
      <c r="A10" s="114"/>
      <c r="B10" s="114"/>
      <c r="C10" s="114"/>
      <c r="D10" s="115"/>
      <c r="E10" s="115"/>
      <c r="F10" s="115"/>
      <c r="G10" s="115"/>
    </row>
    <row r="11" spans="1:7" s="45" customFormat="1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</row>
    <row r="12" spans="1:7" s="45" customFormat="1">
      <c r="A12" s="46"/>
      <c r="B12" s="46" t="s">
        <v>44</v>
      </c>
      <c r="C12" s="46"/>
      <c r="D12" s="46"/>
      <c r="E12" s="46"/>
      <c r="F12" s="46"/>
      <c r="G12" s="46"/>
    </row>
    <row r="13" spans="1:7" s="45" customFormat="1">
      <c r="A13" s="47" t="s">
        <v>113</v>
      </c>
      <c r="B13" s="53" t="str">
        <f>'1-1'!C12</f>
        <v>მოსამზადებელი სამუშაოები</v>
      </c>
      <c r="C13" s="48"/>
      <c r="D13" s="54">
        <f>'1-1'!H18</f>
        <v>0</v>
      </c>
      <c r="E13" s="54">
        <f>'1-1'!J18</f>
        <v>0</v>
      </c>
      <c r="F13" s="54">
        <f>'1-1'!L18</f>
        <v>0</v>
      </c>
      <c r="G13" s="69">
        <f>SUM(D13:F13)</f>
        <v>0</v>
      </c>
    </row>
    <row r="14" spans="1:7" s="45" customFormat="1">
      <c r="A14" s="46"/>
      <c r="B14" s="46" t="s">
        <v>45</v>
      </c>
      <c r="C14" s="46"/>
      <c r="D14" s="55"/>
      <c r="E14" s="55"/>
      <c r="F14" s="55"/>
      <c r="G14" s="69"/>
    </row>
    <row r="15" spans="1:7" s="45" customFormat="1">
      <c r="A15" s="47" t="s">
        <v>125</v>
      </c>
      <c r="B15" s="53" t="str">
        <f>'2-1'!C7</f>
        <v>მიწის ვაკისი</v>
      </c>
      <c r="C15" s="48"/>
      <c r="D15" s="54">
        <f>'2-1'!H14</f>
        <v>0</v>
      </c>
      <c r="E15" s="54">
        <f>'2-1'!J14</f>
        <v>0</v>
      </c>
      <c r="F15" s="54">
        <f>'2-1'!L14</f>
        <v>0</v>
      </c>
      <c r="G15" s="69">
        <f t="shared" ref="G15:G17" si="0">SUM(D15:F15)</f>
        <v>0</v>
      </c>
    </row>
    <row r="16" spans="1:7" s="45" customFormat="1">
      <c r="A16" s="50"/>
      <c r="B16" s="46" t="s">
        <v>46</v>
      </c>
      <c r="C16" s="50"/>
      <c r="D16" s="56"/>
      <c r="E16" s="56"/>
      <c r="F16" s="56"/>
      <c r="G16" s="69"/>
    </row>
    <row r="17" spans="1:7" s="45" customFormat="1">
      <c r="A17" s="47" t="s">
        <v>139</v>
      </c>
      <c r="B17" s="53" t="str">
        <f>'4-1'!C7</f>
        <v>საგზაო სამოსი</v>
      </c>
      <c r="C17" s="48"/>
      <c r="D17" s="54">
        <f>'4-1'!H77</f>
        <v>0</v>
      </c>
      <c r="E17" s="54">
        <f>'4-1'!J77</f>
        <v>0</v>
      </c>
      <c r="F17" s="54">
        <f>'4-1'!L77</f>
        <v>0</v>
      </c>
      <c r="G17" s="69">
        <f t="shared" si="0"/>
        <v>0</v>
      </c>
    </row>
    <row r="18" spans="1:7" s="45" customFormat="1">
      <c r="A18" s="47"/>
      <c r="B18" s="53"/>
      <c r="C18" s="48"/>
      <c r="D18" s="54"/>
      <c r="E18" s="54"/>
      <c r="F18" s="54"/>
      <c r="G18" s="54"/>
    </row>
    <row r="19" spans="1:7" s="73" customFormat="1">
      <c r="A19" s="46"/>
      <c r="B19" s="48" t="s">
        <v>4</v>
      </c>
      <c r="C19" s="46"/>
      <c r="D19" s="55">
        <f t="shared" ref="D19:F19" si="1">SUM(D13:D18)</f>
        <v>0</v>
      </c>
      <c r="E19" s="55">
        <f t="shared" si="1"/>
        <v>0</v>
      </c>
      <c r="F19" s="55">
        <f t="shared" si="1"/>
        <v>0</v>
      </c>
      <c r="G19" s="55">
        <f>SUM(G13:G18)</f>
        <v>0</v>
      </c>
    </row>
    <row r="20" spans="1:7" s="45" customFormat="1">
      <c r="A20" s="59"/>
      <c r="B20" s="53"/>
      <c r="C20" s="66"/>
      <c r="D20" s="57"/>
      <c r="E20" s="57"/>
      <c r="F20" s="57"/>
      <c r="G20" s="57"/>
    </row>
    <row r="21" spans="1:7" s="45" customFormat="1">
      <c r="A21" s="59"/>
      <c r="B21" s="53" t="s">
        <v>10</v>
      </c>
      <c r="C21" s="66">
        <v>0.1</v>
      </c>
      <c r="D21" s="57"/>
      <c r="E21" s="57"/>
      <c r="F21" s="57"/>
      <c r="G21" s="57">
        <f>G19*C21</f>
        <v>0</v>
      </c>
    </row>
    <row r="22" spans="1:7" s="45" customFormat="1">
      <c r="A22" s="59"/>
      <c r="B22" s="70" t="s">
        <v>4</v>
      </c>
      <c r="C22" s="66"/>
      <c r="D22" s="57"/>
      <c r="E22" s="57"/>
      <c r="F22" s="57"/>
      <c r="G22" s="57">
        <f>SUM(G19:G21)</f>
        <v>0</v>
      </c>
    </row>
    <row r="23" spans="1:7" s="45" customFormat="1">
      <c r="A23" s="59"/>
      <c r="B23" s="53" t="s">
        <v>11</v>
      </c>
      <c r="C23" s="66">
        <v>0.08</v>
      </c>
      <c r="D23" s="57"/>
      <c r="E23" s="57"/>
      <c r="F23" s="57"/>
      <c r="G23" s="57">
        <f>G22*C23</f>
        <v>0</v>
      </c>
    </row>
    <row r="24" spans="1:7">
      <c r="A24" s="49"/>
      <c r="B24" s="70" t="s">
        <v>4</v>
      </c>
      <c r="C24" s="66"/>
      <c r="D24" s="57"/>
      <c r="E24" s="57"/>
      <c r="F24" s="57"/>
      <c r="G24" s="57">
        <f>SUM(G22:G23)</f>
        <v>0</v>
      </c>
    </row>
    <row r="25" spans="1:7">
      <c r="A25" s="61"/>
      <c r="B25" s="53" t="s">
        <v>26</v>
      </c>
      <c r="C25" s="71">
        <v>0.05</v>
      </c>
      <c r="D25" s="57"/>
      <c r="E25" s="57"/>
      <c r="F25" s="57"/>
      <c r="G25" s="57">
        <f>G24*C25</f>
        <v>0</v>
      </c>
    </row>
    <row r="26" spans="1:7">
      <c r="A26" s="61"/>
      <c r="B26" s="70" t="s">
        <v>4</v>
      </c>
      <c r="C26" s="66"/>
      <c r="D26" s="57"/>
      <c r="E26" s="57"/>
      <c r="F26" s="57"/>
      <c r="G26" s="57">
        <f>SUM(G24:G25)</f>
        <v>0</v>
      </c>
    </row>
    <row r="27" spans="1:7">
      <c r="A27" s="61"/>
      <c r="B27" s="53" t="s">
        <v>27</v>
      </c>
      <c r="C27" s="71">
        <v>0.18</v>
      </c>
      <c r="D27" s="57"/>
      <c r="E27" s="57"/>
      <c r="F27" s="57"/>
      <c r="G27" s="57">
        <f>G26*C27</f>
        <v>0</v>
      </c>
    </row>
    <row r="28" spans="1:7">
      <c r="A28" s="61"/>
      <c r="B28" s="53"/>
      <c r="C28" s="72"/>
      <c r="D28" s="57"/>
      <c r="E28" s="57"/>
      <c r="F28" s="57"/>
      <c r="G28" s="57"/>
    </row>
    <row r="29" spans="1:7">
      <c r="A29" s="46"/>
      <c r="B29" s="46" t="s">
        <v>4</v>
      </c>
      <c r="C29" s="46"/>
      <c r="D29" s="55"/>
      <c r="E29" s="55"/>
      <c r="F29" s="55"/>
      <c r="G29" s="55">
        <f>SUM(G26:G28)</f>
        <v>0</v>
      </c>
    </row>
    <row r="30" spans="1:7">
      <c r="B30" s="51"/>
      <c r="C30" s="52"/>
      <c r="D30" s="52"/>
      <c r="E30" s="52"/>
      <c r="F30" s="52"/>
      <c r="G30" s="52"/>
    </row>
    <row r="31" spans="1:7">
      <c r="B31" s="51"/>
      <c r="C31" s="52"/>
      <c r="D31" s="52"/>
      <c r="E31" s="52"/>
      <c r="F31" s="52"/>
      <c r="G31" s="52"/>
    </row>
    <row r="32" spans="1:7">
      <c r="B32" s="51"/>
      <c r="C32" s="52"/>
      <c r="D32" s="52"/>
      <c r="E32" s="52"/>
      <c r="F32" s="52"/>
      <c r="G32" s="52"/>
    </row>
    <row r="33" spans="2:7">
      <c r="B33" s="51"/>
      <c r="C33" s="52"/>
      <c r="D33" s="52"/>
      <c r="E33" s="52"/>
      <c r="F33" s="52"/>
      <c r="G33" s="52"/>
    </row>
    <row r="34" spans="2:7">
      <c r="B34" s="51"/>
      <c r="C34" s="52"/>
      <c r="D34" s="52"/>
      <c r="E34" s="52"/>
      <c r="F34" s="52"/>
      <c r="G34" s="52"/>
    </row>
    <row r="35" spans="2:7">
      <c r="B35" s="51"/>
      <c r="C35" s="52"/>
      <c r="D35" s="52"/>
      <c r="E35" s="52"/>
      <c r="F35" s="52"/>
      <c r="G35" s="52"/>
    </row>
    <row r="36" spans="2:7">
      <c r="B36" s="51"/>
      <c r="C36" s="52"/>
      <c r="D36" s="52"/>
      <c r="E36" s="52"/>
      <c r="F36" s="52"/>
      <c r="G36" s="52"/>
    </row>
    <row r="37" spans="2:7">
      <c r="B37" s="51"/>
      <c r="C37" s="52"/>
      <c r="D37" s="52"/>
      <c r="E37" s="52"/>
      <c r="F37" s="52"/>
      <c r="G37" s="52"/>
    </row>
    <row r="38" spans="2:7">
      <c r="B38" s="51"/>
      <c r="C38" s="52"/>
      <c r="D38" s="52"/>
      <c r="E38" s="52"/>
      <c r="F38" s="52"/>
      <c r="G38" s="52"/>
    </row>
    <row r="39" spans="2:7">
      <c r="B39" s="51"/>
      <c r="C39" s="52"/>
      <c r="D39" s="52"/>
      <c r="E39" s="52"/>
      <c r="F39" s="52"/>
      <c r="G39" s="52"/>
    </row>
    <row r="40" spans="2:7">
      <c r="B40" s="51"/>
      <c r="C40" s="52"/>
      <c r="D40" s="52"/>
      <c r="E40" s="52"/>
      <c r="F40" s="52"/>
      <c r="G40" s="52"/>
    </row>
    <row r="41" spans="2:7">
      <c r="B41" s="51"/>
      <c r="C41" s="52"/>
      <c r="D41" s="52"/>
      <c r="E41" s="52"/>
      <c r="F41" s="52"/>
      <c r="G41" s="52"/>
    </row>
    <row r="42" spans="2:7">
      <c r="B42" s="51"/>
      <c r="C42" s="52"/>
      <c r="D42" s="52"/>
      <c r="E42" s="52"/>
      <c r="F42" s="52"/>
      <c r="G42" s="52"/>
    </row>
    <row r="43" spans="2:7">
      <c r="B43" s="51"/>
      <c r="C43" s="52"/>
      <c r="D43" s="52"/>
      <c r="E43" s="52"/>
      <c r="F43" s="52"/>
      <c r="G43" s="52"/>
    </row>
    <row r="44" spans="2:7">
      <c r="B44" s="51"/>
      <c r="C44" s="52"/>
      <c r="D44" s="52"/>
      <c r="E44" s="52"/>
      <c r="F44" s="52"/>
      <c r="G44" s="52"/>
    </row>
    <row r="45" spans="2:7">
      <c r="B45" s="51"/>
      <c r="C45" s="52"/>
      <c r="D45" s="52"/>
      <c r="E45" s="52"/>
      <c r="F45" s="52"/>
      <c r="G45" s="52"/>
    </row>
    <row r="46" spans="2:7">
      <c r="B46" s="51"/>
      <c r="C46" s="52"/>
      <c r="D46" s="52"/>
      <c r="E46" s="52"/>
      <c r="F46" s="52"/>
      <c r="G46" s="52"/>
    </row>
    <row r="47" spans="2:7">
      <c r="B47" s="51"/>
      <c r="C47" s="52"/>
      <c r="D47" s="52"/>
      <c r="E47" s="52"/>
      <c r="F47" s="52"/>
      <c r="G47" s="52"/>
    </row>
    <row r="48" spans="2:7">
      <c r="B48" s="51"/>
      <c r="C48" s="52"/>
      <c r="D48" s="52"/>
      <c r="E48" s="52"/>
      <c r="F48" s="52"/>
      <c r="G48" s="52"/>
    </row>
    <row r="49" spans="2:7">
      <c r="B49" s="51"/>
      <c r="C49" s="52"/>
      <c r="D49" s="52"/>
      <c r="E49" s="52"/>
      <c r="F49" s="52"/>
      <c r="G49" s="52"/>
    </row>
    <row r="50" spans="2:7">
      <c r="B50" s="51"/>
      <c r="C50" s="52"/>
      <c r="D50" s="52"/>
      <c r="E50" s="52"/>
      <c r="F50" s="52"/>
      <c r="G50" s="52"/>
    </row>
    <row r="51" spans="2:7">
      <c r="B51" s="51"/>
      <c r="C51" s="52"/>
      <c r="D51" s="52"/>
      <c r="E51" s="52"/>
      <c r="F51" s="52"/>
      <c r="G51" s="52"/>
    </row>
    <row r="52" spans="2:7">
      <c r="B52" s="51"/>
      <c r="C52" s="52"/>
      <c r="D52" s="52"/>
      <c r="E52" s="52"/>
      <c r="F52" s="52"/>
      <c r="G52" s="52"/>
    </row>
    <row r="53" spans="2:7">
      <c r="B53" s="51"/>
      <c r="C53" s="52"/>
      <c r="D53" s="52"/>
      <c r="E53" s="52"/>
      <c r="F53" s="52"/>
      <c r="G53" s="52"/>
    </row>
    <row r="54" spans="2:7">
      <c r="B54" s="51"/>
      <c r="C54" s="52"/>
      <c r="D54" s="52"/>
      <c r="E54" s="52"/>
      <c r="F54" s="52"/>
      <c r="G54" s="52"/>
    </row>
    <row r="55" spans="2:7">
      <c r="B55" s="51"/>
      <c r="C55" s="52"/>
      <c r="D55" s="52"/>
      <c r="E55" s="52"/>
      <c r="F55" s="52"/>
      <c r="G55" s="52"/>
    </row>
    <row r="56" spans="2:7">
      <c r="B56" s="51"/>
      <c r="C56" s="52"/>
      <c r="D56" s="52"/>
      <c r="E56" s="52"/>
      <c r="F56" s="52"/>
      <c r="G56" s="52"/>
    </row>
    <row r="57" spans="2:7">
      <c r="B57" s="51"/>
      <c r="C57" s="52"/>
      <c r="D57" s="52"/>
      <c r="E57" s="52"/>
      <c r="F57" s="52"/>
      <c r="G57" s="52"/>
    </row>
    <row r="58" spans="2:7">
      <c r="B58" s="51"/>
      <c r="C58" s="52"/>
      <c r="D58" s="52"/>
      <c r="E58" s="52"/>
      <c r="F58" s="52"/>
      <c r="G58" s="52"/>
    </row>
    <row r="59" spans="2:7">
      <c r="B59" s="51"/>
      <c r="C59" s="52"/>
      <c r="D59" s="52"/>
      <c r="E59" s="52"/>
      <c r="F59" s="52"/>
      <c r="G59" s="52"/>
    </row>
    <row r="60" spans="2:7">
      <c r="B60" s="51"/>
      <c r="C60" s="52"/>
      <c r="D60" s="52"/>
      <c r="E60" s="52"/>
      <c r="F60" s="52"/>
      <c r="G60" s="52"/>
    </row>
    <row r="61" spans="2:7">
      <c r="B61" s="51"/>
      <c r="C61" s="52"/>
      <c r="D61" s="52"/>
      <c r="E61" s="52"/>
      <c r="F61" s="52"/>
      <c r="G61" s="52"/>
    </row>
    <row r="62" spans="2:7">
      <c r="B62" s="51"/>
      <c r="C62" s="52"/>
      <c r="D62" s="52"/>
      <c r="E62" s="52"/>
      <c r="F62" s="52"/>
      <c r="G62" s="52"/>
    </row>
    <row r="63" spans="2:7">
      <c r="B63" s="51"/>
      <c r="C63" s="52"/>
      <c r="D63" s="52"/>
      <c r="E63" s="52"/>
      <c r="F63" s="52"/>
      <c r="G63" s="52"/>
    </row>
    <row r="64" spans="2:7">
      <c r="B64" s="51"/>
      <c r="C64" s="51"/>
      <c r="D64" s="51"/>
      <c r="E64" s="51"/>
      <c r="F64" s="51"/>
      <c r="G64" s="51"/>
    </row>
    <row r="65" spans="2:7">
      <c r="B65" s="51"/>
      <c r="C65" s="51"/>
      <c r="D65" s="51"/>
      <c r="E65" s="51"/>
      <c r="F65" s="51"/>
      <c r="G65" s="51"/>
    </row>
    <row r="66" spans="2:7">
      <c r="B66" s="51"/>
      <c r="C66" s="51"/>
      <c r="D66" s="51"/>
      <c r="E66" s="51"/>
      <c r="F66" s="51"/>
      <c r="G66" s="51"/>
    </row>
    <row r="67" spans="2:7">
      <c r="B67" s="51"/>
      <c r="C67" s="51"/>
      <c r="D67" s="51"/>
      <c r="E67" s="51"/>
      <c r="F67" s="51"/>
      <c r="G67" s="51"/>
    </row>
    <row r="68" spans="2:7">
      <c r="B68" s="51"/>
      <c r="C68" s="51"/>
      <c r="D68" s="51"/>
      <c r="E68" s="51"/>
      <c r="F68" s="51"/>
      <c r="G68" s="51"/>
    </row>
    <row r="69" spans="2:7">
      <c r="B69" s="51"/>
      <c r="C69" s="51"/>
      <c r="D69" s="51"/>
      <c r="E69" s="51"/>
      <c r="F69" s="51"/>
      <c r="G69" s="51"/>
    </row>
    <row r="70" spans="2:7">
      <c r="B70" s="51"/>
      <c r="C70" s="51"/>
      <c r="D70" s="51"/>
      <c r="E70" s="51"/>
      <c r="F70" s="51"/>
      <c r="G70" s="51"/>
    </row>
    <row r="71" spans="2:7">
      <c r="B71" s="51"/>
      <c r="C71" s="51"/>
      <c r="D71" s="51"/>
      <c r="E71" s="51"/>
      <c r="F71" s="51"/>
      <c r="G71" s="51"/>
    </row>
    <row r="72" spans="2:7">
      <c r="B72" s="51"/>
      <c r="C72" s="51"/>
      <c r="D72" s="51"/>
      <c r="E72" s="51"/>
      <c r="F72" s="51"/>
      <c r="G72" s="51"/>
    </row>
    <row r="73" spans="2:7">
      <c r="B73" s="51"/>
      <c r="C73" s="51"/>
      <c r="D73" s="51"/>
      <c r="E73" s="51"/>
      <c r="F73" s="51"/>
      <c r="G73" s="51"/>
    </row>
    <row r="74" spans="2:7">
      <c r="B74" s="51"/>
      <c r="C74" s="51"/>
      <c r="D74" s="51"/>
      <c r="E74" s="51"/>
      <c r="F74" s="51"/>
      <c r="G74" s="51"/>
    </row>
    <row r="75" spans="2:7">
      <c r="B75" s="51"/>
      <c r="C75" s="51"/>
      <c r="D75" s="51"/>
      <c r="E75" s="51"/>
      <c r="F75" s="51"/>
      <c r="G75" s="51"/>
    </row>
    <row r="76" spans="2:7">
      <c r="B76" s="51"/>
      <c r="C76" s="51"/>
      <c r="D76" s="51"/>
      <c r="E76" s="51"/>
      <c r="F76" s="51"/>
      <c r="G76" s="51"/>
    </row>
  </sheetData>
  <mergeCells count="8">
    <mergeCell ref="A6:G6"/>
    <mergeCell ref="A8:A10"/>
    <mergeCell ref="B8:B10"/>
    <mergeCell ref="C8:C10"/>
    <mergeCell ref="D8:D10"/>
    <mergeCell ref="E8:E10"/>
    <mergeCell ref="F8:F10"/>
    <mergeCell ref="G8:G10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73"/>
  <sheetViews>
    <sheetView tabSelected="1" view="pageBreakPreview" zoomScaleNormal="60" zoomScaleSheetLayoutView="100" workbookViewId="0">
      <selection activeCell="L19" sqref="L19"/>
    </sheetView>
  </sheetViews>
  <sheetFormatPr defaultRowHeight="12.75"/>
  <cols>
    <col min="1" max="1" width="5.28515625" style="88" bestFit="1" customWidth="1"/>
    <col min="2" max="2" width="13" style="93" customWidth="1"/>
    <col min="3" max="3" width="45.5703125" style="93" bestFit="1" customWidth="1"/>
    <col min="4" max="4" width="8.28515625" style="93" customWidth="1"/>
    <col min="5" max="12" width="9.85546875" style="93" customWidth="1"/>
    <col min="13" max="13" width="9.85546875" style="94" customWidth="1"/>
    <col min="14" max="16" width="20.7109375" style="41" customWidth="1"/>
    <col min="17" max="16384" width="9.140625" style="41"/>
  </cols>
  <sheetData>
    <row r="1" spans="1:13">
      <c r="A1" s="74"/>
      <c r="B1" s="74" t="s">
        <v>197</v>
      </c>
      <c r="C1" s="75"/>
      <c r="D1" s="75"/>
      <c r="E1" s="75"/>
      <c r="F1" s="75"/>
      <c r="G1" s="75"/>
      <c r="H1" s="75"/>
      <c r="I1" s="75"/>
      <c r="J1" s="75" t="s">
        <v>17</v>
      </c>
      <c r="K1" s="75"/>
      <c r="L1" s="75"/>
      <c r="M1" s="75"/>
    </row>
    <row r="2" spans="1:13">
      <c r="A2" s="74"/>
      <c r="B2" s="74" t="s">
        <v>198</v>
      </c>
      <c r="C2" s="75"/>
      <c r="D2" s="75"/>
      <c r="E2" s="75"/>
      <c r="F2" s="75"/>
      <c r="G2" s="75"/>
      <c r="H2" s="75"/>
      <c r="I2" s="75"/>
      <c r="J2" s="75" t="s">
        <v>18</v>
      </c>
      <c r="K2" s="75"/>
      <c r="L2" s="75"/>
      <c r="M2" s="75"/>
    </row>
    <row r="3" spans="1:13">
      <c r="A3" s="74"/>
      <c r="B3" s="74" t="s">
        <v>199</v>
      </c>
      <c r="C3" s="75"/>
      <c r="D3" s="75"/>
      <c r="E3" s="75"/>
      <c r="F3" s="75"/>
      <c r="G3" s="75"/>
      <c r="H3" s="75"/>
      <c r="I3" s="75"/>
      <c r="J3" s="75" t="s">
        <v>48</v>
      </c>
      <c r="K3" s="75"/>
      <c r="L3" s="74" t="s">
        <v>20</v>
      </c>
      <c r="M3" s="75"/>
    </row>
    <row r="4" spans="1:13">
      <c r="A4" s="74"/>
      <c r="B4" s="74" t="s">
        <v>200</v>
      </c>
      <c r="C4" s="75"/>
      <c r="D4" s="75"/>
      <c r="E4" s="75"/>
      <c r="F4" s="75"/>
      <c r="G4" s="75"/>
      <c r="H4" s="75"/>
      <c r="I4" s="75"/>
      <c r="J4" s="75" t="s">
        <v>19</v>
      </c>
      <c r="K4" s="75"/>
      <c r="L4" s="75"/>
      <c r="M4" s="75"/>
    </row>
    <row r="5" spans="1:13">
      <c r="A5" s="76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s="62" customFormat="1">
      <c r="A6" s="116" t="s">
        <v>189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s="62" customForma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 s="58" customFormat="1" ht="12.75" customHeight="1">
      <c r="A8" s="120" t="s">
        <v>203</v>
      </c>
      <c r="B8" s="121" t="s">
        <v>204</v>
      </c>
      <c r="C8" s="121" t="s">
        <v>205</v>
      </c>
      <c r="D8" s="121" t="s">
        <v>206</v>
      </c>
      <c r="E8" s="120" t="s">
        <v>207</v>
      </c>
      <c r="F8" s="120"/>
      <c r="G8" s="121" t="s">
        <v>208</v>
      </c>
      <c r="H8" s="121"/>
      <c r="I8" s="121" t="s">
        <v>6</v>
      </c>
      <c r="J8" s="121"/>
      <c r="K8" s="120" t="s">
        <v>209</v>
      </c>
      <c r="L8" s="120"/>
      <c r="M8" s="120" t="s">
        <v>4</v>
      </c>
    </row>
    <row r="9" spans="1:13" s="58" customFormat="1" ht="12.75" customHeight="1">
      <c r="A9" s="120"/>
      <c r="B9" s="121"/>
      <c r="C9" s="121"/>
      <c r="D9" s="121"/>
      <c r="E9" s="63" t="s">
        <v>210</v>
      </c>
      <c r="F9" s="63" t="s">
        <v>181</v>
      </c>
      <c r="G9" s="63" t="s">
        <v>210</v>
      </c>
      <c r="H9" s="63" t="s">
        <v>181</v>
      </c>
      <c r="I9" s="63" t="s">
        <v>210</v>
      </c>
      <c r="J9" s="63" t="s">
        <v>181</v>
      </c>
      <c r="K9" s="63" t="s">
        <v>210</v>
      </c>
      <c r="L9" s="63" t="s">
        <v>181</v>
      </c>
      <c r="M9" s="120"/>
    </row>
    <row r="10" spans="1:13" s="58" customFormat="1">
      <c r="A10" s="63">
        <v>1</v>
      </c>
      <c r="B10" s="63">
        <v>2</v>
      </c>
      <c r="C10" s="64">
        <v>3</v>
      </c>
      <c r="D10" s="63">
        <v>4</v>
      </c>
      <c r="E10" s="63">
        <v>5</v>
      </c>
      <c r="F10" s="63">
        <v>6</v>
      </c>
      <c r="G10" s="63">
        <v>7</v>
      </c>
      <c r="H10" s="65">
        <v>8</v>
      </c>
      <c r="I10" s="63">
        <v>9</v>
      </c>
      <c r="J10" s="65">
        <v>10</v>
      </c>
      <c r="K10" s="63">
        <v>11</v>
      </c>
      <c r="L10" s="65">
        <v>12</v>
      </c>
      <c r="M10" s="65">
        <v>13</v>
      </c>
    </row>
    <row r="11" spans="1:13" s="58" customFormat="1">
      <c r="A11" s="63"/>
      <c r="B11" s="63"/>
      <c r="C11" s="63"/>
      <c r="D11" s="63"/>
      <c r="E11" s="79"/>
      <c r="F11" s="79"/>
      <c r="G11" s="79"/>
      <c r="H11" s="79"/>
      <c r="I11" s="79"/>
      <c r="J11" s="79"/>
      <c r="K11" s="79"/>
      <c r="L11" s="79"/>
      <c r="M11" s="79"/>
    </row>
    <row r="12" spans="1:13" s="58" customFormat="1">
      <c r="A12" s="63"/>
      <c r="B12" s="80"/>
      <c r="C12" s="64" t="s">
        <v>30</v>
      </c>
      <c r="D12" s="80"/>
      <c r="E12" s="80"/>
      <c r="F12" s="80"/>
      <c r="G12" s="80"/>
      <c r="H12" s="80"/>
      <c r="I12" s="80"/>
      <c r="J12" s="80"/>
      <c r="K12" s="80"/>
      <c r="L12" s="80"/>
      <c r="M12" s="81"/>
    </row>
    <row r="13" spans="1:13" ht="12.75" customHeight="1">
      <c r="A13" s="63"/>
      <c r="B13" s="80"/>
      <c r="C13" s="64"/>
      <c r="D13" s="80"/>
      <c r="E13" s="82"/>
      <c r="F13" s="82"/>
      <c r="G13" s="82"/>
      <c r="H13" s="82"/>
      <c r="I13" s="82"/>
      <c r="J13" s="82"/>
      <c r="K13" s="82"/>
      <c r="L13" s="82"/>
      <c r="M13" s="82"/>
    </row>
    <row r="14" spans="1:13">
      <c r="A14" s="80">
        <v>1.1000000000000001</v>
      </c>
      <c r="B14" s="117" t="s">
        <v>264</v>
      </c>
      <c r="C14" s="83" t="s">
        <v>31</v>
      </c>
      <c r="D14" s="80" t="s">
        <v>32</v>
      </c>
      <c r="E14" s="82"/>
      <c r="F14" s="82">
        <v>0.2</v>
      </c>
      <c r="G14" s="82"/>
      <c r="H14" s="82"/>
      <c r="I14" s="82"/>
      <c r="J14" s="82"/>
      <c r="K14" s="82"/>
      <c r="L14" s="82"/>
      <c r="M14" s="82"/>
    </row>
    <row r="15" spans="1:13" s="60" customFormat="1">
      <c r="A15" s="80"/>
      <c r="B15" s="118"/>
      <c r="C15" s="83"/>
      <c r="D15" s="80"/>
      <c r="E15" s="82"/>
      <c r="F15" s="82"/>
      <c r="G15" s="82"/>
      <c r="H15" s="82"/>
      <c r="I15" s="82"/>
      <c r="J15" s="82"/>
      <c r="K15" s="82"/>
      <c r="L15" s="82"/>
      <c r="M15" s="82"/>
    </row>
    <row r="16" spans="1:13" s="60" customFormat="1">
      <c r="A16" s="80" t="s">
        <v>0</v>
      </c>
      <c r="B16" s="118"/>
      <c r="C16" s="84" t="s">
        <v>15</v>
      </c>
      <c r="D16" s="80" t="s">
        <v>1</v>
      </c>
      <c r="E16" s="82">
        <f>1.1*1.13*(127+67)</f>
        <v>241.14199999999997</v>
      </c>
      <c r="F16" s="82">
        <f>E16*F14</f>
        <v>48.228399999999993</v>
      </c>
      <c r="G16" s="82"/>
      <c r="H16" s="82"/>
      <c r="I16" s="82"/>
      <c r="J16" s="82"/>
      <c r="K16" s="82"/>
      <c r="L16" s="82"/>
      <c r="M16" s="82"/>
    </row>
    <row r="17" spans="1:13" s="60" customFormat="1">
      <c r="A17" s="80"/>
      <c r="B17" s="119"/>
      <c r="C17" s="83"/>
      <c r="D17" s="80"/>
      <c r="E17" s="82"/>
      <c r="F17" s="82"/>
      <c r="G17" s="82"/>
      <c r="H17" s="82"/>
      <c r="I17" s="82"/>
      <c r="J17" s="82"/>
      <c r="K17" s="82"/>
      <c r="L17" s="82"/>
      <c r="M17" s="82"/>
    </row>
    <row r="18" spans="1:13" s="60" customFormat="1">
      <c r="A18" s="63"/>
      <c r="B18" s="85"/>
      <c r="C18" s="63" t="s">
        <v>4</v>
      </c>
      <c r="D18" s="63"/>
      <c r="E18" s="79"/>
      <c r="F18" s="79"/>
      <c r="G18" s="79"/>
      <c r="H18" s="79"/>
      <c r="I18" s="79"/>
      <c r="J18" s="79"/>
      <c r="K18" s="79"/>
      <c r="L18" s="79"/>
      <c r="M18" s="79"/>
    </row>
    <row r="19" spans="1:13" s="60" customFormat="1">
      <c r="A19" s="80"/>
      <c r="B19" s="86"/>
      <c r="C19" s="80"/>
      <c r="D19" s="80"/>
      <c r="E19" s="82"/>
      <c r="F19" s="82"/>
      <c r="G19" s="82"/>
      <c r="H19" s="82"/>
      <c r="I19" s="82"/>
      <c r="J19" s="82"/>
      <c r="K19" s="82"/>
      <c r="L19" s="82"/>
      <c r="M19" s="82"/>
    </row>
    <row r="20" spans="1:13">
      <c r="A20" s="80"/>
      <c r="B20" s="86"/>
      <c r="C20" s="80" t="s">
        <v>10</v>
      </c>
      <c r="D20" s="87">
        <v>0.1</v>
      </c>
      <c r="E20" s="82"/>
      <c r="F20" s="82"/>
      <c r="G20" s="82"/>
      <c r="H20" s="82"/>
      <c r="I20" s="82"/>
      <c r="J20" s="82"/>
      <c r="K20" s="82"/>
      <c r="L20" s="82"/>
      <c r="M20" s="82"/>
    </row>
    <row r="21" spans="1:13">
      <c r="A21" s="80"/>
      <c r="B21" s="86"/>
      <c r="C21" s="80" t="s">
        <v>4</v>
      </c>
      <c r="D21" s="87"/>
      <c r="E21" s="82"/>
      <c r="F21" s="82"/>
      <c r="G21" s="82"/>
      <c r="H21" s="82"/>
      <c r="I21" s="82"/>
      <c r="J21" s="82"/>
      <c r="K21" s="82"/>
      <c r="L21" s="82"/>
      <c r="M21" s="82"/>
    </row>
    <row r="22" spans="1:13">
      <c r="A22" s="80"/>
      <c r="B22" s="86"/>
      <c r="C22" s="80" t="s">
        <v>11</v>
      </c>
      <c r="D22" s="87">
        <v>0.08</v>
      </c>
      <c r="E22" s="82"/>
      <c r="F22" s="82"/>
      <c r="G22" s="82"/>
      <c r="H22" s="82"/>
      <c r="I22" s="82"/>
      <c r="J22" s="82"/>
      <c r="K22" s="82"/>
      <c r="L22" s="82"/>
      <c r="M22" s="82"/>
    </row>
    <row r="23" spans="1:13">
      <c r="A23" s="80"/>
      <c r="B23" s="86"/>
      <c r="C23" s="80"/>
      <c r="D23" s="87"/>
      <c r="E23" s="82"/>
      <c r="F23" s="82"/>
      <c r="G23" s="82"/>
      <c r="H23" s="82"/>
      <c r="I23" s="82"/>
      <c r="J23" s="82"/>
      <c r="K23" s="82"/>
      <c r="L23" s="82"/>
      <c r="M23" s="82"/>
    </row>
    <row r="24" spans="1:13">
      <c r="A24" s="63"/>
      <c r="B24" s="85"/>
      <c r="C24" s="63" t="s">
        <v>4</v>
      </c>
      <c r="D24" s="63"/>
      <c r="E24" s="79"/>
      <c r="F24" s="79"/>
      <c r="G24" s="79"/>
      <c r="H24" s="79"/>
      <c r="I24" s="79"/>
      <c r="J24" s="79"/>
      <c r="K24" s="79"/>
      <c r="L24" s="79"/>
      <c r="M24" s="79"/>
    </row>
    <row r="25" spans="1:13">
      <c r="B25" s="89"/>
      <c r="C25" s="90"/>
      <c r="D25" s="89"/>
      <c r="E25" s="89"/>
      <c r="F25" s="89"/>
      <c r="G25" s="89"/>
      <c r="H25" s="89"/>
      <c r="I25" s="89"/>
      <c r="J25" s="89"/>
      <c r="K25" s="89"/>
      <c r="L25" s="89"/>
      <c r="M25" s="91"/>
    </row>
    <row r="26" spans="1:13">
      <c r="B26" s="89"/>
      <c r="C26" s="90"/>
      <c r="D26" s="89"/>
      <c r="E26" s="89"/>
      <c r="F26" s="89"/>
      <c r="G26" s="89"/>
      <c r="H26" s="89"/>
      <c r="I26" s="89"/>
      <c r="J26" s="89"/>
      <c r="K26" s="89"/>
      <c r="L26" s="89"/>
      <c r="M26" s="91"/>
    </row>
    <row r="27" spans="1:13">
      <c r="B27" s="89"/>
      <c r="C27" s="90"/>
      <c r="D27" s="89"/>
      <c r="E27" s="89"/>
      <c r="F27" s="89"/>
      <c r="G27" s="89"/>
      <c r="H27" s="89"/>
      <c r="I27" s="89"/>
      <c r="J27" s="89"/>
      <c r="K27" s="89"/>
      <c r="L27" s="89"/>
      <c r="M27" s="91"/>
    </row>
    <row r="28" spans="1:13">
      <c r="B28" s="89"/>
      <c r="C28" s="90"/>
      <c r="D28" s="89"/>
      <c r="E28" s="89"/>
      <c r="F28" s="89"/>
      <c r="G28" s="89"/>
      <c r="H28" s="89"/>
      <c r="I28" s="89"/>
      <c r="J28" s="89"/>
      <c r="K28" s="89"/>
      <c r="L28" s="89"/>
      <c r="M28" s="91"/>
    </row>
    <row r="29" spans="1:13">
      <c r="B29" s="89"/>
      <c r="C29" s="90"/>
      <c r="D29" s="89"/>
      <c r="E29" s="89"/>
      <c r="F29" s="89"/>
      <c r="G29" s="89"/>
      <c r="H29" s="89"/>
      <c r="I29" s="89"/>
      <c r="J29" s="89"/>
      <c r="K29" s="89"/>
      <c r="L29" s="89"/>
      <c r="M29" s="91"/>
    </row>
    <row r="30" spans="1:13">
      <c r="B30" s="89"/>
      <c r="C30" s="90"/>
      <c r="D30" s="89"/>
      <c r="E30" s="89"/>
      <c r="F30" s="89"/>
      <c r="G30" s="89"/>
      <c r="H30" s="89"/>
      <c r="I30" s="89"/>
      <c r="J30" s="89"/>
      <c r="K30" s="89"/>
      <c r="L30" s="89"/>
      <c r="M30" s="91"/>
    </row>
    <row r="31" spans="1:13">
      <c r="B31" s="89"/>
      <c r="C31" s="90"/>
      <c r="D31" s="89"/>
      <c r="E31" s="89"/>
      <c r="F31" s="89"/>
      <c r="G31" s="89"/>
      <c r="H31" s="89"/>
      <c r="I31" s="89"/>
      <c r="J31" s="89"/>
      <c r="K31" s="89"/>
      <c r="L31" s="89"/>
      <c r="M31" s="91"/>
    </row>
    <row r="32" spans="1:13">
      <c r="B32" s="89"/>
      <c r="C32" s="90"/>
      <c r="D32" s="89"/>
      <c r="E32" s="89"/>
      <c r="F32" s="89"/>
      <c r="G32" s="89"/>
      <c r="H32" s="89"/>
      <c r="I32" s="89"/>
      <c r="J32" s="89"/>
      <c r="K32" s="89"/>
      <c r="L32" s="89"/>
      <c r="M32" s="91"/>
    </row>
    <row r="33" spans="2:13">
      <c r="B33" s="89"/>
      <c r="C33" s="90"/>
      <c r="D33" s="89"/>
      <c r="E33" s="89"/>
      <c r="F33" s="89"/>
      <c r="G33" s="89"/>
      <c r="H33" s="89"/>
      <c r="I33" s="89"/>
      <c r="J33" s="89"/>
      <c r="K33" s="89"/>
      <c r="L33" s="89"/>
      <c r="M33" s="91"/>
    </row>
    <row r="34" spans="2:13">
      <c r="B34" s="89"/>
      <c r="C34" s="90"/>
      <c r="D34" s="89"/>
      <c r="E34" s="89"/>
      <c r="F34" s="89"/>
      <c r="G34" s="89"/>
      <c r="H34" s="89"/>
      <c r="I34" s="89"/>
      <c r="J34" s="89"/>
      <c r="K34" s="89"/>
      <c r="L34" s="89"/>
      <c r="M34" s="91"/>
    </row>
    <row r="35" spans="2:13">
      <c r="B35" s="89"/>
      <c r="C35" s="90"/>
      <c r="D35" s="89"/>
      <c r="E35" s="89"/>
      <c r="F35" s="89"/>
      <c r="G35" s="89"/>
      <c r="H35" s="89"/>
      <c r="I35" s="89"/>
      <c r="J35" s="89"/>
      <c r="K35" s="89"/>
      <c r="L35" s="89"/>
      <c r="M35" s="91"/>
    </row>
    <row r="36" spans="2:13">
      <c r="B36" s="89"/>
      <c r="C36" s="90"/>
      <c r="D36" s="89"/>
      <c r="E36" s="89"/>
      <c r="F36" s="89"/>
      <c r="G36" s="89"/>
      <c r="H36" s="89"/>
      <c r="I36" s="89"/>
      <c r="J36" s="89"/>
      <c r="K36" s="89"/>
      <c r="L36" s="89"/>
      <c r="M36" s="91"/>
    </row>
    <row r="37" spans="2:13">
      <c r="B37" s="89"/>
      <c r="C37" s="90"/>
      <c r="D37" s="89"/>
      <c r="E37" s="89"/>
      <c r="F37" s="89"/>
      <c r="G37" s="89"/>
      <c r="H37" s="89"/>
      <c r="I37" s="89"/>
      <c r="J37" s="89"/>
      <c r="K37" s="89"/>
      <c r="L37" s="89"/>
      <c r="M37" s="91"/>
    </row>
    <row r="38" spans="2:13">
      <c r="B38" s="89"/>
      <c r="C38" s="90"/>
      <c r="D38" s="89"/>
      <c r="E38" s="89"/>
      <c r="F38" s="89"/>
      <c r="G38" s="89"/>
      <c r="H38" s="89"/>
      <c r="I38" s="89"/>
      <c r="J38" s="89"/>
      <c r="K38" s="89"/>
      <c r="L38" s="89"/>
      <c r="M38" s="91"/>
    </row>
    <row r="39" spans="2:13">
      <c r="B39" s="89"/>
      <c r="C39" s="90"/>
      <c r="D39" s="89"/>
      <c r="E39" s="89"/>
      <c r="F39" s="89"/>
      <c r="G39" s="89"/>
      <c r="H39" s="89"/>
      <c r="I39" s="89"/>
      <c r="J39" s="89"/>
      <c r="K39" s="89"/>
      <c r="L39" s="89"/>
      <c r="M39" s="91"/>
    </row>
    <row r="40" spans="2:13">
      <c r="B40" s="89"/>
      <c r="C40" s="90"/>
      <c r="D40" s="89"/>
      <c r="E40" s="89"/>
      <c r="F40" s="89"/>
      <c r="G40" s="89"/>
      <c r="H40" s="89"/>
      <c r="I40" s="89"/>
      <c r="J40" s="89"/>
      <c r="K40" s="89"/>
      <c r="L40" s="89"/>
      <c r="M40" s="91"/>
    </row>
    <row r="41" spans="2:13">
      <c r="B41" s="89"/>
      <c r="C41" s="90"/>
      <c r="D41" s="89"/>
      <c r="E41" s="89"/>
      <c r="F41" s="89"/>
      <c r="G41" s="89"/>
      <c r="H41" s="89"/>
      <c r="I41" s="89"/>
      <c r="J41" s="89"/>
      <c r="K41" s="89"/>
      <c r="L41" s="89"/>
      <c r="M41" s="91"/>
    </row>
    <row r="42" spans="2:13">
      <c r="B42" s="89"/>
      <c r="C42" s="90"/>
      <c r="D42" s="89"/>
      <c r="E42" s="89"/>
      <c r="F42" s="89"/>
      <c r="G42" s="89"/>
      <c r="H42" s="89"/>
      <c r="I42" s="89"/>
      <c r="J42" s="89"/>
      <c r="K42" s="89"/>
      <c r="L42" s="89"/>
      <c r="M42" s="91"/>
    </row>
    <row r="43" spans="2:13">
      <c r="B43" s="89"/>
      <c r="C43" s="90"/>
      <c r="D43" s="89"/>
      <c r="E43" s="89"/>
      <c r="F43" s="89"/>
      <c r="G43" s="89"/>
      <c r="H43" s="89"/>
      <c r="I43" s="89"/>
      <c r="J43" s="89"/>
      <c r="K43" s="89"/>
      <c r="L43" s="89"/>
      <c r="M43" s="91"/>
    </row>
    <row r="44" spans="2:13">
      <c r="B44" s="89"/>
      <c r="C44" s="90"/>
      <c r="D44" s="89"/>
      <c r="E44" s="89"/>
      <c r="F44" s="89"/>
      <c r="G44" s="89"/>
      <c r="H44" s="89"/>
      <c r="I44" s="89"/>
      <c r="J44" s="89"/>
      <c r="K44" s="89"/>
      <c r="L44" s="89"/>
      <c r="M44" s="91"/>
    </row>
    <row r="45" spans="2:13">
      <c r="B45" s="89"/>
      <c r="C45" s="90"/>
      <c r="D45" s="89"/>
      <c r="E45" s="89"/>
      <c r="F45" s="89"/>
      <c r="G45" s="89"/>
      <c r="H45" s="89"/>
      <c r="I45" s="89"/>
      <c r="J45" s="89"/>
      <c r="K45" s="89"/>
      <c r="L45" s="89"/>
      <c r="M45" s="91"/>
    </row>
    <row r="46" spans="2:13">
      <c r="B46" s="89"/>
      <c r="C46" s="90"/>
      <c r="D46" s="89"/>
      <c r="E46" s="89"/>
      <c r="F46" s="89"/>
      <c r="G46" s="89"/>
      <c r="H46" s="89"/>
      <c r="I46" s="89"/>
      <c r="J46" s="89"/>
      <c r="K46" s="89"/>
      <c r="L46" s="89"/>
      <c r="M46" s="91"/>
    </row>
    <row r="47" spans="2:13">
      <c r="B47" s="89"/>
      <c r="C47" s="90"/>
      <c r="D47" s="89"/>
      <c r="E47" s="89"/>
      <c r="F47" s="89"/>
      <c r="G47" s="89"/>
      <c r="H47" s="89"/>
      <c r="I47" s="89"/>
      <c r="J47" s="89"/>
      <c r="K47" s="89"/>
      <c r="L47" s="89"/>
      <c r="M47" s="91"/>
    </row>
    <row r="48" spans="2:13">
      <c r="B48" s="89"/>
      <c r="C48" s="90"/>
      <c r="D48" s="89"/>
      <c r="E48" s="89"/>
      <c r="F48" s="89"/>
      <c r="G48" s="89"/>
      <c r="H48" s="89"/>
      <c r="I48" s="89"/>
      <c r="J48" s="89"/>
      <c r="K48" s="89"/>
      <c r="L48" s="89"/>
      <c r="M48" s="91"/>
    </row>
    <row r="49" spans="2:13">
      <c r="B49" s="89"/>
      <c r="C49" s="90"/>
      <c r="D49" s="89"/>
      <c r="E49" s="89"/>
      <c r="F49" s="89"/>
      <c r="G49" s="89"/>
      <c r="H49" s="89"/>
      <c r="I49" s="89"/>
      <c r="J49" s="89"/>
      <c r="K49" s="89"/>
      <c r="L49" s="89"/>
      <c r="M49" s="91"/>
    </row>
    <row r="50" spans="2:13">
      <c r="B50" s="89"/>
      <c r="C50" s="90"/>
      <c r="D50" s="89"/>
      <c r="E50" s="89"/>
      <c r="F50" s="89"/>
      <c r="G50" s="89"/>
      <c r="H50" s="89"/>
      <c r="I50" s="89"/>
      <c r="J50" s="89"/>
      <c r="K50" s="89"/>
      <c r="L50" s="89"/>
      <c r="M50" s="91"/>
    </row>
    <row r="51" spans="2:13">
      <c r="B51" s="89"/>
      <c r="C51" s="90"/>
      <c r="D51" s="89"/>
      <c r="E51" s="89"/>
      <c r="F51" s="89"/>
      <c r="G51" s="89"/>
      <c r="H51" s="89"/>
      <c r="I51" s="89"/>
      <c r="J51" s="89"/>
      <c r="K51" s="89"/>
      <c r="L51" s="89"/>
      <c r="M51" s="91"/>
    </row>
    <row r="52" spans="2:13">
      <c r="B52" s="89"/>
      <c r="C52" s="90"/>
      <c r="D52" s="89"/>
      <c r="E52" s="89"/>
      <c r="F52" s="89"/>
      <c r="G52" s="89"/>
      <c r="H52" s="89"/>
      <c r="I52" s="89"/>
      <c r="J52" s="89"/>
      <c r="K52" s="89"/>
      <c r="L52" s="89"/>
      <c r="M52" s="91"/>
    </row>
    <row r="53" spans="2:13">
      <c r="B53" s="89"/>
      <c r="C53" s="90"/>
      <c r="D53" s="89"/>
      <c r="E53" s="89"/>
      <c r="F53" s="89"/>
      <c r="G53" s="89"/>
      <c r="H53" s="89"/>
      <c r="I53" s="89"/>
      <c r="J53" s="89"/>
      <c r="K53" s="89"/>
      <c r="L53" s="89"/>
      <c r="M53" s="91"/>
    </row>
    <row r="54" spans="2:13">
      <c r="B54" s="89"/>
      <c r="C54" s="90"/>
      <c r="D54" s="89"/>
      <c r="E54" s="89"/>
      <c r="F54" s="89"/>
      <c r="G54" s="89"/>
      <c r="H54" s="89"/>
      <c r="I54" s="89"/>
      <c r="J54" s="89"/>
      <c r="K54" s="89"/>
      <c r="L54" s="89"/>
      <c r="M54" s="91"/>
    </row>
    <row r="55" spans="2:13">
      <c r="B55" s="89"/>
      <c r="C55" s="90"/>
      <c r="D55" s="89"/>
      <c r="E55" s="89"/>
      <c r="F55" s="89"/>
      <c r="G55" s="89"/>
      <c r="H55" s="89"/>
      <c r="I55" s="89"/>
      <c r="J55" s="89"/>
      <c r="K55" s="89"/>
      <c r="L55" s="89"/>
      <c r="M55" s="91"/>
    </row>
    <row r="56" spans="2:13">
      <c r="B56" s="89"/>
      <c r="C56" s="90"/>
      <c r="D56" s="89"/>
      <c r="E56" s="89"/>
      <c r="F56" s="89"/>
      <c r="G56" s="89"/>
      <c r="H56" s="89"/>
      <c r="I56" s="89"/>
      <c r="J56" s="89"/>
      <c r="K56" s="89"/>
      <c r="L56" s="89"/>
      <c r="M56" s="91"/>
    </row>
    <row r="57" spans="2:13">
      <c r="B57" s="89"/>
      <c r="C57" s="90"/>
      <c r="D57" s="89"/>
      <c r="E57" s="89"/>
      <c r="F57" s="89"/>
      <c r="G57" s="89"/>
      <c r="H57" s="89"/>
      <c r="I57" s="89"/>
      <c r="J57" s="89"/>
      <c r="K57" s="89"/>
      <c r="L57" s="89"/>
      <c r="M57" s="91"/>
    </row>
    <row r="58" spans="2:13">
      <c r="B58" s="89"/>
      <c r="C58" s="90"/>
      <c r="D58" s="89"/>
      <c r="E58" s="89"/>
      <c r="F58" s="89"/>
      <c r="G58" s="89"/>
      <c r="H58" s="89"/>
      <c r="I58" s="89"/>
      <c r="J58" s="89"/>
      <c r="K58" s="89"/>
      <c r="L58" s="89"/>
      <c r="M58" s="91"/>
    </row>
    <row r="59" spans="2:13">
      <c r="B59" s="89"/>
      <c r="C59" s="90"/>
      <c r="D59" s="89"/>
      <c r="E59" s="89"/>
      <c r="F59" s="89"/>
      <c r="G59" s="89"/>
      <c r="H59" s="89"/>
      <c r="I59" s="89"/>
      <c r="J59" s="89"/>
      <c r="K59" s="89"/>
      <c r="L59" s="89"/>
      <c r="M59" s="91"/>
    </row>
    <row r="60" spans="2:13">
      <c r="B60" s="89"/>
      <c r="C60" s="90"/>
      <c r="D60" s="89"/>
      <c r="E60" s="89"/>
      <c r="F60" s="89"/>
      <c r="G60" s="89"/>
      <c r="H60" s="89"/>
      <c r="I60" s="89"/>
      <c r="J60" s="89"/>
      <c r="K60" s="89"/>
      <c r="L60" s="89"/>
      <c r="M60" s="91"/>
    </row>
    <row r="61" spans="2:13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2"/>
    </row>
    <row r="62" spans="2:13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2"/>
    </row>
    <row r="63" spans="2:13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2"/>
    </row>
    <row r="64" spans="2:13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2"/>
    </row>
    <row r="65" spans="2:13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2"/>
    </row>
    <row r="66" spans="2:13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2"/>
    </row>
    <row r="67" spans="2:13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2"/>
    </row>
    <row r="68" spans="2:13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2"/>
    </row>
    <row r="69" spans="2:13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2"/>
    </row>
    <row r="70" spans="2:13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2"/>
    </row>
    <row r="71" spans="2:13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2"/>
    </row>
    <row r="72" spans="2:13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2"/>
    </row>
    <row r="73" spans="2:13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2"/>
    </row>
  </sheetData>
  <mergeCells count="11">
    <mergeCell ref="A6:M6"/>
    <mergeCell ref="B14:B17"/>
    <mergeCell ref="E8:F8"/>
    <mergeCell ref="G8:H8"/>
    <mergeCell ref="I8:J8"/>
    <mergeCell ref="A8:A9"/>
    <mergeCell ref="B8:B9"/>
    <mergeCell ref="C8:C9"/>
    <mergeCell ref="D8:D9"/>
    <mergeCell ref="M8:M9"/>
    <mergeCell ref="K8:L8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2"/>
  <sheetViews>
    <sheetView view="pageBreakPreview" zoomScaleNormal="60" zoomScaleSheetLayoutView="100" workbookViewId="0">
      <selection activeCell="H15" sqref="H15"/>
    </sheetView>
  </sheetViews>
  <sheetFormatPr defaultRowHeight="12.75"/>
  <cols>
    <col min="1" max="1" width="5.28515625" style="93" bestFit="1" customWidth="1"/>
    <col min="2" max="2" width="12.5703125" style="93" customWidth="1"/>
    <col min="3" max="3" width="45.5703125" style="93" bestFit="1" customWidth="1"/>
    <col min="4" max="4" width="9.28515625" style="93" customWidth="1"/>
    <col min="5" max="12" width="10" style="93" customWidth="1"/>
    <col min="13" max="13" width="10" style="94" customWidth="1"/>
    <col min="14" max="16384" width="9.140625" style="41"/>
  </cols>
  <sheetData>
    <row r="1" spans="1:13" s="62" customFormat="1">
      <c r="A1" s="122" t="s">
        <v>189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62" customForma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8" customFormat="1" ht="12.75" customHeight="1">
      <c r="A3" s="120" t="s">
        <v>203</v>
      </c>
      <c r="B3" s="121" t="s">
        <v>204</v>
      </c>
      <c r="C3" s="121" t="s">
        <v>205</v>
      </c>
      <c r="D3" s="121" t="s">
        <v>206</v>
      </c>
      <c r="E3" s="120" t="s">
        <v>207</v>
      </c>
      <c r="F3" s="120"/>
      <c r="G3" s="121" t="s">
        <v>208</v>
      </c>
      <c r="H3" s="121"/>
      <c r="I3" s="121" t="s">
        <v>6</v>
      </c>
      <c r="J3" s="121"/>
      <c r="K3" s="120" t="s">
        <v>209</v>
      </c>
      <c r="L3" s="120"/>
      <c r="M3" s="120" t="s">
        <v>4</v>
      </c>
    </row>
    <row r="4" spans="1:13" s="58" customFormat="1">
      <c r="A4" s="120"/>
      <c r="B4" s="121"/>
      <c r="C4" s="121"/>
      <c r="D4" s="121"/>
      <c r="E4" s="63" t="s">
        <v>210</v>
      </c>
      <c r="F4" s="63" t="s">
        <v>181</v>
      </c>
      <c r="G4" s="63" t="s">
        <v>210</v>
      </c>
      <c r="H4" s="63" t="s">
        <v>181</v>
      </c>
      <c r="I4" s="63" t="s">
        <v>210</v>
      </c>
      <c r="J4" s="63" t="s">
        <v>181</v>
      </c>
      <c r="K4" s="63" t="s">
        <v>210</v>
      </c>
      <c r="L4" s="63" t="s">
        <v>181</v>
      </c>
      <c r="M4" s="120"/>
    </row>
    <row r="5" spans="1:13" s="58" customFormat="1">
      <c r="A5" s="63">
        <v>1</v>
      </c>
      <c r="B5" s="63">
        <v>2</v>
      </c>
      <c r="C5" s="64">
        <v>3</v>
      </c>
      <c r="D5" s="63">
        <v>4</v>
      </c>
      <c r="E5" s="63">
        <v>5</v>
      </c>
      <c r="F5" s="63">
        <v>6</v>
      </c>
      <c r="G5" s="63">
        <v>7</v>
      </c>
      <c r="H5" s="65">
        <v>8</v>
      </c>
      <c r="I5" s="63">
        <v>9</v>
      </c>
      <c r="J5" s="65">
        <v>10</v>
      </c>
      <c r="K5" s="63">
        <v>11</v>
      </c>
      <c r="L5" s="65">
        <v>12</v>
      </c>
      <c r="M5" s="65">
        <v>13</v>
      </c>
    </row>
    <row r="6" spans="1:13" s="58" customForma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96"/>
    </row>
    <row r="7" spans="1:13" s="58" customFormat="1">
      <c r="A7" s="63"/>
      <c r="B7" s="80"/>
      <c r="C7" s="64" t="s">
        <v>47</v>
      </c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3" s="58" customFormat="1">
      <c r="A8" s="63"/>
      <c r="B8" s="80"/>
      <c r="C8" s="64"/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1:13">
      <c r="A9" s="97">
        <v>1.1000000000000001</v>
      </c>
      <c r="B9" s="86" t="s">
        <v>78</v>
      </c>
      <c r="C9" s="98" t="s">
        <v>79</v>
      </c>
      <c r="D9" s="80" t="s">
        <v>228</v>
      </c>
      <c r="E9" s="82"/>
      <c r="F9" s="82">
        <v>500</v>
      </c>
      <c r="G9" s="82"/>
      <c r="H9" s="82"/>
      <c r="I9" s="82"/>
      <c r="J9" s="82"/>
      <c r="K9" s="82"/>
      <c r="L9" s="82"/>
      <c r="M9" s="82"/>
    </row>
    <row r="10" spans="1:13">
      <c r="A10" s="80"/>
      <c r="B10" s="86"/>
      <c r="C10" s="99"/>
      <c r="D10" s="80" t="s">
        <v>263</v>
      </c>
      <c r="E10" s="82"/>
      <c r="F10" s="100">
        <f>F9/10000</f>
        <v>0.05</v>
      </c>
      <c r="G10" s="82"/>
      <c r="H10" s="82"/>
      <c r="I10" s="82"/>
      <c r="J10" s="82"/>
      <c r="K10" s="82"/>
      <c r="L10" s="82"/>
      <c r="M10" s="82"/>
    </row>
    <row r="11" spans="1:13">
      <c r="A11" s="80" t="s">
        <v>0</v>
      </c>
      <c r="B11" s="86"/>
      <c r="C11" s="99" t="s">
        <v>15</v>
      </c>
      <c r="D11" s="80" t="s">
        <v>1</v>
      </c>
      <c r="E11" s="82">
        <v>0.31</v>
      </c>
      <c r="F11" s="82">
        <f>E11*F10</f>
        <v>1.55E-2</v>
      </c>
      <c r="G11" s="82"/>
      <c r="H11" s="82"/>
      <c r="I11" s="82"/>
      <c r="J11" s="82"/>
      <c r="K11" s="82"/>
      <c r="L11" s="82"/>
      <c r="M11" s="82"/>
    </row>
    <row r="12" spans="1:13">
      <c r="A12" s="80" t="s">
        <v>149</v>
      </c>
      <c r="B12" s="86" t="s">
        <v>215</v>
      </c>
      <c r="C12" s="101" t="s">
        <v>216</v>
      </c>
      <c r="D12" s="80" t="s">
        <v>24</v>
      </c>
      <c r="E12" s="82">
        <v>1.1200000000000001</v>
      </c>
      <c r="F12" s="82">
        <f>E12*F10</f>
        <v>5.6000000000000008E-2</v>
      </c>
      <c r="G12" s="82"/>
      <c r="H12" s="82"/>
      <c r="I12" s="82"/>
      <c r="J12" s="82"/>
      <c r="K12" s="82"/>
      <c r="L12" s="82"/>
      <c r="M12" s="82"/>
    </row>
    <row r="13" spans="1:13" s="45" customFormat="1">
      <c r="A13" s="80"/>
      <c r="B13" s="86"/>
      <c r="C13" s="101"/>
      <c r="D13" s="80"/>
      <c r="E13" s="82"/>
      <c r="F13" s="82"/>
      <c r="G13" s="82"/>
      <c r="H13" s="82"/>
      <c r="I13" s="82"/>
      <c r="J13" s="82"/>
      <c r="K13" s="82"/>
      <c r="L13" s="82"/>
      <c r="M13" s="82"/>
    </row>
    <row r="14" spans="1:13" s="68" customFormat="1">
      <c r="A14" s="63"/>
      <c r="B14" s="85"/>
      <c r="C14" s="63" t="s">
        <v>4</v>
      </c>
      <c r="D14" s="63"/>
      <c r="E14" s="63"/>
      <c r="F14" s="63"/>
      <c r="G14" s="63"/>
      <c r="H14" s="102"/>
      <c r="I14" s="102"/>
      <c r="J14" s="102"/>
      <c r="K14" s="102"/>
      <c r="L14" s="102"/>
      <c r="M14" s="102"/>
    </row>
    <row r="15" spans="1:13" s="60" customFormat="1">
      <c r="A15" s="63"/>
      <c r="B15" s="86"/>
      <c r="C15" s="80"/>
      <c r="D15" s="80"/>
      <c r="E15" s="82"/>
      <c r="F15" s="82"/>
      <c r="G15" s="82"/>
      <c r="H15" s="82"/>
      <c r="I15" s="82"/>
      <c r="J15" s="82"/>
      <c r="K15" s="82"/>
      <c r="L15" s="82"/>
      <c r="M15" s="82"/>
    </row>
    <row r="16" spans="1:13" s="60" customFormat="1">
      <c r="A16" s="63"/>
      <c r="B16" s="86"/>
      <c r="C16" s="80" t="s">
        <v>10</v>
      </c>
      <c r="D16" s="87">
        <v>0.1</v>
      </c>
      <c r="E16" s="82"/>
      <c r="F16" s="82"/>
      <c r="G16" s="82"/>
      <c r="H16" s="82"/>
      <c r="I16" s="82"/>
      <c r="J16" s="82"/>
      <c r="K16" s="82"/>
      <c r="L16" s="82"/>
      <c r="M16" s="82"/>
    </row>
    <row r="17" spans="1:13" s="60" customFormat="1">
      <c r="A17" s="63"/>
      <c r="B17" s="86"/>
      <c r="C17" s="80" t="s">
        <v>4</v>
      </c>
      <c r="D17" s="87"/>
      <c r="E17" s="82"/>
      <c r="F17" s="82"/>
      <c r="G17" s="82"/>
      <c r="H17" s="82"/>
      <c r="I17" s="82"/>
      <c r="J17" s="82"/>
      <c r="K17" s="82"/>
      <c r="L17" s="82"/>
      <c r="M17" s="82"/>
    </row>
    <row r="18" spans="1:13" s="60" customFormat="1">
      <c r="A18" s="63"/>
      <c r="B18" s="86"/>
      <c r="C18" s="80" t="s">
        <v>11</v>
      </c>
      <c r="D18" s="87">
        <v>0.08</v>
      </c>
      <c r="E18" s="82"/>
      <c r="F18" s="82"/>
      <c r="G18" s="82"/>
      <c r="H18" s="82"/>
      <c r="I18" s="82"/>
      <c r="J18" s="82"/>
      <c r="K18" s="82"/>
      <c r="L18" s="82"/>
      <c r="M18" s="82"/>
    </row>
    <row r="19" spans="1:13">
      <c r="A19" s="80"/>
      <c r="B19" s="80"/>
      <c r="C19" s="80"/>
      <c r="D19" s="87"/>
      <c r="E19" s="82"/>
      <c r="F19" s="82"/>
      <c r="G19" s="82"/>
      <c r="H19" s="82"/>
      <c r="I19" s="82"/>
      <c r="J19" s="82"/>
      <c r="K19" s="82"/>
      <c r="L19" s="82"/>
      <c r="M19" s="82"/>
    </row>
    <row r="20" spans="1:13">
      <c r="A20" s="80"/>
      <c r="B20" s="80"/>
      <c r="C20" s="63" t="s">
        <v>4</v>
      </c>
      <c r="D20" s="63"/>
      <c r="E20" s="79"/>
      <c r="F20" s="79"/>
      <c r="G20" s="79"/>
      <c r="H20" s="79"/>
      <c r="I20" s="79"/>
      <c r="J20" s="79"/>
      <c r="K20" s="79"/>
      <c r="L20" s="79"/>
      <c r="M20" s="79"/>
    </row>
    <row r="21" spans="1:13">
      <c r="A21" s="89"/>
      <c r="B21" s="89"/>
      <c r="C21" s="90"/>
      <c r="D21" s="89"/>
      <c r="E21" s="89"/>
      <c r="F21" s="89"/>
      <c r="G21" s="89"/>
      <c r="H21" s="89"/>
      <c r="I21" s="89"/>
      <c r="J21" s="89"/>
      <c r="K21" s="89"/>
      <c r="L21" s="89"/>
      <c r="M21" s="91"/>
    </row>
    <row r="22" spans="1:13">
      <c r="B22" s="89"/>
      <c r="C22" s="90"/>
      <c r="D22" s="89"/>
      <c r="E22" s="89"/>
      <c r="F22" s="89"/>
      <c r="G22" s="89"/>
      <c r="H22" s="89"/>
      <c r="I22" s="89"/>
      <c r="J22" s="89"/>
      <c r="K22" s="89"/>
      <c r="L22" s="89"/>
      <c r="M22" s="91"/>
    </row>
    <row r="23" spans="1:13">
      <c r="B23" s="89"/>
      <c r="C23" s="90"/>
      <c r="D23" s="89"/>
      <c r="E23" s="89"/>
      <c r="F23" s="89"/>
      <c r="G23" s="89"/>
      <c r="H23" s="89"/>
      <c r="I23" s="89"/>
      <c r="J23" s="89"/>
      <c r="K23" s="89"/>
      <c r="L23" s="89"/>
      <c r="M23" s="91"/>
    </row>
    <row r="24" spans="1:13">
      <c r="B24" s="89"/>
      <c r="C24" s="90"/>
      <c r="D24" s="89"/>
      <c r="E24" s="89"/>
      <c r="F24" s="89"/>
      <c r="G24" s="89"/>
      <c r="H24" s="89"/>
      <c r="I24" s="89"/>
      <c r="J24" s="89"/>
      <c r="K24" s="89"/>
      <c r="L24" s="89"/>
      <c r="M24" s="91"/>
    </row>
    <row r="25" spans="1:13">
      <c r="B25" s="89"/>
      <c r="C25" s="90"/>
      <c r="D25" s="89"/>
      <c r="E25" s="89"/>
      <c r="F25" s="89"/>
      <c r="G25" s="89"/>
      <c r="H25" s="89"/>
      <c r="I25" s="89"/>
      <c r="J25" s="89"/>
      <c r="K25" s="89"/>
      <c r="L25" s="89"/>
      <c r="M25" s="91"/>
    </row>
    <row r="26" spans="1:13">
      <c r="B26" s="89"/>
      <c r="C26" s="90"/>
      <c r="D26" s="89"/>
      <c r="E26" s="89"/>
      <c r="F26" s="89"/>
      <c r="G26" s="89"/>
      <c r="H26" s="89"/>
      <c r="I26" s="89"/>
      <c r="J26" s="89"/>
      <c r="K26" s="89"/>
      <c r="L26" s="89"/>
      <c r="M26" s="91"/>
    </row>
    <row r="27" spans="1:13">
      <c r="B27" s="89"/>
      <c r="C27" s="90"/>
      <c r="D27" s="89"/>
      <c r="E27" s="89"/>
      <c r="F27" s="89"/>
      <c r="G27" s="89"/>
      <c r="H27" s="89"/>
      <c r="I27" s="89"/>
      <c r="J27" s="89"/>
      <c r="K27" s="89"/>
      <c r="L27" s="89"/>
      <c r="M27" s="91"/>
    </row>
    <row r="28" spans="1:13">
      <c r="B28" s="89"/>
      <c r="C28" s="90"/>
      <c r="D28" s="89"/>
      <c r="E28" s="89"/>
      <c r="F28" s="89"/>
      <c r="G28" s="89"/>
      <c r="H28" s="89"/>
      <c r="I28" s="89"/>
      <c r="J28" s="89"/>
      <c r="K28" s="89"/>
      <c r="L28" s="89"/>
      <c r="M28" s="91"/>
    </row>
    <row r="29" spans="1:13">
      <c r="B29" s="89"/>
      <c r="C29" s="90"/>
      <c r="D29" s="89"/>
      <c r="E29" s="89"/>
      <c r="F29" s="89"/>
      <c r="G29" s="89"/>
      <c r="H29" s="89"/>
      <c r="I29" s="89"/>
      <c r="J29" s="89"/>
      <c r="K29" s="89"/>
      <c r="L29" s="89"/>
      <c r="M29" s="91"/>
    </row>
    <row r="30" spans="1:13">
      <c r="B30" s="89"/>
      <c r="C30" s="90"/>
      <c r="D30" s="89"/>
      <c r="E30" s="89"/>
      <c r="F30" s="89"/>
      <c r="G30" s="89"/>
      <c r="H30" s="89"/>
      <c r="I30" s="89"/>
      <c r="J30" s="89"/>
      <c r="K30" s="89"/>
      <c r="L30" s="89"/>
      <c r="M30" s="91"/>
    </row>
    <row r="31" spans="1:13">
      <c r="B31" s="89"/>
      <c r="C31" s="90"/>
      <c r="D31" s="89"/>
      <c r="E31" s="89"/>
      <c r="F31" s="89"/>
      <c r="G31" s="89"/>
      <c r="H31" s="89"/>
      <c r="I31" s="89"/>
      <c r="J31" s="89"/>
      <c r="K31" s="89"/>
      <c r="L31" s="89"/>
      <c r="M31" s="91"/>
    </row>
    <row r="32" spans="1:13">
      <c r="B32" s="89"/>
      <c r="C32" s="90"/>
      <c r="D32" s="89"/>
      <c r="E32" s="89"/>
      <c r="F32" s="89"/>
      <c r="G32" s="89"/>
      <c r="H32" s="89"/>
      <c r="I32" s="89"/>
      <c r="J32" s="89"/>
      <c r="K32" s="89"/>
      <c r="L32" s="89"/>
      <c r="M32" s="91"/>
    </row>
    <row r="33" spans="2:13">
      <c r="B33" s="89"/>
      <c r="C33" s="90"/>
      <c r="D33" s="89"/>
      <c r="E33" s="89"/>
      <c r="F33" s="89"/>
      <c r="G33" s="89"/>
      <c r="H33" s="89"/>
      <c r="I33" s="89"/>
      <c r="J33" s="89"/>
      <c r="K33" s="89"/>
      <c r="L33" s="89"/>
      <c r="M33" s="91"/>
    </row>
    <row r="34" spans="2:13">
      <c r="B34" s="89"/>
      <c r="C34" s="90"/>
      <c r="D34" s="89"/>
      <c r="E34" s="89"/>
      <c r="F34" s="89"/>
      <c r="G34" s="89"/>
      <c r="H34" s="89"/>
      <c r="I34" s="89"/>
      <c r="J34" s="89"/>
      <c r="K34" s="89"/>
      <c r="L34" s="89"/>
      <c r="M34" s="91"/>
    </row>
    <row r="35" spans="2:13">
      <c r="B35" s="89"/>
      <c r="C35" s="90"/>
      <c r="D35" s="89"/>
      <c r="E35" s="89"/>
      <c r="F35" s="89"/>
      <c r="G35" s="89"/>
      <c r="H35" s="89"/>
      <c r="I35" s="89"/>
      <c r="J35" s="89"/>
      <c r="K35" s="89"/>
      <c r="L35" s="89"/>
      <c r="M35" s="91"/>
    </row>
    <row r="36" spans="2:13">
      <c r="B36" s="89"/>
      <c r="C36" s="90"/>
      <c r="D36" s="89"/>
      <c r="E36" s="89"/>
      <c r="F36" s="89"/>
      <c r="G36" s="89"/>
      <c r="H36" s="89"/>
      <c r="I36" s="89"/>
      <c r="J36" s="89"/>
      <c r="K36" s="89"/>
      <c r="L36" s="89"/>
      <c r="M36" s="91"/>
    </row>
    <row r="37" spans="2:13">
      <c r="B37" s="89"/>
      <c r="C37" s="90"/>
      <c r="D37" s="89"/>
      <c r="E37" s="89"/>
      <c r="F37" s="89"/>
      <c r="G37" s="89"/>
      <c r="H37" s="89"/>
      <c r="I37" s="89"/>
      <c r="J37" s="89"/>
      <c r="K37" s="89"/>
      <c r="L37" s="89"/>
      <c r="M37" s="91"/>
    </row>
    <row r="38" spans="2:13">
      <c r="B38" s="89"/>
      <c r="C38" s="90"/>
      <c r="D38" s="89"/>
      <c r="E38" s="89"/>
      <c r="F38" s="89"/>
      <c r="G38" s="89"/>
      <c r="H38" s="89"/>
      <c r="I38" s="89"/>
      <c r="J38" s="89"/>
      <c r="K38" s="89"/>
      <c r="L38" s="89"/>
      <c r="M38" s="91"/>
    </row>
    <row r="39" spans="2:13">
      <c r="B39" s="89"/>
      <c r="C39" s="90"/>
      <c r="D39" s="89"/>
      <c r="E39" s="89"/>
      <c r="F39" s="89"/>
      <c r="G39" s="89"/>
      <c r="H39" s="89"/>
      <c r="I39" s="89"/>
      <c r="J39" s="89"/>
      <c r="K39" s="89"/>
      <c r="L39" s="89"/>
      <c r="M39" s="91"/>
    </row>
    <row r="40" spans="2:13">
      <c r="B40" s="89"/>
      <c r="C40" s="90"/>
      <c r="D40" s="89"/>
      <c r="E40" s="89"/>
      <c r="F40" s="89"/>
      <c r="G40" s="89"/>
      <c r="H40" s="89"/>
      <c r="I40" s="89"/>
      <c r="J40" s="89"/>
      <c r="K40" s="89"/>
      <c r="L40" s="89"/>
      <c r="M40" s="91"/>
    </row>
    <row r="41" spans="2:13">
      <c r="B41" s="89"/>
      <c r="C41" s="90"/>
      <c r="D41" s="89"/>
      <c r="E41" s="89"/>
      <c r="F41" s="89"/>
      <c r="G41" s="89"/>
      <c r="H41" s="89"/>
      <c r="I41" s="89"/>
      <c r="J41" s="89"/>
      <c r="K41" s="89"/>
      <c r="L41" s="89"/>
      <c r="M41" s="91"/>
    </row>
    <row r="42" spans="2:13">
      <c r="B42" s="89"/>
      <c r="C42" s="90"/>
      <c r="D42" s="89"/>
      <c r="E42" s="89"/>
      <c r="F42" s="89"/>
      <c r="G42" s="89"/>
      <c r="H42" s="89"/>
      <c r="I42" s="89"/>
      <c r="J42" s="89"/>
      <c r="K42" s="89"/>
      <c r="L42" s="89"/>
      <c r="M42" s="91"/>
    </row>
    <row r="43" spans="2:13">
      <c r="B43" s="89"/>
      <c r="C43" s="90"/>
      <c r="D43" s="89"/>
      <c r="E43" s="89"/>
      <c r="F43" s="89"/>
      <c r="G43" s="89"/>
      <c r="H43" s="89"/>
      <c r="I43" s="89"/>
      <c r="J43" s="89"/>
      <c r="K43" s="89"/>
      <c r="L43" s="89"/>
      <c r="M43" s="91"/>
    </row>
    <row r="44" spans="2:13">
      <c r="B44" s="89"/>
      <c r="C44" s="90"/>
      <c r="D44" s="89"/>
      <c r="E44" s="89"/>
      <c r="F44" s="89"/>
      <c r="G44" s="89"/>
      <c r="H44" s="89"/>
      <c r="I44" s="89"/>
      <c r="J44" s="89"/>
      <c r="K44" s="89"/>
      <c r="L44" s="89"/>
      <c r="M44" s="91"/>
    </row>
    <row r="45" spans="2:13">
      <c r="B45" s="89"/>
      <c r="C45" s="90"/>
      <c r="D45" s="89"/>
      <c r="E45" s="89"/>
      <c r="F45" s="89"/>
      <c r="G45" s="89"/>
      <c r="H45" s="89"/>
      <c r="I45" s="89"/>
      <c r="J45" s="89"/>
      <c r="K45" s="89"/>
      <c r="L45" s="89"/>
      <c r="M45" s="91"/>
    </row>
    <row r="46" spans="2:13">
      <c r="B46" s="89"/>
      <c r="C46" s="90"/>
      <c r="D46" s="89"/>
      <c r="E46" s="89"/>
      <c r="F46" s="89"/>
      <c r="G46" s="89"/>
      <c r="H46" s="89"/>
      <c r="I46" s="89"/>
      <c r="J46" s="89"/>
      <c r="K46" s="89"/>
      <c r="L46" s="89"/>
      <c r="M46" s="91"/>
    </row>
    <row r="47" spans="2:13">
      <c r="B47" s="89"/>
      <c r="C47" s="90"/>
      <c r="D47" s="89"/>
      <c r="E47" s="89"/>
      <c r="F47" s="89"/>
      <c r="G47" s="89"/>
      <c r="H47" s="89"/>
      <c r="I47" s="89"/>
      <c r="J47" s="89"/>
      <c r="K47" s="89"/>
      <c r="L47" s="89"/>
      <c r="M47" s="91"/>
    </row>
    <row r="48" spans="2:13">
      <c r="B48" s="89"/>
      <c r="C48" s="90"/>
      <c r="D48" s="89"/>
      <c r="E48" s="89"/>
      <c r="F48" s="89"/>
      <c r="G48" s="89"/>
      <c r="H48" s="89"/>
      <c r="I48" s="89"/>
      <c r="J48" s="89"/>
      <c r="K48" s="89"/>
      <c r="L48" s="89"/>
      <c r="M48" s="91"/>
    </row>
    <row r="49" spans="2:13">
      <c r="B49" s="89"/>
      <c r="C49" s="90"/>
      <c r="D49" s="89"/>
      <c r="E49" s="89"/>
      <c r="F49" s="89"/>
      <c r="G49" s="89"/>
      <c r="H49" s="89"/>
      <c r="I49" s="89"/>
      <c r="J49" s="89"/>
      <c r="K49" s="89"/>
      <c r="L49" s="89"/>
      <c r="M49" s="91"/>
    </row>
    <row r="50" spans="2:13">
      <c r="B50" s="89"/>
      <c r="C50" s="90"/>
      <c r="D50" s="89"/>
      <c r="E50" s="89"/>
      <c r="F50" s="89"/>
      <c r="G50" s="89"/>
      <c r="H50" s="89"/>
      <c r="I50" s="89"/>
      <c r="J50" s="89"/>
      <c r="K50" s="89"/>
      <c r="L50" s="89"/>
      <c r="M50" s="91"/>
    </row>
    <row r="51" spans="2:13">
      <c r="B51" s="89"/>
      <c r="C51" s="90"/>
      <c r="D51" s="89"/>
      <c r="E51" s="89"/>
      <c r="F51" s="89"/>
      <c r="G51" s="89"/>
      <c r="H51" s="89"/>
      <c r="I51" s="89"/>
      <c r="J51" s="89"/>
      <c r="K51" s="89"/>
      <c r="L51" s="89"/>
      <c r="M51" s="91"/>
    </row>
    <row r="52" spans="2:13">
      <c r="B52" s="89"/>
      <c r="C52" s="90"/>
      <c r="D52" s="89"/>
      <c r="E52" s="89"/>
      <c r="F52" s="89"/>
      <c r="G52" s="89"/>
      <c r="H52" s="89"/>
      <c r="I52" s="89"/>
      <c r="J52" s="89"/>
      <c r="K52" s="89"/>
      <c r="L52" s="89"/>
      <c r="M52" s="91"/>
    </row>
    <row r="53" spans="2:13">
      <c r="B53" s="89"/>
      <c r="C53" s="90"/>
      <c r="D53" s="89"/>
      <c r="E53" s="89"/>
      <c r="F53" s="89"/>
      <c r="G53" s="89"/>
      <c r="H53" s="89"/>
      <c r="I53" s="89"/>
      <c r="J53" s="89"/>
      <c r="K53" s="89"/>
      <c r="L53" s="89"/>
      <c r="M53" s="91"/>
    </row>
    <row r="54" spans="2:13">
      <c r="B54" s="89"/>
      <c r="C54" s="90"/>
      <c r="D54" s="89"/>
      <c r="E54" s="89"/>
      <c r="F54" s="89"/>
      <c r="G54" s="89"/>
      <c r="H54" s="89"/>
      <c r="I54" s="89"/>
      <c r="J54" s="89"/>
      <c r="K54" s="89"/>
      <c r="L54" s="89"/>
      <c r="M54" s="91"/>
    </row>
    <row r="55" spans="2:13">
      <c r="B55" s="89"/>
      <c r="C55" s="90"/>
      <c r="D55" s="89"/>
      <c r="E55" s="89"/>
      <c r="F55" s="89"/>
      <c r="G55" s="89"/>
      <c r="H55" s="89"/>
      <c r="I55" s="89"/>
      <c r="J55" s="89"/>
      <c r="K55" s="89"/>
      <c r="L55" s="89"/>
      <c r="M55" s="91"/>
    </row>
    <row r="56" spans="2:13">
      <c r="B56" s="89"/>
      <c r="C56" s="90"/>
      <c r="D56" s="89"/>
      <c r="E56" s="89"/>
      <c r="F56" s="89"/>
      <c r="G56" s="89"/>
      <c r="H56" s="89"/>
      <c r="I56" s="89"/>
      <c r="J56" s="89"/>
      <c r="K56" s="89"/>
      <c r="L56" s="89"/>
      <c r="M56" s="91"/>
    </row>
    <row r="57" spans="2:13">
      <c r="B57" s="89"/>
      <c r="C57" s="90"/>
      <c r="D57" s="89"/>
      <c r="E57" s="89"/>
      <c r="F57" s="89"/>
      <c r="G57" s="89"/>
      <c r="H57" s="89"/>
      <c r="I57" s="89"/>
      <c r="J57" s="89"/>
      <c r="K57" s="89"/>
      <c r="L57" s="89"/>
      <c r="M57" s="91"/>
    </row>
    <row r="58" spans="2:13">
      <c r="B58" s="89"/>
      <c r="C58" s="90"/>
      <c r="D58" s="89"/>
      <c r="E58" s="89"/>
      <c r="F58" s="89"/>
      <c r="G58" s="89"/>
      <c r="H58" s="89"/>
      <c r="I58" s="89"/>
      <c r="J58" s="89"/>
      <c r="K58" s="89"/>
      <c r="L58" s="89"/>
      <c r="M58" s="91"/>
    </row>
    <row r="59" spans="2:13">
      <c r="B59" s="89"/>
      <c r="C59" s="90"/>
      <c r="D59" s="89"/>
      <c r="E59" s="89"/>
      <c r="F59" s="89"/>
      <c r="G59" s="89"/>
      <c r="H59" s="89"/>
      <c r="I59" s="89"/>
      <c r="J59" s="89"/>
      <c r="K59" s="89"/>
      <c r="L59" s="89"/>
      <c r="M59" s="91"/>
    </row>
    <row r="60" spans="2:13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2"/>
    </row>
    <row r="61" spans="2:13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2"/>
    </row>
    <row r="62" spans="2:13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2"/>
    </row>
    <row r="63" spans="2:13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2"/>
    </row>
    <row r="64" spans="2:13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2"/>
    </row>
    <row r="65" spans="2:13"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2"/>
    </row>
    <row r="66" spans="2:13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2"/>
    </row>
    <row r="67" spans="2:13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2"/>
    </row>
    <row r="68" spans="2:13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2"/>
    </row>
    <row r="69" spans="2:13"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2"/>
    </row>
    <row r="70" spans="2:13"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2"/>
    </row>
    <row r="71" spans="2:13"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2"/>
    </row>
    <row r="72" spans="2:13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2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rgb="FFFFFF00"/>
    <pageSetUpPr fitToPage="1"/>
  </sheetPr>
  <dimension ref="A1:N136"/>
  <sheetViews>
    <sheetView view="pageBreakPreview" zoomScaleNormal="60" zoomScaleSheetLayoutView="100" workbookViewId="0">
      <selection activeCell="J20" sqref="J20"/>
    </sheetView>
  </sheetViews>
  <sheetFormatPr defaultColWidth="15.42578125" defaultRowHeight="12.75"/>
  <cols>
    <col min="1" max="1" width="6" style="88" customWidth="1"/>
    <col min="2" max="2" width="13.28515625" style="93" customWidth="1"/>
    <col min="3" max="3" width="63.140625" style="93" customWidth="1"/>
    <col min="4" max="4" width="8.85546875" style="93" customWidth="1"/>
    <col min="5" max="12" width="10.140625" style="93" customWidth="1"/>
    <col min="13" max="13" width="12" style="94" customWidth="1"/>
    <col min="14" max="16384" width="15.42578125" style="41"/>
  </cols>
  <sheetData>
    <row r="1" spans="1:13" s="62" customFormat="1">
      <c r="A1" s="122" t="s">
        <v>189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62" customForma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8" customFormat="1" ht="25.5" customHeight="1">
      <c r="A3" s="120" t="s">
        <v>203</v>
      </c>
      <c r="B3" s="121" t="s">
        <v>204</v>
      </c>
      <c r="C3" s="121" t="s">
        <v>205</v>
      </c>
      <c r="D3" s="121" t="s">
        <v>206</v>
      </c>
      <c r="E3" s="120" t="s">
        <v>207</v>
      </c>
      <c r="F3" s="120"/>
      <c r="G3" s="121" t="s">
        <v>208</v>
      </c>
      <c r="H3" s="121"/>
      <c r="I3" s="121" t="s">
        <v>6</v>
      </c>
      <c r="J3" s="121"/>
      <c r="K3" s="120" t="s">
        <v>209</v>
      </c>
      <c r="L3" s="120"/>
      <c r="M3" s="120" t="s">
        <v>4</v>
      </c>
    </row>
    <row r="4" spans="1:13" s="58" customFormat="1" ht="12.75" customHeight="1">
      <c r="A4" s="120"/>
      <c r="B4" s="121"/>
      <c r="C4" s="121"/>
      <c r="D4" s="121"/>
      <c r="E4" s="63" t="s">
        <v>210</v>
      </c>
      <c r="F4" s="63" t="s">
        <v>181</v>
      </c>
      <c r="G4" s="63" t="s">
        <v>210</v>
      </c>
      <c r="H4" s="63" t="s">
        <v>181</v>
      </c>
      <c r="I4" s="63" t="s">
        <v>210</v>
      </c>
      <c r="J4" s="63" t="s">
        <v>181</v>
      </c>
      <c r="K4" s="63" t="s">
        <v>210</v>
      </c>
      <c r="L4" s="63" t="s">
        <v>181</v>
      </c>
      <c r="M4" s="120"/>
    </row>
    <row r="5" spans="1:13" s="58" customFormat="1">
      <c r="A5" s="63">
        <v>1</v>
      </c>
      <c r="B5" s="63">
        <v>2</v>
      </c>
      <c r="C5" s="64">
        <v>3</v>
      </c>
      <c r="D5" s="63">
        <v>4</v>
      </c>
      <c r="E5" s="63">
        <v>5</v>
      </c>
      <c r="F5" s="63">
        <v>6</v>
      </c>
      <c r="G5" s="63">
        <v>7</v>
      </c>
      <c r="H5" s="65">
        <v>8</v>
      </c>
      <c r="I5" s="63">
        <v>9</v>
      </c>
      <c r="J5" s="65">
        <v>10</v>
      </c>
      <c r="K5" s="63">
        <v>11</v>
      </c>
      <c r="L5" s="65">
        <v>12</v>
      </c>
      <c r="M5" s="65">
        <v>13</v>
      </c>
    </row>
    <row r="6" spans="1:13" s="58" customFormat="1">
      <c r="A6" s="63"/>
      <c r="B6" s="63"/>
      <c r="C6" s="63"/>
      <c r="D6" s="63"/>
      <c r="E6" s="79"/>
      <c r="F6" s="79"/>
      <c r="G6" s="79"/>
      <c r="H6" s="79"/>
      <c r="I6" s="79"/>
      <c r="J6" s="79"/>
      <c r="K6" s="79"/>
      <c r="L6" s="79"/>
      <c r="M6" s="79"/>
    </row>
    <row r="7" spans="1:13" s="58" customFormat="1">
      <c r="A7" s="63"/>
      <c r="B7" s="80"/>
      <c r="C7" s="64" t="s">
        <v>188</v>
      </c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3" ht="12.75" customHeight="1">
      <c r="A8" s="63"/>
      <c r="B8" s="80"/>
      <c r="C8" s="64"/>
      <c r="D8" s="80"/>
      <c r="E8" s="80"/>
      <c r="F8" s="80"/>
      <c r="G8" s="80"/>
      <c r="H8" s="80"/>
      <c r="I8" s="80"/>
      <c r="J8" s="80"/>
      <c r="K8" s="80"/>
      <c r="L8" s="80"/>
      <c r="M8" s="81"/>
    </row>
    <row r="9" spans="1:13" ht="25.5">
      <c r="A9" s="80">
        <v>1.1000000000000001</v>
      </c>
      <c r="B9" s="86" t="s">
        <v>211</v>
      </c>
      <c r="C9" s="99" t="s">
        <v>212</v>
      </c>
      <c r="D9" s="80" t="s">
        <v>213</v>
      </c>
      <c r="E9" s="82"/>
      <c r="F9" s="82">
        <v>65</v>
      </c>
      <c r="G9" s="82"/>
      <c r="H9" s="82"/>
      <c r="I9" s="82"/>
      <c r="J9" s="82"/>
      <c r="K9" s="82"/>
      <c r="L9" s="82"/>
      <c r="M9" s="82"/>
    </row>
    <row r="10" spans="1:13">
      <c r="A10" s="80"/>
      <c r="B10" s="86"/>
      <c r="C10" s="101"/>
      <c r="D10" s="80" t="s">
        <v>214</v>
      </c>
      <c r="E10" s="82"/>
      <c r="F10" s="82">
        <f>F9/100</f>
        <v>0.65</v>
      </c>
      <c r="G10" s="82"/>
      <c r="H10" s="82"/>
      <c r="I10" s="82"/>
      <c r="J10" s="82"/>
      <c r="K10" s="82"/>
      <c r="L10" s="82"/>
      <c r="M10" s="82"/>
    </row>
    <row r="11" spans="1:13">
      <c r="A11" s="80" t="s">
        <v>0</v>
      </c>
      <c r="B11" s="86"/>
      <c r="C11" s="101" t="s">
        <v>15</v>
      </c>
      <c r="D11" s="80" t="s">
        <v>1</v>
      </c>
      <c r="E11" s="82">
        <v>15</v>
      </c>
      <c r="F11" s="82">
        <f>E11*F10</f>
        <v>9.75</v>
      </c>
      <c r="G11" s="82"/>
      <c r="H11" s="82"/>
      <c r="I11" s="82"/>
      <c r="J11" s="82"/>
      <c r="K11" s="82"/>
      <c r="L11" s="82"/>
      <c r="M11" s="82"/>
    </row>
    <row r="12" spans="1:13">
      <c r="A12" s="80" t="s">
        <v>149</v>
      </c>
      <c r="B12" s="86" t="s">
        <v>215</v>
      </c>
      <c r="C12" s="101" t="s">
        <v>216</v>
      </c>
      <c r="D12" s="80" t="s">
        <v>24</v>
      </c>
      <c r="E12" s="82">
        <v>2.16</v>
      </c>
      <c r="F12" s="82">
        <f>E12*F10</f>
        <v>1.4040000000000001</v>
      </c>
      <c r="G12" s="82"/>
      <c r="H12" s="82"/>
      <c r="I12" s="82"/>
      <c r="J12" s="82"/>
      <c r="K12" s="82"/>
      <c r="L12" s="82"/>
      <c r="M12" s="82"/>
    </row>
    <row r="13" spans="1:13">
      <c r="A13" s="80" t="s">
        <v>150</v>
      </c>
      <c r="B13" s="86" t="s">
        <v>217</v>
      </c>
      <c r="C13" s="101" t="s">
        <v>218</v>
      </c>
      <c r="D13" s="80" t="s">
        <v>24</v>
      </c>
      <c r="E13" s="82">
        <v>2.73</v>
      </c>
      <c r="F13" s="82">
        <f>E13*F10</f>
        <v>1.7745</v>
      </c>
      <c r="G13" s="82"/>
      <c r="H13" s="82"/>
      <c r="I13" s="82"/>
      <c r="J13" s="82"/>
      <c r="K13" s="82"/>
      <c r="L13" s="82"/>
      <c r="M13" s="82"/>
    </row>
    <row r="14" spans="1:13">
      <c r="A14" s="80" t="s">
        <v>151</v>
      </c>
      <c r="B14" s="86" t="s">
        <v>219</v>
      </c>
      <c r="C14" s="101" t="s">
        <v>220</v>
      </c>
      <c r="D14" s="80" t="s">
        <v>24</v>
      </c>
      <c r="E14" s="82">
        <v>0.97</v>
      </c>
      <c r="F14" s="82">
        <f>E14*F10</f>
        <v>0.63049999999999995</v>
      </c>
      <c r="G14" s="82"/>
      <c r="H14" s="82"/>
      <c r="I14" s="82"/>
      <c r="J14" s="82"/>
      <c r="K14" s="82"/>
      <c r="L14" s="82"/>
      <c r="M14" s="82"/>
    </row>
    <row r="15" spans="1:13">
      <c r="A15" s="80" t="s">
        <v>154</v>
      </c>
      <c r="B15" s="86"/>
      <c r="C15" s="101" t="s">
        <v>221</v>
      </c>
      <c r="D15" s="80" t="s">
        <v>213</v>
      </c>
      <c r="E15" s="82">
        <v>7</v>
      </c>
      <c r="F15" s="82">
        <f>E15*F10</f>
        <v>4.55</v>
      </c>
      <c r="G15" s="82"/>
      <c r="H15" s="82"/>
      <c r="I15" s="82"/>
      <c r="J15" s="82"/>
      <c r="K15" s="82"/>
      <c r="L15" s="82"/>
      <c r="M15" s="82"/>
    </row>
    <row r="16" spans="1:13">
      <c r="A16" s="80" t="s">
        <v>155</v>
      </c>
      <c r="B16" s="86" t="s">
        <v>222</v>
      </c>
      <c r="C16" s="99" t="s">
        <v>223</v>
      </c>
      <c r="D16" s="80" t="s">
        <v>213</v>
      </c>
      <c r="E16" s="82">
        <v>122</v>
      </c>
      <c r="F16" s="82">
        <f>E16*F10</f>
        <v>79.3</v>
      </c>
      <c r="G16" s="82"/>
      <c r="H16" s="82"/>
      <c r="I16" s="82"/>
      <c r="J16" s="82"/>
      <c r="K16" s="82"/>
      <c r="L16" s="82"/>
      <c r="M16" s="82"/>
    </row>
    <row r="17" spans="1:13">
      <c r="A17" s="80" t="s">
        <v>184</v>
      </c>
      <c r="B17" s="103"/>
      <c r="C17" s="104" t="s">
        <v>220</v>
      </c>
      <c r="D17" s="105" t="s">
        <v>24</v>
      </c>
      <c r="E17" s="106">
        <v>0</v>
      </c>
      <c r="F17" s="106">
        <f>E17*F9</f>
        <v>0</v>
      </c>
      <c r="G17" s="106"/>
      <c r="H17" s="106"/>
      <c r="I17" s="106"/>
      <c r="J17" s="106"/>
      <c r="K17" s="106"/>
      <c r="L17" s="106"/>
      <c r="M17" s="106"/>
    </row>
    <row r="18" spans="1:13">
      <c r="A18" s="80" t="s">
        <v>185</v>
      </c>
      <c r="B18" s="103"/>
      <c r="C18" s="104" t="s">
        <v>221</v>
      </c>
      <c r="D18" s="105" t="s">
        <v>201</v>
      </c>
      <c r="E18" s="106">
        <v>0</v>
      </c>
      <c r="F18" s="106">
        <f>E18*F9</f>
        <v>0</v>
      </c>
      <c r="G18" s="106"/>
      <c r="H18" s="106"/>
      <c r="I18" s="106"/>
      <c r="J18" s="106"/>
      <c r="K18" s="106"/>
      <c r="L18" s="106"/>
      <c r="M18" s="106"/>
    </row>
    <row r="19" spans="1:13">
      <c r="A19" s="80" t="s">
        <v>186</v>
      </c>
      <c r="B19" s="103"/>
      <c r="C19" s="104" t="s">
        <v>224</v>
      </c>
      <c r="D19" s="105" t="s">
        <v>201</v>
      </c>
      <c r="E19" s="106">
        <v>0</v>
      </c>
      <c r="F19" s="106">
        <f>E19*F9</f>
        <v>0</v>
      </c>
      <c r="G19" s="106"/>
      <c r="H19" s="106"/>
      <c r="I19" s="106"/>
      <c r="J19" s="106"/>
      <c r="K19" s="106"/>
      <c r="L19" s="106"/>
      <c r="M19" s="106"/>
    </row>
    <row r="20" spans="1:13">
      <c r="A20" s="80"/>
      <c r="B20" s="86"/>
      <c r="C20" s="99"/>
      <c r="D20" s="80"/>
      <c r="E20" s="82"/>
      <c r="F20" s="82"/>
      <c r="G20" s="82"/>
      <c r="H20" s="82"/>
      <c r="I20" s="82"/>
      <c r="J20" s="82"/>
      <c r="K20" s="82"/>
      <c r="L20" s="82"/>
      <c r="M20" s="82"/>
    </row>
    <row r="21" spans="1:13">
      <c r="A21" s="80">
        <v>1.2</v>
      </c>
      <c r="B21" s="86" t="s">
        <v>56</v>
      </c>
      <c r="C21" s="99" t="s">
        <v>55</v>
      </c>
      <c r="D21" s="80" t="s">
        <v>23</v>
      </c>
      <c r="E21" s="82"/>
      <c r="F21" s="82">
        <v>0.26</v>
      </c>
      <c r="G21" s="82"/>
      <c r="H21" s="82"/>
      <c r="I21" s="82"/>
      <c r="J21" s="82"/>
      <c r="K21" s="82"/>
      <c r="L21" s="82"/>
      <c r="M21" s="82"/>
    </row>
    <row r="22" spans="1:13">
      <c r="A22" s="80" t="s">
        <v>21</v>
      </c>
      <c r="B22" s="86" t="s">
        <v>225</v>
      </c>
      <c r="C22" s="99" t="s">
        <v>57</v>
      </c>
      <c r="D22" s="80" t="s">
        <v>24</v>
      </c>
      <c r="E22" s="82">
        <v>8.74</v>
      </c>
      <c r="F22" s="82">
        <f>ROUND(E22*F21,1)</f>
        <v>2.2999999999999998</v>
      </c>
      <c r="G22" s="82"/>
      <c r="H22" s="82"/>
      <c r="I22" s="82"/>
      <c r="J22" s="82"/>
      <c r="K22" s="82"/>
      <c r="L22" s="82"/>
      <c r="M22" s="82"/>
    </row>
    <row r="23" spans="1:13">
      <c r="A23" s="80" t="s">
        <v>33</v>
      </c>
      <c r="B23" s="86" t="s">
        <v>226</v>
      </c>
      <c r="C23" s="99" t="s">
        <v>58</v>
      </c>
      <c r="D23" s="80" t="s">
        <v>23</v>
      </c>
      <c r="E23" s="82">
        <v>1.03</v>
      </c>
      <c r="F23" s="82">
        <f>ROUND(E23*F21,2)</f>
        <v>0.27</v>
      </c>
      <c r="G23" s="82"/>
      <c r="H23" s="82"/>
      <c r="I23" s="82"/>
      <c r="J23" s="82"/>
      <c r="K23" s="82"/>
      <c r="L23" s="82"/>
      <c r="M23" s="82"/>
    </row>
    <row r="24" spans="1:13">
      <c r="A24" s="80"/>
      <c r="B24" s="86"/>
      <c r="C24" s="99"/>
      <c r="D24" s="80"/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38.25">
      <c r="A25" s="80">
        <v>1.3</v>
      </c>
      <c r="B25" s="107" t="s">
        <v>59</v>
      </c>
      <c r="C25" s="99" t="s">
        <v>227</v>
      </c>
      <c r="D25" s="80" t="s">
        <v>228</v>
      </c>
      <c r="E25" s="82"/>
      <c r="F25" s="82">
        <v>436</v>
      </c>
      <c r="G25" s="82"/>
      <c r="H25" s="82"/>
      <c r="I25" s="82"/>
      <c r="J25" s="82"/>
      <c r="K25" s="82"/>
      <c r="L25" s="82"/>
      <c r="M25" s="82"/>
    </row>
    <row r="26" spans="1:13">
      <c r="A26" s="80"/>
      <c r="B26" s="107"/>
      <c r="C26" s="99"/>
      <c r="D26" s="80" t="s">
        <v>229</v>
      </c>
      <c r="E26" s="82"/>
      <c r="F26" s="100">
        <f>F25/1000</f>
        <v>0.436</v>
      </c>
      <c r="G26" s="82"/>
      <c r="H26" s="82"/>
      <c r="I26" s="82"/>
      <c r="J26" s="82"/>
      <c r="K26" s="82"/>
      <c r="L26" s="82"/>
      <c r="M26" s="82"/>
    </row>
    <row r="27" spans="1:13">
      <c r="A27" s="80" t="s">
        <v>251</v>
      </c>
      <c r="B27" s="107"/>
      <c r="C27" s="99" t="s">
        <v>15</v>
      </c>
      <c r="D27" s="80" t="s">
        <v>1</v>
      </c>
      <c r="E27" s="82">
        <f>37.5+(0.07*4)</f>
        <v>37.78</v>
      </c>
      <c r="F27" s="82">
        <f>E27*F26</f>
        <v>16.472080000000002</v>
      </c>
      <c r="G27" s="82"/>
      <c r="H27" s="82"/>
      <c r="I27" s="82"/>
      <c r="J27" s="82"/>
      <c r="K27" s="82"/>
      <c r="L27" s="82"/>
      <c r="M27" s="82"/>
    </row>
    <row r="28" spans="1:13">
      <c r="A28" s="80" t="s">
        <v>252</v>
      </c>
      <c r="B28" s="107" t="s">
        <v>230</v>
      </c>
      <c r="C28" s="99" t="s">
        <v>60</v>
      </c>
      <c r="D28" s="80" t="s">
        <v>24</v>
      </c>
      <c r="E28" s="82">
        <v>3.02</v>
      </c>
      <c r="F28" s="82">
        <f>E28*F26</f>
        <v>1.3167200000000001</v>
      </c>
      <c r="G28" s="82"/>
      <c r="H28" s="82"/>
      <c r="I28" s="82"/>
      <c r="J28" s="82"/>
      <c r="K28" s="82"/>
      <c r="L28" s="82"/>
      <c r="M28" s="82"/>
    </row>
    <row r="29" spans="1:13">
      <c r="A29" s="80" t="s">
        <v>253</v>
      </c>
      <c r="B29" s="107" t="s">
        <v>231</v>
      </c>
      <c r="C29" s="99" t="s">
        <v>232</v>
      </c>
      <c r="D29" s="80" t="s">
        <v>24</v>
      </c>
      <c r="E29" s="82">
        <v>3.7</v>
      </c>
      <c r="F29" s="82">
        <f>E29*F26</f>
        <v>1.6132</v>
      </c>
      <c r="G29" s="82"/>
      <c r="H29" s="82"/>
      <c r="I29" s="82"/>
      <c r="J29" s="82"/>
      <c r="K29" s="82"/>
      <c r="L29" s="82"/>
      <c r="M29" s="82"/>
    </row>
    <row r="30" spans="1:13">
      <c r="A30" s="80" t="s">
        <v>254</v>
      </c>
      <c r="B30" s="107" t="s">
        <v>233</v>
      </c>
      <c r="C30" s="99" t="s">
        <v>234</v>
      </c>
      <c r="D30" s="80" t="s">
        <v>24</v>
      </c>
      <c r="E30" s="82">
        <v>11.1</v>
      </c>
      <c r="F30" s="82">
        <f>E30*F26</f>
        <v>4.8395999999999999</v>
      </c>
      <c r="G30" s="82"/>
      <c r="H30" s="82"/>
      <c r="I30" s="82"/>
      <c r="J30" s="82"/>
      <c r="K30" s="82"/>
      <c r="L30" s="82"/>
      <c r="M30" s="82"/>
    </row>
    <row r="31" spans="1:13">
      <c r="A31" s="80" t="s">
        <v>255</v>
      </c>
      <c r="B31" s="107"/>
      <c r="C31" s="99" t="s">
        <v>13</v>
      </c>
      <c r="D31" s="80" t="s">
        <v>25</v>
      </c>
      <c r="E31" s="82">
        <v>2.2999999999999998</v>
      </c>
      <c r="F31" s="82">
        <f>E31*F26</f>
        <v>1.0027999999999999</v>
      </c>
      <c r="G31" s="82"/>
      <c r="H31" s="82"/>
      <c r="I31" s="82"/>
      <c r="J31" s="82"/>
      <c r="K31" s="82"/>
      <c r="L31" s="82"/>
      <c r="M31" s="82"/>
    </row>
    <row r="32" spans="1:13">
      <c r="A32" s="80" t="s">
        <v>256</v>
      </c>
      <c r="B32" s="107" t="s">
        <v>235</v>
      </c>
      <c r="C32" s="99" t="s">
        <v>236</v>
      </c>
      <c r="D32" s="80" t="s">
        <v>23</v>
      </c>
      <c r="E32" s="82">
        <f>97.4+4*12.1</f>
        <v>145.80000000000001</v>
      </c>
      <c r="F32" s="82">
        <f>E32*F26</f>
        <v>63.568800000000003</v>
      </c>
      <c r="G32" s="82"/>
      <c r="H32" s="82"/>
      <c r="I32" s="82"/>
      <c r="J32" s="82"/>
      <c r="K32" s="82"/>
      <c r="L32" s="82"/>
      <c r="M32" s="82"/>
    </row>
    <row r="33" spans="1:13">
      <c r="A33" s="80"/>
      <c r="B33" s="107"/>
      <c r="C33" s="99" t="s">
        <v>14</v>
      </c>
      <c r="D33" s="80" t="s">
        <v>25</v>
      </c>
      <c r="E33" s="82">
        <f>14.5+(0.2*4)</f>
        <v>15.3</v>
      </c>
      <c r="F33" s="82">
        <f>E33*F26</f>
        <v>6.6708000000000007</v>
      </c>
      <c r="G33" s="82"/>
      <c r="H33" s="82"/>
      <c r="I33" s="82"/>
      <c r="J33" s="82"/>
      <c r="K33" s="82"/>
      <c r="L33" s="82"/>
      <c r="M33" s="82"/>
    </row>
    <row r="34" spans="1:13">
      <c r="A34" s="80"/>
      <c r="B34" s="107"/>
      <c r="C34" s="99"/>
      <c r="D34" s="80"/>
      <c r="E34" s="82"/>
      <c r="F34" s="82"/>
      <c r="G34" s="82"/>
      <c r="H34" s="82"/>
      <c r="I34" s="82"/>
      <c r="J34" s="82"/>
      <c r="K34" s="82"/>
      <c r="L34" s="82"/>
      <c r="M34" s="82"/>
    </row>
    <row r="35" spans="1:13">
      <c r="A35" s="80">
        <v>1.4</v>
      </c>
      <c r="B35" s="86" t="s">
        <v>56</v>
      </c>
      <c r="C35" s="99" t="s">
        <v>55</v>
      </c>
      <c r="D35" s="80" t="s">
        <v>23</v>
      </c>
      <c r="E35" s="82"/>
      <c r="F35" s="82">
        <v>0.13</v>
      </c>
      <c r="G35" s="82"/>
      <c r="H35" s="82"/>
      <c r="I35" s="82"/>
      <c r="J35" s="82"/>
      <c r="K35" s="82"/>
      <c r="L35" s="82"/>
      <c r="M35" s="82"/>
    </row>
    <row r="36" spans="1:13">
      <c r="A36" s="80" t="s">
        <v>22</v>
      </c>
      <c r="B36" s="86" t="s">
        <v>225</v>
      </c>
      <c r="C36" s="99" t="s">
        <v>57</v>
      </c>
      <c r="D36" s="80" t="s">
        <v>24</v>
      </c>
      <c r="E36" s="82">
        <v>8.74</v>
      </c>
      <c r="F36" s="82">
        <f>E36*F35</f>
        <v>1.1362000000000001</v>
      </c>
      <c r="G36" s="82"/>
      <c r="H36" s="82"/>
      <c r="I36" s="82"/>
      <c r="J36" s="82"/>
      <c r="K36" s="82"/>
      <c r="L36" s="82"/>
      <c r="M36" s="82"/>
    </row>
    <row r="37" spans="1:13">
      <c r="A37" s="80" t="s">
        <v>163</v>
      </c>
      <c r="B37" s="86" t="s">
        <v>226</v>
      </c>
      <c r="C37" s="99" t="s">
        <v>58</v>
      </c>
      <c r="D37" s="80" t="s">
        <v>23</v>
      </c>
      <c r="E37" s="82">
        <v>1.03</v>
      </c>
      <c r="F37" s="82">
        <f>E37*F35</f>
        <v>0.13390000000000002</v>
      </c>
      <c r="G37" s="82"/>
      <c r="H37" s="82"/>
      <c r="I37" s="82"/>
      <c r="J37" s="82"/>
      <c r="K37" s="82"/>
      <c r="L37" s="82"/>
      <c r="M37" s="82"/>
    </row>
    <row r="38" spans="1:13">
      <c r="A38" s="80"/>
      <c r="B38" s="86"/>
      <c r="C38" s="99"/>
      <c r="D38" s="80"/>
      <c r="E38" s="82"/>
      <c r="F38" s="82"/>
      <c r="G38" s="82"/>
      <c r="H38" s="82"/>
      <c r="I38" s="82"/>
      <c r="J38" s="82"/>
      <c r="K38" s="82"/>
      <c r="L38" s="82"/>
      <c r="M38" s="82"/>
    </row>
    <row r="39" spans="1:13" ht="38.25">
      <c r="A39" s="80">
        <v>1.5</v>
      </c>
      <c r="B39" s="107" t="s">
        <v>59</v>
      </c>
      <c r="C39" s="99" t="s">
        <v>237</v>
      </c>
      <c r="D39" s="80" t="s">
        <v>228</v>
      </c>
      <c r="E39" s="82"/>
      <c r="F39" s="82">
        <v>2712</v>
      </c>
      <c r="G39" s="82"/>
      <c r="H39" s="82"/>
      <c r="I39" s="82"/>
      <c r="J39" s="82"/>
      <c r="K39" s="82"/>
      <c r="L39" s="82"/>
      <c r="M39" s="82"/>
    </row>
    <row r="40" spans="1:13">
      <c r="A40" s="80"/>
      <c r="B40" s="107"/>
      <c r="C40" s="99"/>
      <c r="D40" s="80" t="s">
        <v>229</v>
      </c>
      <c r="E40" s="82"/>
      <c r="F40" s="100">
        <f>F39/1000</f>
        <v>2.7120000000000002</v>
      </c>
      <c r="G40" s="82"/>
      <c r="H40" s="82"/>
      <c r="I40" s="82"/>
      <c r="J40" s="82"/>
      <c r="K40" s="82"/>
      <c r="L40" s="82"/>
      <c r="M40" s="82"/>
    </row>
    <row r="41" spans="1:13">
      <c r="A41" s="80" t="s">
        <v>152</v>
      </c>
      <c r="B41" s="107"/>
      <c r="C41" s="99" t="s">
        <v>15</v>
      </c>
      <c r="D41" s="80" t="s">
        <v>1</v>
      </c>
      <c r="E41" s="82">
        <f>37.5</f>
        <v>37.5</v>
      </c>
      <c r="F41" s="82">
        <f>E41*F40</f>
        <v>101.7</v>
      </c>
      <c r="G41" s="82"/>
      <c r="H41" s="82"/>
      <c r="I41" s="82"/>
      <c r="J41" s="82"/>
      <c r="K41" s="82"/>
      <c r="L41" s="82"/>
      <c r="M41" s="82"/>
    </row>
    <row r="42" spans="1:13">
      <c r="A42" s="80" t="s">
        <v>153</v>
      </c>
      <c r="B42" s="107" t="s">
        <v>230</v>
      </c>
      <c r="C42" s="99" t="s">
        <v>60</v>
      </c>
      <c r="D42" s="80" t="s">
        <v>24</v>
      </c>
      <c r="E42" s="82">
        <v>3.02</v>
      </c>
      <c r="F42" s="82">
        <f>E42*F40</f>
        <v>8.1902400000000011</v>
      </c>
      <c r="G42" s="82"/>
      <c r="H42" s="82"/>
      <c r="I42" s="82"/>
      <c r="J42" s="82"/>
      <c r="K42" s="82"/>
      <c r="L42" s="82"/>
      <c r="M42" s="82"/>
    </row>
    <row r="43" spans="1:13">
      <c r="A43" s="80" t="s">
        <v>257</v>
      </c>
      <c r="B43" s="107" t="s">
        <v>231</v>
      </c>
      <c r="C43" s="99" t="s">
        <v>232</v>
      </c>
      <c r="D43" s="80" t="s">
        <v>24</v>
      </c>
      <c r="E43" s="82">
        <v>3.7</v>
      </c>
      <c r="F43" s="82">
        <f>E43*F40</f>
        <v>10.034400000000002</v>
      </c>
      <c r="G43" s="82"/>
      <c r="H43" s="82"/>
      <c r="I43" s="82"/>
      <c r="J43" s="82"/>
      <c r="K43" s="82"/>
      <c r="L43" s="82"/>
      <c r="M43" s="82"/>
    </row>
    <row r="44" spans="1:13">
      <c r="A44" s="80" t="s">
        <v>258</v>
      </c>
      <c r="B44" s="107" t="s">
        <v>233</v>
      </c>
      <c r="C44" s="99" t="s">
        <v>234</v>
      </c>
      <c r="D44" s="80" t="s">
        <v>24</v>
      </c>
      <c r="E44" s="82">
        <v>11.1</v>
      </c>
      <c r="F44" s="82">
        <f>E44*F40</f>
        <v>30.103200000000001</v>
      </c>
      <c r="G44" s="82"/>
      <c r="H44" s="82"/>
      <c r="I44" s="82"/>
      <c r="J44" s="82"/>
      <c r="K44" s="82"/>
      <c r="L44" s="82"/>
      <c r="M44" s="82"/>
    </row>
    <row r="45" spans="1:13">
      <c r="A45" s="80" t="s">
        <v>259</v>
      </c>
      <c r="B45" s="107"/>
      <c r="C45" s="99" t="s">
        <v>13</v>
      </c>
      <c r="D45" s="80" t="s">
        <v>25</v>
      </c>
      <c r="E45" s="82">
        <v>2.2999999999999998</v>
      </c>
      <c r="F45" s="82">
        <f>E45*F40</f>
        <v>6.2375999999999996</v>
      </c>
      <c r="G45" s="82"/>
      <c r="H45" s="82"/>
      <c r="I45" s="82"/>
      <c r="J45" s="82"/>
      <c r="K45" s="82"/>
      <c r="L45" s="82"/>
      <c r="M45" s="82"/>
    </row>
    <row r="46" spans="1:13">
      <c r="A46" s="80" t="s">
        <v>260</v>
      </c>
      <c r="B46" s="107" t="s">
        <v>238</v>
      </c>
      <c r="C46" s="99" t="s">
        <v>179</v>
      </c>
      <c r="D46" s="80" t="s">
        <v>23</v>
      </c>
      <c r="E46" s="82">
        <f>97.4</f>
        <v>97.4</v>
      </c>
      <c r="F46" s="82">
        <f>E46*F40</f>
        <v>264.14880000000005</v>
      </c>
      <c r="G46" s="82"/>
      <c r="H46" s="82"/>
      <c r="I46" s="82"/>
      <c r="J46" s="82"/>
      <c r="K46" s="82"/>
      <c r="L46" s="82"/>
      <c r="M46" s="82"/>
    </row>
    <row r="47" spans="1:13">
      <c r="A47" s="80" t="s">
        <v>261</v>
      </c>
      <c r="B47" s="107"/>
      <c r="C47" s="99" t="s">
        <v>14</v>
      </c>
      <c r="D47" s="80" t="s">
        <v>25</v>
      </c>
      <c r="E47" s="82">
        <f>14.5</f>
        <v>14.5</v>
      </c>
      <c r="F47" s="82">
        <f>E47*F40</f>
        <v>39.324000000000005</v>
      </c>
      <c r="G47" s="82"/>
      <c r="H47" s="82"/>
      <c r="I47" s="82"/>
      <c r="J47" s="82"/>
      <c r="K47" s="82"/>
      <c r="L47" s="82"/>
      <c r="M47" s="82"/>
    </row>
    <row r="48" spans="1:13">
      <c r="A48" s="80"/>
      <c r="B48" s="107"/>
      <c r="C48" s="99"/>
      <c r="D48" s="80"/>
      <c r="E48" s="80"/>
      <c r="F48" s="81"/>
      <c r="G48" s="97"/>
      <c r="H48" s="81"/>
      <c r="I48" s="97"/>
      <c r="J48" s="97"/>
      <c r="K48" s="97"/>
      <c r="L48" s="97"/>
      <c r="M48" s="81"/>
    </row>
    <row r="49" spans="1:14">
      <c r="A49" s="80">
        <v>1.6</v>
      </c>
      <c r="B49" s="107" t="s">
        <v>247</v>
      </c>
      <c r="C49" s="108" t="s">
        <v>246</v>
      </c>
      <c r="D49" s="80" t="s">
        <v>67</v>
      </c>
      <c r="E49" s="82"/>
      <c r="F49" s="82">
        <v>59</v>
      </c>
      <c r="G49" s="82"/>
      <c r="H49" s="82"/>
      <c r="I49" s="82"/>
      <c r="J49" s="82"/>
      <c r="K49" s="82"/>
      <c r="L49" s="82"/>
      <c r="M49" s="82"/>
    </row>
    <row r="50" spans="1:14">
      <c r="A50" s="80"/>
      <c r="B50" s="107"/>
      <c r="C50" s="108"/>
      <c r="D50" s="80" t="s">
        <v>190</v>
      </c>
      <c r="E50" s="82"/>
      <c r="F50" s="82">
        <v>0.59</v>
      </c>
      <c r="G50" s="82"/>
      <c r="H50" s="82"/>
      <c r="I50" s="82"/>
      <c r="J50" s="82"/>
      <c r="K50" s="82"/>
      <c r="L50" s="82"/>
      <c r="M50" s="82"/>
    </row>
    <row r="51" spans="1:14">
      <c r="A51" s="80" t="s">
        <v>50</v>
      </c>
      <c r="B51" s="107"/>
      <c r="C51" s="108" t="s">
        <v>15</v>
      </c>
      <c r="D51" s="80" t="s">
        <v>1</v>
      </c>
      <c r="E51" s="82">
        <v>74</v>
      </c>
      <c r="F51" s="82">
        <f>ROUND(E51*F50,2)</f>
        <v>43.66</v>
      </c>
      <c r="G51" s="82"/>
      <c r="H51" s="82"/>
      <c r="I51" s="82"/>
      <c r="J51" s="82"/>
      <c r="K51" s="82"/>
      <c r="L51" s="82"/>
      <c r="M51" s="82"/>
    </row>
    <row r="52" spans="1:14">
      <c r="A52" s="80" t="s">
        <v>51</v>
      </c>
      <c r="B52" s="107"/>
      <c r="C52" s="108" t="s">
        <v>13</v>
      </c>
      <c r="D52" s="80" t="s">
        <v>24</v>
      </c>
      <c r="E52" s="82">
        <v>0.71</v>
      </c>
      <c r="F52" s="82">
        <f>ROUND(E52*F50,1)</f>
        <v>0.4</v>
      </c>
      <c r="G52" s="82"/>
      <c r="H52" s="82"/>
      <c r="I52" s="82"/>
      <c r="J52" s="82"/>
      <c r="K52" s="82"/>
      <c r="L52" s="82"/>
      <c r="M52" s="82"/>
    </row>
    <row r="53" spans="1:14">
      <c r="A53" s="80" t="s">
        <v>159</v>
      </c>
      <c r="B53" s="107" t="s">
        <v>250</v>
      </c>
      <c r="C53" s="108" t="s">
        <v>245</v>
      </c>
      <c r="D53" s="80" t="s">
        <v>67</v>
      </c>
      <c r="E53" s="82">
        <v>100</v>
      </c>
      <c r="F53" s="82">
        <f>ROUND(E53*F50,1)</f>
        <v>59</v>
      </c>
      <c r="G53" s="82"/>
      <c r="H53" s="82"/>
      <c r="I53" s="82"/>
      <c r="J53" s="82"/>
      <c r="K53" s="82"/>
      <c r="L53" s="82"/>
      <c r="M53" s="82"/>
    </row>
    <row r="54" spans="1:14">
      <c r="A54" s="80" t="s">
        <v>160</v>
      </c>
      <c r="B54" s="107"/>
      <c r="C54" s="108" t="s">
        <v>191</v>
      </c>
      <c r="D54" s="80" t="s">
        <v>67</v>
      </c>
      <c r="E54" s="82">
        <v>5.9</v>
      </c>
      <c r="F54" s="82">
        <f>ROUND(E54*F50,2)</f>
        <v>3.48</v>
      </c>
      <c r="G54" s="82"/>
      <c r="H54" s="82"/>
      <c r="I54" s="82"/>
      <c r="J54" s="82"/>
      <c r="K54" s="82"/>
      <c r="L54" s="82"/>
      <c r="M54" s="82"/>
    </row>
    <row r="55" spans="1:14">
      <c r="A55" s="80" t="s">
        <v>161</v>
      </c>
      <c r="B55" s="107"/>
      <c r="C55" s="98" t="s">
        <v>14</v>
      </c>
      <c r="D55" s="80" t="s">
        <v>25</v>
      </c>
      <c r="E55" s="82">
        <v>9.6</v>
      </c>
      <c r="F55" s="82">
        <f>ROUND(E55*F50,1)</f>
        <v>5.7</v>
      </c>
      <c r="G55" s="82"/>
      <c r="H55" s="82"/>
      <c r="I55" s="82"/>
      <c r="J55" s="82"/>
      <c r="K55" s="82"/>
      <c r="L55" s="82"/>
      <c r="M55" s="82"/>
    </row>
    <row r="56" spans="1:14">
      <c r="A56" s="80" t="s">
        <v>162</v>
      </c>
      <c r="B56" s="107" t="s">
        <v>248</v>
      </c>
      <c r="C56" s="98" t="s">
        <v>249</v>
      </c>
      <c r="D56" s="80" t="s">
        <v>213</v>
      </c>
      <c r="E56" s="82">
        <v>0.06</v>
      </c>
      <c r="F56" s="82">
        <f>E56*F50</f>
        <v>3.5399999999999994E-2</v>
      </c>
      <c r="G56" s="82"/>
      <c r="H56" s="82"/>
      <c r="I56" s="82"/>
      <c r="J56" s="82"/>
      <c r="K56" s="82"/>
      <c r="L56" s="82"/>
      <c r="M56" s="82"/>
    </row>
    <row r="57" spans="1:14">
      <c r="A57" s="80"/>
      <c r="B57" s="107"/>
      <c r="C57" s="98"/>
      <c r="D57" s="80"/>
      <c r="E57" s="82"/>
      <c r="F57" s="82"/>
      <c r="G57" s="82"/>
      <c r="H57" s="82"/>
      <c r="I57" s="82"/>
      <c r="J57" s="82"/>
      <c r="K57" s="82"/>
      <c r="L57" s="82"/>
      <c r="M57" s="82"/>
    </row>
    <row r="58" spans="1:14">
      <c r="A58" s="105">
        <v>1.8</v>
      </c>
      <c r="B58" s="103" t="s">
        <v>64</v>
      </c>
      <c r="C58" s="109" t="s">
        <v>196</v>
      </c>
      <c r="D58" s="105" t="s">
        <v>202</v>
      </c>
      <c r="E58" s="105"/>
      <c r="F58" s="105">
        <v>0</v>
      </c>
      <c r="G58" s="110"/>
      <c r="H58" s="110"/>
      <c r="I58" s="110"/>
      <c r="J58" s="110"/>
      <c r="K58" s="110"/>
      <c r="L58" s="110"/>
      <c r="M58" s="111"/>
      <c r="N58" s="52" t="s">
        <v>49</v>
      </c>
    </row>
    <row r="59" spans="1:14">
      <c r="A59" s="105" t="s">
        <v>54</v>
      </c>
      <c r="B59" s="103"/>
      <c r="C59" s="109" t="s">
        <v>15</v>
      </c>
      <c r="D59" s="105" t="s">
        <v>1</v>
      </c>
      <c r="E59" s="105">
        <v>17.8</v>
      </c>
      <c r="F59" s="111">
        <f>E59*F58</f>
        <v>0</v>
      </c>
      <c r="G59" s="110"/>
      <c r="H59" s="110"/>
      <c r="I59" s="110"/>
      <c r="J59" s="111"/>
      <c r="K59" s="110"/>
      <c r="L59" s="110"/>
      <c r="M59" s="111"/>
    </row>
    <row r="60" spans="1:14">
      <c r="A60" s="105" t="s">
        <v>195</v>
      </c>
      <c r="B60" s="103"/>
      <c r="C60" s="109" t="s">
        <v>65</v>
      </c>
      <c r="D60" s="105" t="s">
        <v>201</v>
      </c>
      <c r="E60" s="105">
        <v>11</v>
      </c>
      <c r="F60" s="111">
        <f>E60*F58</f>
        <v>0</v>
      </c>
      <c r="G60" s="110"/>
      <c r="H60" s="111"/>
      <c r="I60" s="110"/>
      <c r="J60" s="110"/>
      <c r="K60" s="111"/>
      <c r="L60" s="111"/>
      <c r="M60" s="111"/>
    </row>
    <row r="61" spans="1:14">
      <c r="A61" s="80"/>
      <c r="B61" s="86"/>
      <c r="C61" s="108"/>
      <c r="D61" s="80"/>
      <c r="E61" s="80"/>
      <c r="F61" s="81"/>
      <c r="G61" s="97"/>
      <c r="H61" s="81"/>
      <c r="I61" s="97"/>
      <c r="J61" s="97"/>
      <c r="K61" s="81"/>
      <c r="L61" s="81"/>
      <c r="M61" s="81"/>
    </row>
    <row r="62" spans="1:14">
      <c r="A62" s="80">
        <v>1.7</v>
      </c>
      <c r="B62" s="86" t="s">
        <v>262</v>
      </c>
      <c r="C62" s="98" t="s">
        <v>196</v>
      </c>
      <c r="D62" s="80" t="s">
        <v>228</v>
      </c>
      <c r="E62" s="82"/>
      <c r="F62" s="82">
        <f>F70</f>
        <v>55</v>
      </c>
      <c r="G62" s="82"/>
      <c r="H62" s="82"/>
      <c r="I62" s="82"/>
      <c r="J62" s="82"/>
      <c r="K62" s="82"/>
      <c r="L62" s="82"/>
      <c r="M62" s="82"/>
    </row>
    <row r="63" spans="1:14">
      <c r="A63" s="80"/>
      <c r="B63" s="86"/>
      <c r="C63" s="99"/>
      <c r="D63" s="80" t="s">
        <v>242</v>
      </c>
      <c r="E63" s="82"/>
      <c r="F63" s="100">
        <f>F62/100</f>
        <v>0.55000000000000004</v>
      </c>
      <c r="G63" s="82"/>
      <c r="H63" s="82"/>
      <c r="I63" s="82"/>
      <c r="J63" s="82"/>
      <c r="K63" s="82"/>
      <c r="L63" s="82"/>
      <c r="M63" s="82"/>
    </row>
    <row r="64" spans="1:14">
      <c r="A64" s="80" t="s">
        <v>52</v>
      </c>
      <c r="B64" s="86"/>
      <c r="C64" s="99" t="s">
        <v>15</v>
      </c>
      <c r="D64" s="80" t="s">
        <v>1</v>
      </c>
      <c r="E64" s="82">
        <f>25.6-4*0.57</f>
        <v>23.32</v>
      </c>
      <c r="F64" s="82">
        <f>E64*F63</f>
        <v>12.826000000000001</v>
      </c>
      <c r="G64" s="82"/>
      <c r="H64" s="82"/>
      <c r="I64" s="82"/>
      <c r="J64" s="82"/>
      <c r="K64" s="82"/>
      <c r="L64" s="82"/>
      <c r="M64" s="82"/>
    </row>
    <row r="65" spans="1:13">
      <c r="A65" s="80" t="s">
        <v>53</v>
      </c>
      <c r="B65" s="107" t="s">
        <v>231</v>
      </c>
      <c r="C65" s="99" t="s">
        <v>232</v>
      </c>
      <c r="D65" s="80" t="s">
        <v>24</v>
      </c>
      <c r="E65" s="82">
        <v>1.46</v>
      </c>
      <c r="F65" s="82">
        <f>E65*F63</f>
        <v>0.80300000000000005</v>
      </c>
      <c r="G65" s="82"/>
      <c r="H65" s="82"/>
      <c r="I65" s="82"/>
      <c r="J65" s="82"/>
      <c r="K65" s="82"/>
      <c r="L65" s="82"/>
      <c r="M65" s="82"/>
    </row>
    <row r="66" spans="1:13">
      <c r="A66" s="80" t="s">
        <v>156</v>
      </c>
      <c r="B66" s="86" t="s">
        <v>219</v>
      </c>
      <c r="C66" s="101" t="s">
        <v>220</v>
      </c>
      <c r="D66" s="80" t="s">
        <v>24</v>
      </c>
      <c r="E66" s="82">
        <v>0.55000000000000004</v>
      </c>
      <c r="F66" s="82">
        <f>E66*F62</f>
        <v>30.250000000000004</v>
      </c>
      <c r="G66" s="82"/>
      <c r="H66" s="82"/>
      <c r="I66" s="82"/>
      <c r="J66" s="82"/>
      <c r="K66" s="82"/>
      <c r="L66" s="82"/>
      <c r="M66" s="82"/>
    </row>
    <row r="67" spans="1:13">
      <c r="A67" s="80" t="s">
        <v>157</v>
      </c>
      <c r="B67" s="86"/>
      <c r="C67" s="101" t="s">
        <v>221</v>
      </c>
      <c r="D67" s="80" t="s">
        <v>213</v>
      </c>
      <c r="E67" s="82">
        <v>2</v>
      </c>
      <c r="F67" s="82">
        <f>E67*F62</f>
        <v>110</v>
      </c>
      <c r="G67" s="82"/>
      <c r="H67" s="82"/>
      <c r="I67" s="82"/>
      <c r="J67" s="82"/>
      <c r="K67" s="82"/>
      <c r="L67" s="82"/>
      <c r="M67" s="82"/>
    </row>
    <row r="68" spans="1:13">
      <c r="A68" s="80" t="s">
        <v>158</v>
      </c>
      <c r="B68" s="86" t="s">
        <v>222</v>
      </c>
      <c r="C68" s="99" t="s">
        <v>223</v>
      </c>
      <c r="D68" s="80" t="s">
        <v>213</v>
      </c>
      <c r="E68" s="82">
        <f>17.4-4*1.35</f>
        <v>11.999999999999998</v>
      </c>
      <c r="F68" s="82">
        <f>E68*F63</f>
        <v>6.6</v>
      </c>
      <c r="G68" s="82"/>
      <c r="H68" s="82"/>
      <c r="I68" s="82"/>
      <c r="J68" s="82"/>
      <c r="K68" s="82"/>
      <c r="L68" s="82"/>
      <c r="M68" s="82"/>
    </row>
    <row r="69" spans="1:13">
      <c r="A69" s="80"/>
      <c r="B69" s="86"/>
      <c r="C69" s="101"/>
      <c r="D69" s="80"/>
      <c r="E69" s="82"/>
      <c r="F69" s="82"/>
      <c r="G69" s="82"/>
      <c r="H69" s="82"/>
      <c r="I69" s="82"/>
      <c r="J69" s="82"/>
      <c r="K69" s="82"/>
      <c r="L69" s="82"/>
      <c r="M69" s="82"/>
    </row>
    <row r="70" spans="1:13">
      <c r="A70" s="80">
        <v>1.8</v>
      </c>
      <c r="B70" s="107" t="s">
        <v>193</v>
      </c>
      <c r="C70" s="108" t="s">
        <v>192</v>
      </c>
      <c r="D70" s="80" t="s">
        <v>228</v>
      </c>
      <c r="E70" s="82"/>
      <c r="F70" s="82">
        <v>55</v>
      </c>
      <c r="G70" s="82"/>
      <c r="H70" s="82"/>
      <c r="I70" s="82"/>
      <c r="J70" s="82"/>
      <c r="K70" s="82"/>
      <c r="L70" s="82"/>
      <c r="M70" s="82"/>
    </row>
    <row r="71" spans="1:13">
      <c r="A71" s="80"/>
      <c r="B71" s="107"/>
      <c r="C71" s="108"/>
      <c r="D71" s="80" t="s">
        <v>242</v>
      </c>
      <c r="E71" s="82"/>
      <c r="F71" s="100">
        <f>F70/100</f>
        <v>0.55000000000000004</v>
      </c>
      <c r="G71" s="82"/>
      <c r="H71" s="82"/>
      <c r="I71" s="82"/>
      <c r="J71" s="82"/>
      <c r="K71" s="82"/>
      <c r="L71" s="82"/>
      <c r="M71" s="82"/>
    </row>
    <row r="72" spans="1:13">
      <c r="A72" s="80" t="s">
        <v>54</v>
      </c>
      <c r="B72" s="107"/>
      <c r="C72" s="108" t="s">
        <v>34</v>
      </c>
      <c r="D72" s="80" t="s">
        <v>1</v>
      </c>
      <c r="E72" s="82">
        <f>14.4</f>
        <v>14.4</v>
      </c>
      <c r="F72" s="82">
        <f>E72*F71</f>
        <v>7.9200000000000008</v>
      </c>
      <c r="G72" s="82"/>
      <c r="H72" s="82"/>
      <c r="I72" s="82"/>
      <c r="J72" s="82"/>
      <c r="K72" s="82"/>
      <c r="L72" s="82"/>
      <c r="M72" s="82"/>
    </row>
    <row r="73" spans="1:13">
      <c r="A73" s="80" t="s">
        <v>239</v>
      </c>
      <c r="B73" s="107" t="s">
        <v>244</v>
      </c>
      <c r="C73" s="108" t="s">
        <v>194</v>
      </c>
      <c r="D73" s="80" t="s">
        <v>23</v>
      </c>
      <c r="E73" s="82">
        <f>7.14</f>
        <v>7.14</v>
      </c>
      <c r="F73" s="82">
        <f>E73*F71</f>
        <v>3.927</v>
      </c>
      <c r="G73" s="82"/>
      <c r="H73" s="82"/>
      <c r="I73" s="82"/>
      <c r="J73" s="82"/>
      <c r="K73" s="82"/>
      <c r="L73" s="82"/>
      <c r="M73" s="82"/>
    </row>
    <row r="74" spans="1:13">
      <c r="A74" s="80" t="s">
        <v>240</v>
      </c>
      <c r="B74" s="86" t="s">
        <v>226</v>
      </c>
      <c r="C74" s="99" t="s">
        <v>58</v>
      </c>
      <c r="D74" s="80" t="s">
        <v>23</v>
      </c>
      <c r="E74" s="82">
        <v>0.06</v>
      </c>
      <c r="F74" s="82">
        <f>E74*F71</f>
        <v>3.3000000000000002E-2</v>
      </c>
      <c r="G74" s="82"/>
      <c r="H74" s="82"/>
      <c r="I74" s="82"/>
      <c r="J74" s="82"/>
      <c r="K74" s="82"/>
      <c r="L74" s="82"/>
      <c r="M74" s="82"/>
    </row>
    <row r="75" spans="1:13">
      <c r="A75" s="80" t="s">
        <v>241</v>
      </c>
      <c r="B75" s="107" t="s">
        <v>243</v>
      </c>
      <c r="C75" s="108" t="s">
        <v>265</v>
      </c>
      <c r="D75" s="80" t="s">
        <v>213</v>
      </c>
      <c r="E75" s="82">
        <v>0.5</v>
      </c>
      <c r="F75" s="82">
        <f>E75*F71</f>
        <v>0.27500000000000002</v>
      </c>
      <c r="G75" s="82"/>
      <c r="H75" s="82"/>
      <c r="I75" s="82"/>
      <c r="J75" s="82"/>
      <c r="K75" s="82"/>
      <c r="L75" s="82"/>
      <c r="M75" s="82"/>
    </row>
    <row r="76" spans="1:13">
      <c r="A76" s="80"/>
      <c r="B76" s="107"/>
      <c r="C76" s="108"/>
      <c r="D76" s="80"/>
      <c r="E76" s="80"/>
      <c r="F76" s="81"/>
      <c r="G76" s="97"/>
      <c r="H76" s="102"/>
      <c r="I76" s="112"/>
      <c r="J76" s="112"/>
      <c r="K76" s="102"/>
      <c r="L76" s="102"/>
      <c r="M76" s="102"/>
    </row>
    <row r="77" spans="1:13" s="67" customFormat="1">
      <c r="A77" s="63"/>
      <c r="B77" s="86"/>
      <c r="C77" s="63" t="s">
        <v>4</v>
      </c>
      <c r="D77" s="80"/>
      <c r="E77" s="80"/>
      <c r="F77" s="80"/>
      <c r="G77" s="80"/>
      <c r="H77" s="79"/>
      <c r="I77" s="79"/>
      <c r="J77" s="79"/>
      <c r="K77" s="79"/>
      <c r="L77" s="79"/>
      <c r="M77" s="79"/>
    </row>
    <row r="78" spans="1:13" s="60" customFormat="1">
      <c r="A78" s="63"/>
      <c r="B78" s="86"/>
      <c r="C78" s="80"/>
      <c r="D78" s="80"/>
      <c r="E78" s="82"/>
      <c r="F78" s="82"/>
      <c r="G78" s="82"/>
      <c r="H78" s="82"/>
      <c r="I78" s="82"/>
      <c r="J78" s="82"/>
      <c r="K78" s="82"/>
      <c r="L78" s="82"/>
      <c r="M78" s="82"/>
    </row>
    <row r="79" spans="1:13" s="60" customFormat="1">
      <c r="A79" s="63"/>
      <c r="B79" s="86"/>
      <c r="C79" s="80" t="s">
        <v>10</v>
      </c>
      <c r="D79" s="87">
        <v>0.1</v>
      </c>
      <c r="E79" s="82"/>
      <c r="F79" s="82"/>
      <c r="G79" s="82"/>
      <c r="H79" s="82"/>
      <c r="I79" s="82"/>
      <c r="J79" s="82"/>
      <c r="K79" s="82"/>
      <c r="L79" s="82"/>
      <c r="M79" s="82"/>
    </row>
    <row r="80" spans="1:13" s="60" customFormat="1">
      <c r="A80" s="63"/>
      <c r="B80" s="86"/>
      <c r="C80" s="80" t="s">
        <v>4</v>
      </c>
      <c r="D80" s="87"/>
      <c r="E80" s="82"/>
      <c r="F80" s="82"/>
      <c r="G80" s="82"/>
      <c r="H80" s="82"/>
      <c r="I80" s="82"/>
      <c r="J80" s="82"/>
      <c r="K80" s="82"/>
      <c r="L80" s="82"/>
      <c r="M80" s="82"/>
    </row>
    <row r="81" spans="1:13" s="60" customFormat="1">
      <c r="A81" s="63"/>
      <c r="B81" s="86"/>
      <c r="C81" s="80" t="s">
        <v>11</v>
      </c>
      <c r="D81" s="87">
        <v>0.08</v>
      </c>
      <c r="E81" s="82"/>
      <c r="F81" s="82"/>
      <c r="G81" s="82"/>
      <c r="H81" s="82"/>
      <c r="I81" s="82"/>
      <c r="J81" s="82"/>
      <c r="K81" s="82"/>
      <c r="L81" s="82"/>
      <c r="M81" s="82"/>
    </row>
    <row r="82" spans="1:13" s="60" customFormat="1">
      <c r="A82" s="80"/>
      <c r="B82" s="80"/>
      <c r="C82" s="80"/>
      <c r="D82" s="87"/>
      <c r="E82" s="82"/>
      <c r="F82" s="82"/>
      <c r="G82" s="82"/>
      <c r="H82" s="82"/>
      <c r="I82" s="82"/>
      <c r="J82" s="82"/>
      <c r="K82" s="82"/>
      <c r="L82" s="82"/>
      <c r="M82" s="82"/>
    </row>
    <row r="83" spans="1:13">
      <c r="A83" s="80"/>
      <c r="B83" s="80"/>
      <c r="C83" s="63" t="s">
        <v>4</v>
      </c>
      <c r="D83" s="63"/>
      <c r="E83" s="79"/>
      <c r="F83" s="79"/>
      <c r="G83" s="79"/>
      <c r="H83" s="79"/>
      <c r="I83" s="79"/>
      <c r="J83" s="79"/>
      <c r="K83" s="79"/>
      <c r="L83" s="79"/>
      <c r="M83" s="79"/>
    </row>
    <row r="84" spans="1:13"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2"/>
    </row>
    <row r="85" spans="1:13">
      <c r="B85" s="89"/>
      <c r="C85" s="90"/>
      <c r="D85" s="89"/>
      <c r="E85" s="89"/>
      <c r="F85" s="89"/>
      <c r="G85" s="89"/>
      <c r="H85" s="89"/>
      <c r="I85" s="89"/>
      <c r="J85" s="89"/>
      <c r="K85" s="89"/>
      <c r="L85" s="89"/>
      <c r="M85" s="91"/>
    </row>
    <row r="86" spans="1:13">
      <c r="B86" s="89"/>
      <c r="C86" s="90"/>
      <c r="D86" s="89"/>
      <c r="E86" s="89"/>
      <c r="F86" s="89"/>
      <c r="G86" s="89"/>
      <c r="H86" s="89"/>
      <c r="I86" s="89"/>
      <c r="J86" s="89"/>
      <c r="K86" s="89"/>
      <c r="L86" s="89"/>
      <c r="M86" s="91"/>
    </row>
    <row r="87" spans="1:13">
      <c r="B87" s="89"/>
      <c r="C87" s="90"/>
      <c r="D87" s="89"/>
      <c r="E87" s="89"/>
      <c r="F87" s="89"/>
      <c r="G87" s="89"/>
      <c r="H87" s="89"/>
      <c r="I87" s="89"/>
      <c r="J87" s="89"/>
      <c r="K87" s="89"/>
      <c r="L87" s="89"/>
      <c r="M87" s="91"/>
    </row>
    <row r="88" spans="1:13">
      <c r="B88" s="89"/>
      <c r="C88" s="90"/>
      <c r="D88" s="89"/>
      <c r="E88" s="89"/>
      <c r="F88" s="89"/>
      <c r="G88" s="89"/>
      <c r="H88" s="89"/>
      <c r="I88" s="89"/>
      <c r="J88" s="89"/>
      <c r="K88" s="89"/>
      <c r="L88" s="89"/>
      <c r="M88" s="91"/>
    </row>
    <row r="89" spans="1:13">
      <c r="B89" s="89"/>
      <c r="C89" s="90"/>
      <c r="D89" s="89"/>
      <c r="E89" s="89"/>
      <c r="F89" s="89"/>
      <c r="G89" s="89"/>
      <c r="H89" s="89"/>
      <c r="I89" s="89"/>
      <c r="J89" s="89"/>
      <c r="K89" s="89"/>
      <c r="L89" s="89"/>
      <c r="M89" s="91"/>
    </row>
    <row r="90" spans="1:13">
      <c r="B90" s="89"/>
      <c r="C90" s="90"/>
      <c r="D90" s="89"/>
      <c r="E90" s="89"/>
      <c r="F90" s="89"/>
      <c r="G90" s="89"/>
      <c r="H90" s="89"/>
      <c r="I90" s="89"/>
      <c r="J90" s="89"/>
      <c r="K90" s="89"/>
      <c r="L90" s="89"/>
      <c r="M90" s="91"/>
    </row>
    <row r="91" spans="1:13">
      <c r="B91" s="89"/>
      <c r="C91" s="90"/>
      <c r="D91" s="89"/>
      <c r="E91" s="89"/>
      <c r="F91" s="89"/>
      <c r="G91" s="89"/>
      <c r="H91" s="89"/>
      <c r="I91" s="89"/>
      <c r="J91" s="89"/>
      <c r="K91" s="89"/>
      <c r="L91" s="89"/>
      <c r="M91" s="91"/>
    </row>
    <row r="92" spans="1:13">
      <c r="B92" s="89"/>
      <c r="C92" s="90"/>
      <c r="D92" s="89"/>
      <c r="E92" s="89"/>
      <c r="F92" s="89"/>
      <c r="G92" s="89"/>
      <c r="H92" s="89"/>
      <c r="I92" s="89"/>
      <c r="J92" s="89"/>
      <c r="K92" s="89"/>
      <c r="L92" s="89"/>
      <c r="M92" s="91"/>
    </row>
    <row r="93" spans="1:13">
      <c r="B93" s="89"/>
      <c r="C93" s="90"/>
      <c r="D93" s="89"/>
      <c r="E93" s="89"/>
      <c r="F93" s="89"/>
      <c r="G93" s="89"/>
      <c r="H93" s="89"/>
      <c r="I93" s="89"/>
      <c r="J93" s="89"/>
      <c r="K93" s="89"/>
      <c r="L93" s="89"/>
      <c r="M93" s="91"/>
    </row>
    <row r="94" spans="1:13">
      <c r="B94" s="89"/>
      <c r="C94" s="90"/>
      <c r="D94" s="89"/>
      <c r="E94" s="89"/>
      <c r="F94" s="89"/>
      <c r="G94" s="89"/>
      <c r="H94" s="89"/>
      <c r="I94" s="89"/>
      <c r="J94" s="89"/>
      <c r="K94" s="89"/>
      <c r="L94" s="89"/>
      <c r="M94" s="91"/>
    </row>
    <row r="95" spans="1:13">
      <c r="B95" s="89"/>
      <c r="C95" s="90"/>
      <c r="D95" s="89"/>
      <c r="E95" s="89"/>
      <c r="F95" s="89"/>
      <c r="G95" s="89"/>
      <c r="H95" s="89"/>
      <c r="I95" s="89"/>
      <c r="J95" s="89"/>
      <c r="K95" s="89"/>
      <c r="L95" s="89"/>
      <c r="M95" s="91"/>
    </row>
    <row r="96" spans="1:13">
      <c r="B96" s="89"/>
      <c r="C96" s="90"/>
      <c r="D96" s="89"/>
      <c r="E96" s="89"/>
      <c r="F96" s="89"/>
      <c r="G96" s="89"/>
      <c r="H96" s="89"/>
      <c r="I96" s="89"/>
      <c r="J96" s="89"/>
      <c r="K96" s="89"/>
      <c r="L96" s="89"/>
      <c r="M96" s="91"/>
    </row>
    <row r="97" spans="2:13">
      <c r="B97" s="89"/>
      <c r="C97" s="90"/>
      <c r="D97" s="89"/>
      <c r="E97" s="89"/>
      <c r="F97" s="89"/>
      <c r="G97" s="89"/>
      <c r="H97" s="89"/>
      <c r="I97" s="89"/>
      <c r="J97" s="89"/>
      <c r="K97" s="89"/>
      <c r="L97" s="89"/>
      <c r="M97" s="91"/>
    </row>
    <row r="98" spans="2:13">
      <c r="B98" s="89"/>
      <c r="C98" s="90"/>
      <c r="D98" s="89"/>
      <c r="E98" s="89"/>
      <c r="F98" s="89"/>
      <c r="G98" s="89"/>
      <c r="H98" s="89"/>
      <c r="I98" s="89"/>
      <c r="J98" s="89"/>
      <c r="K98" s="89"/>
      <c r="L98" s="89"/>
      <c r="M98" s="91"/>
    </row>
    <row r="99" spans="2:13">
      <c r="B99" s="89"/>
      <c r="C99" s="90"/>
      <c r="D99" s="89"/>
      <c r="E99" s="89"/>
      <c r="F99" s="89"/>
      <c r="G99" s="89"/>
      <c r="H99" s="89"/>
      <c r="I99" s="89"/>
      <c r="J99" s="89"/>
      <c r="K99" s="89"/>
      <c r="L99" s="89"/>
      <c r="M99" s="91"/>
    </row>
    <row r="100" spans="2:13">
      <c r="B100" s="89"/>
      <c r="C100" s="90"/>
      <c r="D100" s="89"/>
      <c r="E100" s="89"/>
      <c r="F100" s="89"/>
      <c r="G100" s="89"/>
      <c r="H100" s="89"/>
      <c r="I100" s="89"/>
      <c r="J100" s="89"/>
      <c r="K100" s="89"/>
      <c r="L100" s="89"/>
      <c r="M100" s="91"/>
    </row>
    <row r="101" spans="2:13">
      <c r="B101" s="89"/>
      <c r="C101" s="90"/>
      <c r="D101" s="89"/>
      <c r="E101" s="89"/>
      <c r="F101" s="89"/>
      <c r="G101" s="89"/>
      <c r="H101" s="89"/>
      <c r="I101" s="89"/>
      <c r="J101" s="89"/>
      <c r="K101" s="89"/>
      <c r="L101" s="89"/>
      <c r="M101" s="91"/>
    </row>
    <row r="102" spans="2:13">
      <c r="B102" s="89"/>
      <c r="C102" s="90"/>
      <c r="D102" s="89"/>
      <c r="E102" s="89"/>
      <c r="F102" s="89"/>
      <c r="G102" s="89"/>
      <c r="H102" s="89"/>
      <c r="I102" s="89"/>
      <c r="J102" s="89"/>
      <c r="K102" s="89"/>
      <c r="L102" s="89"/>
      <c r="M102" s="91"/>
    </row>
    <row r="103" spans="2:13">
      <c r="B103" s="89"/>
      <c r="C103" s="90"/>
      <c r="D103" s="89"/>
      <c r="E103" s="89"/>
      <c r="F103" s="89"/>
      <c r="G103" s="89"/>
      <c r="H103" s="89"/>
      <c r="I103" s="89"/>
      <c r="J103" s="89"/>
      <c r="K103" s="89"/>
      <c r="L103" s="89"/>
      <c r="M103" s="91"/>
    </row>
    <row r="104" spans="2:13">
      <c r="B104" s="89"/>
      <c r="C104" s="90"/>
      <c r="D104" s="89"/>
      <c r="E104" s="89"/>
      <c r="F104" s="89"/>
      <c r="G104" s="89"/>
      <c r="H104" s="89"/>
      <c r="I104" s="89"/>
      <c r="J104" s="89"/>
      <c r="K104" s="89"/>
      <c r="L104" s="89"/>
      <c r="M104" s="91"/>
    </row>
    <row r="105" spans="2:13">
      <c r="B105" s="89"/>
      <c r="C105" s="90"/>
      <c r="D105" s="89"/>
      <c r="E105" s="89"/>
      <c r="F105" s="89"/>
      <c r="G105" s="89"/>
      <c r="H105" s="89"/>
      <c r="I105" s="89"/>
      <c r="J105" s="89"/>
      <c r="K105" s="89"/>
      <c r="L105" s="89"/>
      <c r="M105" s="91"/>
    </row>
    <row r="106" spans="2:13">
      <c r="B106" s="89"/>
      <c r="C106" s="90"/>
      <c r="D106" s="89"/>
      <c r="E106" s="89"/>
      <c r="F106" s="89"/>
      <c r="G106" s="89"/>
      <c r="H106" s="89"/>
      <c r="I106" s="89"/>
      <c r="J106" s="89"/>
      <c r="K106" s="89"/>
      <c r="L106" s="89"/>
      <c r="M106" s="91"/>
    </row>
    <row r="107" spans="2:13">
      <c r="B107" s="89"/>
      <c r="C107" s="90"/>
      <c r="D107" s="89"/>
      <c r="E107" s="89"/>
      <c r="F107" s="89"/>
      <c r="G107" s="89"/>
      <c r="H107" s="89"/>
      <c r="I107" s="89"/>
      <c r="J107" s="89"/>
      <c r="K107" s="89"/>
      <c r="L107" s="89"/>
      <c r="M107" s="91"/>
    </row>
    <row r="108" spans="2:13">
      <c r="B108" s="89"/>
      <c r="C108" s="90"/>
      <c r="D108" s="89"/>
      <c r="E108" s="89"/>
      <c r="F108" s="89"/>
      <c r="G108" s="89"/>
      <c r="H108" s="89"/>
      <c r="I108" s="89"/>
      <c r="J108" s="89"/>
      <c r="K108" s="89"/>
      <c r="L108" s="89"/>
      <c r="M108" s="91"/>
    </row>
    <row r="109" spans="2:13">
      <c r="B109" s="89"/>
      <c r="C109" s="90"/>
      <c r="D109" s="89"/>
      <c r="E109" s="89"/>
      <c r="F109" s="89"/>
      <c r="G109" s="89"/>
      <c r="H109" s="89"/>
      <c r="I109" s="89"/>
      <c r="J109" s="89"/>
      <c r="K109" s="89"/>
      <c r="L109" s="89"/>
      <c r="M109" s="91"/>
    </row>
    <row r="110" spans="2:13">
      <c r="B110" s="89"/>
      <c r="C110" s="90"/>
      <c r="D110" s="89"/>
      <c r="E110" s="89"/>
      <c r="F110" s="89"/>
      <c r="G110" s="89"/>
      <c r="H110" s="89"/>
      <c r="I110" s="89"/>
      <c r="J110" s="89"/>
      <c r="K110" s="89"/>
      <c r="L110" s="89"/>
      <c r="M110" s="91"/>
    </row>
    <row r="111" spans="2:13">
      <c r="B111" s="89"/>
      <c r="C111" s="90"/>
      <c r="D111" s="89"/>
      <c r="E111" s="89"/>
      <c r="F111" s="89"/>
      <c r="G111" s="89"/>
      <c r="H111" s="89"/>
      <c r="I111" s="89"/>
      <c r="J111" s="89"/>
      <c r="K111" s="89"/>
      <c r="L111" s="89"/>
      <c r="M111" s="91"/>
    </row>
    <row r="112" spans="2:13">
      <c r="B112" s="89"/>
      <c r="C112" s="90"/>
      <c r="D112" s="89"/>
      <c r="E112" s="89"/>
      <c r="F112" s="89"/>
      <c r="G112" s="89"/>
      <c r="H112" s="89"/>
      <c r="I112" s="89"/>
      <c r="J112" s="89"/>
      <c r="K112" s="89"/>
      <c r="L112" s="89"/>
      <c r="M112" s="91"/>
    </row>
    <row r="113" spans="2:13">
      <c r="B113" s="89"/>
      <c r="C113" s="90"/>
      <c r="D113" s="89"/>
      <c r="E113" s="89"/>
      <c r="F113" s="89"/>
      <c r="G113" s="89"/>
      <c r="H113" s="89"/>
      <c r="I113" s="89"/>
      <c r="J113" s="89"/>
      <c r="K113" s="89"/>
      <c r="L113" s="89"/>
      <c r="M113" s="91"/>
    </row>
    <row r="114" spans="2:13">
      <c r="B114" s="89"/>
      <c r="C114" s="90"/>
      <c r="D114" s="89"/>
      <c r="E114" s="89"/>
      <c r="F114" s="89"/>
      <c r="G114" s="89"/>
      <c r="H114" s="89"/>
      <c r="I114" s="89"/>
      <c r="J114" s="89"/>
      <c r="K114" s="89"/>
      <c r="L114" s="89"/>
      <c r="M114" s="91"/>
    </row>
    <row r="115" spans="2:13">
      <c r="B115" s="89"/>
      <c r="C115" s="90"/>
      <c r="D115" s="89"/>
      <c r="E115" s="89"/>
      <c r="F115" s="89"/>
      <c r="G115" s="89"/>
      <c r="H115" s="89"/>
      <c r="I115" s="89"/>
      <c r="J115" s="89"/>
      <c r="K115" s="89"/>
      <c r="L115" s="89"/>
      <c r="M115" s="91"/>
    </row>
    <row r="116" spans="2:13">
      <c r="B116" s="89"/>
      <c r="C116" s="90"/>
      <c r="D116" s="89"/>
      <c r="E116" s="89"/>
      <c r="F116" s="89"/>
      <c r="G116" s="89"/>
      <c r="H116" s="89"/>
      <c r="I116" s="89"/>
      <c r="J116" s="89"/>
      <c r="K116" s="89"/>
      <c r="L116" s="89"/>
      <c r="M116" s="91"/>
    </row>
    <row r="117" spans="2:13">
      <c r="B117" s="89"/>
      <c r="C117" s="90"/>
      <c r="D117" s="89"/>
      <c r="E117" s="89"/>
      <c r="F117" s="89"/>
      <c r="G117" s="89"/>
      <c r="H117" s="89"/>
      <c r="I117" s="89"/>
      <c r="J117" s="89"/>
      <c r="K117" s="89"/>
      <c r="L117" s="89"/>
      <c r="M117" s="91"/>
    </row>
    <row r="118" spans="2:13">
      <c r="B118" s="89"/>
      <c r="C118" s="90"/>
      <c r="D118" s="89"/>
      <c r="E118" s="89"/>
      <c r="F118" s="89"/>
      <c r="G118" s="89"/>
      <c r="H118" s="89"/>
      <c r="I118" s="89"/>
      <c r="J118" s="89"/>
      <c r="K118" s="89"/>
      <c r="L118" s="89"/>
      <c r="M118" s="91"/>
    </row>
    <row r="119" spans="2:13">
      <c r="B119" s="89"/>
      <c r="C119" s="90"/>
      <c r="D119" s="89"/>
      <c r="E119" s="89"/>
      <c r="F119" s="89"/>
      <c r="G119" s="89"/>
      <c r="H119" s="89"/>
      <c r="I119" s="89"/>
      <c r="J119" s="89"/>
      <c r="K119" s="89"/>
      <c r="L119" s="89"/>
      <c r="M119" s="91"/>
    </row>
    <row r="120" spans="2:13">
      <c r="B120" s="89"/>
      <c r="C120" s="90"/>
      <c r="D120" s="89"/>
      <c r="E120" s="89"/>
      <c r="F120" s="89"/>
      <c r="G120" s="89"/>
      <c r="H120" s="89"/>
      <c r="I120" s="89"/>
      <c r="J120" s="89"/>
      <c r="K120" s="89"/>
      <c r="L120" s="89"/>
      <c r="M120" s="91"/>
    </row>
    <row r="121" spans="2:13">
      <c r="B121" s="89"/>
      <c r="C121" s="90"/>
      <c r="D121" s="89"/>
      <c r="E121" s="89"/>
      <c r="F121" s="89"/>
      <c r="G121" s="89"/>
      <c r="H121" s="89"/>
      <c r="I121" s="89"/>
      <c r="J121" s="89"/>
      <c r="K121" s="89"/>
      <c r="L121" s="89"/>
      <c r="M121" s="91"/>
    </row>
    <row r="122" spans="2:13">
      <c r="B122" s="89"/>
      <c r="C122" s="90"/>
      <c r="D122" s="89"/>
      <c r="E122" s="89"/>
      <c r="F122" s="89"/>
      <c r="G122" s="89"/>
      <c r="H122" s="89"/>
      <c r="I122" s="89"/>
      <c r="J122" s="89"/>
      <c r="K122" s="89"/>
      <c r="L122" s="89"/>
      <c r="M122" s="91"/>
    </row>
    <row r="123" spans="2:13">
      <c r="B123" s="89"/>
      <c r="C123" s="90"/>
      <c r="D123" s="89"/>
      <c r="E123" s="89"/>
      <c r="F123" s="89"/>
      <c r="G123" s="89"/>
      <c r="H123" s="89"/>
      <c r="I123" s="89"/>
      <c r="J123" s="89"/>
      <c r="K123" s="89"/>
      <c r="L123" s="89"/>
      <c r="M123" s="91"/>
    </row>
    <row r="124" spans="2:13"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2"/>
    </row>
    <row r="125" spans="2:13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2"/>
    </row>
    <row r="126" spans="2:13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2"/>
    </row>
    <row r="127" spans="2:13"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2"/>
    </row>
    <row r="128" spans="2:13"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2"/>
    </row>
    <row r="129" spans="2:13"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2"/>
    </row>
    <row r="130" spans="2:13"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2"/>
    </row>
    <row r="131" spans="2:13"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2"/>
    </row>
    <row r="132" spans="2:13"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2"/>
    </row>
    <row r="133" spans="2:13"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2"/>
    </row>
    <row r="134" spans="2:13"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2"/>
    </row>
    <row r="135" spans="2:13"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2"/>
    </row>
    <row r="136" spans="2:13"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2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rintOptions horizontalCentered="1"/>
  <pageMargins left="0.19685039370078741" right="0.19685039370078741" top="0.59055118110236227" bottom="0.39370078740157483" header="0.11811023622047245" footer="0.11811023622047245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topLeftCell="A11" zoomScale="60" zoomScaleNormal="55" workbookViewId="0">
      <selection activeCell="Q56" sqref="Q56"/>
    </sheetView>
  </sheetViews>
  <sheetFormatPr defaultRowHeight="15"/>
  <cols>
    <col min="1" max="1" width="15.7109375" customWidth="1"/>
    <col min="2" max="2" width="200.7109375" customWidth="1"/>
    <col min="3" max="3" width="9.7109375" customWidth="1"/>
    <col min="4" max="4" width="34.7109375" customWidth="1"/>
    <col min="5" max="7" width="20.7109375" customWidth="1"/>
  </cols>
  <sheetData>
    <row r="1" spans="1:4">
      <c r="A1" s="17"/>
      <c r="B1" s="17"/>
      <c r="C1" s="5"/>
      <c r="D1" s="5"/>
    </row>
    <row r="2" spans="1:4">
      <c r="A2" s="17"/>
      <c r="B2" s="17"/>
      <c r="C2" s="5"/>
      <c r="D2" s="5"/>
    </row>
    <row r="3" spans="1:4" ht="15" customHeight="1">
      <c r="A3" s="18">
        <f>სატენდერო!A3</f>
        <v>0</v>
      </c>
      <c r="B3" s="18"/>
      <c r="C3" s="5"/>
      <c r="D3" s="129"/>
    </row>
    <row r="4" spans="1:4" ht="15" customHeight="1">
      <c r="A4" s="18"/>
      <c r="B4" s="18"/>
      <c r="C4" s="5"/>
      <c r="D4" s="129"/>
    </row>
    <row r="5" spans="1:4" ht="15" customHeight="1">
      <c r="A5" s="18" t="s">
        <v>28</v>
      </c>
      <c r="B5" s="18"/>
      <c r="C5" s="5"/>
      <c r="D5" s="129"/>
    </row>
    <row r="6" spans="1:4" ht="15" customHeight="1">
      <c r="A6" s="18"/>
      <c r="B6" s="18"/>
      <c r="C6" s="5"/>
      <c r="D6" s="129"/>
    </row>
    <row r="7" spans="1:4" ht="15" customHeight="1">
      <c r="A7" s="18">
        <f>სატენდერო!A7</f>
        <v>0</v>
      </c>
      <c r="B7" s="18"/>
      <c r="C7" s="5"/>
      <c r="D7" s="129"/>
    </row>
    <row r="8" spans="1:4" ht="15" customHeight="1">
      <c r="A8" s="18"/>
      <c r="B8" s="18"/>
      <c r="C8" s="5"/>
      <c r="D8" s="129"/>
    </row>
    <row r="9" spans="1:4" ht="15" customHeight="1">
      <c r="A9" s="18" t="s">
        <v>29</v>
      </c>
      <c r="B9" s="18"/>
      <c r="C9" s="5"/>
      <c r="D9" s="129"/>
    </row>
    <row r="10" spans="1:4" ht="15" customHeight="1">
      <c r="A10" s="18"/>
      <c r="B10" s="18"/>
      <c r="C10" s="6"/>
      <c r="D10" s="129"/>
    </row>
    <row r="11" spans="1:4" ht="15" customHeight="1">
      <c r="A11" s="129"/>
      <c r="B11" s="129"/>
      <c r="C11" s="5"/>
      <c r="D11" s="129"/>
    </row>
    <row r="12" spans="1:4" ht="15" customHeight="1">
      <c r="A12" s="129"/>
      <c r="B12" s="129"/>
      <c r="C12" s="5"/>
      <c r="D12" s="129"/>
    </row>
    <row r="13" spans="1:4" s="14" customFormat="1" ht="80.099999999999994" customHeight="1">
      <c r="A13" s="125" t="s">
        <v>39</v>
      </c>
      <c r="B13" s="126"/>
      <c r="C13" s="126"/>
      <c r="D13" s="126"/>
    </row>
    <row r="14" spans="1:4" s="14" customFormat="1" ht="39.950000000000003" customHeight="1">
      <c r="A14" s="127" t="s">
        <v>2</v>
      </c>
      <c r="B14" s="127" t="s">
        <v>3</v>
      </c>
      <c r="C14" s="127" t="s">
        <v>12</v>
      </c>
      <c r="D14" s="128" t="s">
        <v>43</v>
      </c>
    </row>
    <row r="15" spans="1:4" s="14" customFormat="1" ht="39.950000000000003" customHeight="1">
      <c r="A15" s="127"/>
      <c r="B15" s="127"/>
      <c r="C15" s="127"/>
      <c r="D15" s="128"/>
    </row>
    <row r="16" spans="1:4" s="14" customFormat="1" ht="39.950000000000003" customHeight="1">
      <c r="A16" s="127"/>
      <c r="B16" s="127"/>
      <c r="C16" s="127"/>
      <c r="D16" s="128"/>
    </row>
    <row r="17" spans="1:4" s="14" customFormat="1" ht="39.950000000000003" customHeight="1">
      <c r="A17" s="22">
        <v>1</v>
      </c>
      <c r="B17" s="22">
        <v>2</v>
      </c>
      <c r="C17" s="22">
        <v>3</v>
      </c>
      <c r="D17" s="22">
        <v>4</v>
      </c>
    </row>
    <row r="18" spans="1:4" s="13" customFormat="1" ht="39.950000000000003" customHeight="1">
      <c r="A18" s="123" t="s">
        <v>44</v>
      </c>
      <c r="B18" s="124"/>
      <c r="C18" s="124"/>
      <c r="D18" s="124"/>
    </row>
    <row r="19" spans="1:4" s="13" customFormat="1" ht="39.950000000000003" customHeight="1">
      <c r="A19" s="23" t="s">
        <v>113</v>
      </c>
      <c r="B19" s="24" t="str">
        <f>სატენდერო!B20</f>
        <v>მოსამზადებელი სამუშაოები</v>
      </c>
      <c r="C19" s="24"/>
      <c r="D19" s="25">
        <f>სატენდერო!H26</f>
        <v>0</v>
      </c>
    </row>
    <row r="20" spans="1:4" s="13" customFormat="1" ht="39.950000000000003" customHeight="1">
      <c r="A20" s="123" t="s">
        <v>45</v>
      </c>
      <c r="B20" s="124"/>
      <c r="C20" s="124"/>
      <c r="D20" s="124"/>
    </row>
    <row r="21" spans="1:4" s="13" customFormat="1" ht="39.950000000000003" customHeight="1">
      <c r="A21" s="23" t="s">
        <v>125</v>
      </c>
      <c r="B21" s="24" t="str">
        <f>სატენდერო!B27</f>
        <v>მიწის ვაკისი</v>
      </c>
      <c r="C21" s="24"/>
      <c r="D21" s="25">
        <f>სატენდერო!H33</f>
        <v>0</v>
      </c>
    </row>
    <row r="22" spans="1:4" s="13" customFormat="1" ht="39.950000000000003" customHeight="1">
      <c r="A22" s="123" t="s">
        <v>46</v>
      </c>
      <c r="B22" s="124"/>
      <c r="C22" s="124"/>
      <c r="D22" s="124"/>
    </row>
    <row r="23" spans="1:4" s="13" customFormat="1" ht="39.950000000000003" customHeight="1">
      <c r="A23" s="23" t="s">
        <v>148</v>
      </c>
      <c r="B23" s="24" t="str">
        <f>სატენდერო!B34</f>
        <v>საგზაო სამოსი</v>
      </c>
      <c r="C23" s="24"/>
      <c r="D23" s="25">
        <f>სატენდერო!H47</f>
        <v>0</v>
      </c>
    </row>
    <row r="24" spans="1:4" s="14" customFormat="1" ht="39.950000000000003" customHeight="1">
      <c r="A24" s="22"/>
      <c r="B24" s="24" t="s">
        <v>4</v>
      </c>
      <c r="C24" s="26"/>
      <c r="D24" s="27">
        <f>ROUND(D19+D21+D23,2)</f>
        <v>0</v>
      </c>
    </row>
    <row r="25" spans="1:4" s="14" customFormat="1" ht="39.950000000000003" customHeight="1">
      <c r="A25" s="28"/>
      <c r="B25" s="22" t="s">
        <v>26</v>
      </c>
      <c r="C25" s="29">
        <v>0.05</v>
      </c>
      <c r="D25" s="26">
        <f>ROUND(D24*C25,2)</f>
        <v>0</v>
      </c>
    </row>
    <row r="26" spans="1:4" s="14" customFormat="1" ht="39.950000000000003" customHeight="1">
      <c r="A26" s="28"/>
      <c r="B26" s="22" t="s">
        <v>4</v>
      </c>
      <c r="C26" s="22"/>
      <c r="D26" s="27">
        <f>ROUND(SUM(D24:D25),2)</f>
        <v>0</v>
      </c>
    </row>
    <row r="27" spans="1:4" s="14" customFormat="1" ht="39.950000000000003" customHeight="1">
      <c r="A27" s="28"/>
      <c r="B27" s="22" t="s">
        <v>27</v>
      </c>
      <c r="C27" s="29">
        <v>0.18</v>
      </c>
      <c r="D27" s="27">
        <f>ROUND(D26*C27,2)</f>
        <v>0</v>
      </c>
    </row>
    <row r="28" spans="1:4" s="14" customFormat="1" ht="39.950000000000003" customHeight="1">
      <c r="A28" s="28"/>
      <c r="B28" s="22" t="s">
        <v>4</v>
      </c>
      <c r="C28" s="22"/>
      <c r="D28" s="30">
        <f>ROUND(SUM(D26:D27),2)</f>
        <v>0</v>
      </c>
    </row>
    <row r="29" spans="1:4" ht="39.950000000000003" customHeight="1">
      <c r="A29" s="3"/>
      <c r="B29" s="4"/>
      <c r="C29" s="16"/>
      <c r="D29" s="16"/>
    </row>
    <row r="30" spans="1:4" ht="39.950000000000003" customHeight="1">
      <c r="A30" s="3"/>
      <c r="B30" s="4"/>
      <c r="C30" s="16"/>
      <c r="D30" s="9"/>
    </row>
    <row r="31" spans="1:4" ht="39.950000000000003" customHeight="1">
      <c r="A31" s="3"/>
      <c r="B31" s="4"/>
      <c r="C31" s="16"/>
      <c r="D31" s="16"/>
    </row>
    <row r="32" spans="1:4" ht="39.950000000000003" customHeight="1">
      <c r="A32" s="3"/>
      <c r="B32" s="4"/>
      <c r="C32" s="16"/>
      <c r="D32" s="16"/>
    </row>
    <row r="33" spans="1:4" ht="39.950000000000003" customHeight="1">
      <c r="A33" s="3"/>
      <c r="B33" s="4"/>
      <c r="C33" s="16"/>
      <c r="D33" s="16"/>
    </row>
    <row r="34" spans="1:4" ht="39.950000000000003" customHeight="1">
      <c r="A34" s="3"/>
      <c r="B34" s="4"/>
      <c r="C34" s="16"/>
      <c r="D34" s="16"/>
    </row>
    <row r="35" spans="1:4" ht="39.950000000000003" customHeight="1">
      <c r="A35" s="3"/>
      <c r="B35" s="4"/>
      <c r="C35" s="16"/>
      <c r="D35" s="16"/>
    </row>
    <row r="36" spans="1:4" ht="39.950000000000003" customHeight="1">
      <c r="A36" s="3"/>
      <c r="B36" s="4"/>
      <c r="C36" s="16"/>
      <c r="D36" s="16"/>
    </row>
    <row r="37" spans="1:4" ht="39.950000000000003" customHeight="1">
      <c r="A37" s="3"/>
      <c r="B37" s="4"/>
      <c r="C37" s="16"/>
      <c r="D37" s="16"/>
    </row>
    <row r="38" spans="1:4" ht="39.950000000000003" customHeight="1">
      <c r="A38" s="3"/>
      <c r="B38" s="4"/>
      <c r="C38" s="16"/>
      <c r="D38" s="16"/>
    </row>
    <row r="39" spans="1:4" ht="39.950000000000003" customHeight="1">
      <c r="A39" s="3"/>
      <c r="B39" s="4"/>
      <c r="C39" s="16"/>
      <c r="D39" s="16"/>
    </row>
    <row r="40" spans="1:4" ht="39.950000000000003" customHeight="1">
      <c r="A40" s="3"/>
      <c r="B40" s="4"/>
      <c r="C40" s="16"/>
      <c r="D40" s="16"/>
    </row>
    <row r="41" spans="1:4" ht="39.950000000000003" customHeight="1">
      <c r="A41" s="3"/>
      <c r="B41" s="4"/>
      <c r="C41" s="16"/>
      <c r="D41" s="16"/>
    </row>
    <row r="42" spans="1:4" ht="39.950000000000003" customHeight="1">
      <c r="A42" s="3"/>
      <c r="B42" s="4"/>
      <c r="C42" s="16"/>
      <c r="D42" s="16"/>
    </row>
    <row r="43" spans="1:4" ht="39.950000000000003" customHeight="1">
      <c r="A43" s="3"/>
      <c r="B43" s="4"/>
      <c r="C43" s="16"/>
      <c r="D43" s="16"/>
    </row>
    <row r="44" spans="1:4" ht="39.950000000000003" customHeight="1">
      <c r="A44" s="3"/>
      <c r="B44" s="4"/>
      <c r="C44" s="16"/>
      <c r="D44" s="16"/>
    </row>
    <row r="45" spans="1:4" ht="39.950000000000003" customHeight="1">
      <c r="A45" s="3"/>
      <c r="B45" s="4"/>
      <c r="C45" s="16"/>
      <c r="D45" s="16"/>
    </row>
    <row r="46" spans="1:4" ht="39.950000000000003" customHeight="1">
      <c r="A46" s="3"/>
      <c r="B46" s="4"/>
      <c r="C46" s="16"/>
      <c r="D46" s="16"/>
    </row>
    <row r="47" spans="1:4" ht="39.950000000000003" customHeight="1">
      <c r="A47" s="3"/>
      <c r="B47" s="4"/>
      <c r="C47" s="16"/>
      <c r="D47" s="16"/>
    </row>
    <row r="48" spans="1:4" ht="39.950000000000003" customHeight="1">
      <c r="A48" s="3"/>
      <c r="B48" s="4"/>
      <c r="C48" s="16"/>
      <c r="D48" s="16"/>
    </row>
    <row r="49" spans="1:4" ht="39.950000000000003" customHeight="1">
      <c r="A49" s="3"/>
      <c r="B49" s="4"/>
      <c r="C49" s="16"/>
      <c r="D49" s="16"/>
    </row>
    <row r="50" spans="1:4" ht="39.950000000000003" customHeight="1">
      <c r="A50" s="3"/>
      <c r="B50" s="4"/>
      <c r="C50" s="16"/>
      <c r="D50" s="16"/>
    </row>
    <row r="51" spans="1:4" ht="39.950000000000003" customHeight="1">
      <c r="A51" s="3"/>
      <c r="B51" s="4"/>
      <c r="C51" s="16"/>
      <c r="D51" s="16"/>
    </row>
    <row r="52" spans="1:4" ht="39.950000000000003" customHeight="1">
      <c r="A52" s="3"/>
      <c r="B52" s="4"/>
      <c r="C52" s="16"/>
      <c r="D52" s="16"/>
    </row>
    <row r="53" spans="1:4" ht="39.950000000000003" customHeight="1">
      <c r="A53" s="3"/>
      <c r="B53" s="4"/>
      <c r="C53" s="16"/>
      <c r="D53" s="16"/>
    </row>
    <row r="54" spans="1:4" ht="39.950000000000003" customHeight="1">
      <c r="A54" s="3"/>
      <c r="B54" s="4"/>
      <c r="C54" s="16"/>
      <c r="D54" s="16"/>
    </row>
    <row r="55" spans="1:4" ht="39.950000000000003" customHeight="1">
      <c r="A55" s="3"/>
      <c r="B55" s="4"/>
      <c r="C55" s="16"/>
      <c r="D55" s="16"/>
    </row>
    <row r="56" spans="1:4" ht="39.950000000000003" customHeight="1">
      <c r="A56" s="3"/>
      <c r="B56" s="4"/>
      <c r="C56" s="16"/>
      <c r="D56" s="16"/>
    </row>
    <row r="57" spans="1:4" ht="39.950000000000003" customHeight="1">
      <c r="A57" s="3"/>
      <c r="B57" s="4"/>
      <c r="C57" s="16"/>
      <c r="D57" s="16"/>
    </row>
    <row r="58" spans="1:4" ht="39.950000000000003" customHeight="1">
      <c r="A58" s="3"/>
      <c r="B58" s="4"/>
      <c r="C58" s="16"/>
      <c r="D58" s="16"/>
    </row>
    <row r="59" spans="1:4" ht="39.950000000000003" customHeight="1">
      <c r="A59" s="3"/>
      <c r="B59" s="4"/>
      <c r="C59" s="16"/>
      <c r="D59" s="16"/>
    </row>
    <row r="60" spans="1:4" ht="39.950000000000003" customHeight="1">
      <c r="A60" s="3"/>
      <c r="B60" s="4"/>
      <c r="C60" s="16"/>
      <c r="D60" s="16"/>
    </row>
    <row r="61" spans="1:4" ht="39.950000000000003" customHeight="1">
      <c r="A61" s="3"/>
      <c r="B61" s="4"/>
      <c r="C61" s="16"/>
      <c r="D61" s="16"/>
    </row>
    <row r="62" spans="1:4" ht="39.950000000000003" customHeight="1">
      <c r="A62" s="3"/>
      <c r="B62" s="4"/>
      <c r="C62" s="16"/>
      <c r="D62" s="16"/>
    </row>
    <row r="63" spans="1:4" ht="39.950000000000003" customHeight="1">
      <c r="A63" s="3"/>
      <c r="B63" s="4"/>
      <c r="C63" s="16"/>
      <c r="D63" s="16"/>
    </row>
    <row r="64" spans="1:4" ht="39.950000000000003" customHeight="1">
      <c r="A64" s="3"/>
      <c r="B64" s="4"/>
      <c r="C64" s="16"/>
      <c r="D64" s="16"/>
    </row>
    <row r="65" spans="2:4">
      <c r="B65" s="1"/>
      <c r="C65" s="2"/>
      <c r="D65" s="2"/>
    </row>
    <row r="66" spans="2:4">
      <c r="B66" s="1"/>
      <c r="C66" s="2"/>
      <c r="D66" s="2"/>
    </row>
    <row r="67" spans="2:4">
      <c r="B67" s="1"/>
      <c r="C67" s="2"/>
      <c r="D67" s="2"/>
    </row>
    <row r="68" spans="2:4">
      <c r="B68" s="1"/>
      <c r="C68" s="2"/>
      <c r="D68" s="2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</sheetData>
  <mergeCells count="14">
    <mergeCell ref="D3:D4"/>
    <mergeCell ref="D5:D6"/>
    <mergeCell ref="D7:D8"/>
    <mergeCell ref="D9:D10"/>
    <mergeCell ref="A11:B12"/>
    <mergeCell ref="D11:D12"/>
    <mergeCell ref="A20:D20"/>
    <mergeCell ref="A22:D22"/>
    <mergeCell ref="A13:D13"/>
    <mergeCell ref="A14:A16"/>
    <mergeCell ref="B14:B16"/>
    <mergeCell ref="C14:C16"/>
    <mergeCell ref="D14:D16"/>
    <mergeCell ref="A18:D18"/>
  </mergeCells>
  <pageMargins left="0.7" right="0.7" top="0.75" bottom="0.75" header="0.3" footer="0.3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topLeftCell="A39" zoomScale="60" zoomScaleNormal="55" workbookViewId="0">
      <selection activeCell="Q56" sqref="Q56"/>
    </sheetView>
  </sheetViews>
  <sheetFormatPr defaultRowHeight="15"/>
  <cols>
    <col min="1" max="1" width="15.7109375" customWidth="1"/>
    <col min="2" max="2" width="181.7109375" customWidth="1"/>
    <col min="3" max="4" width="15.7109375" hidden="1" customWidth="1"/>
    <col min="5" max="5" width="17.7109375" customWidth="1"/>
    <col min="6" max="6" width="15.7109375" customWidth="1"/>
    <col min="7" max="7" width="17.7109375" customWidth="1"/>
    <col min="8" max="8" width="21.28515625" style="10" bestFit="1" customWidth="1"/>
    <col min="9" max="11" width="20.7109375" customWidth="1"/>
  </cols>
  <sheetData>
    <row r="1" spans="1:9">
      <c r="A1" s="141"/>
      <c r="B1" s="141"/>
      <c r="C1" s="5"/>
      <c r="D1" s="5"/>
      <c r="E1" s="5"/>
      <c r="F1" s="5"/>
      <c r="G1" s="5"/>
      <c r="H1" s="8"/>
      <c r="I1" s="5"/>
    </row>
    <row r="2" spans="1:9">
      <c r="A2" s="141"/>
      <c r="B2" s="141"/>
      <c r="C2" s="5"/>
      <c r="D2" s="5"/>
      <c r="E2" s="5"/>
      <c r="F2" s="5"/>
      <c r="G2" s="5"/>
      <c r="H2" s="8"/>
      <c r="I2" s="5"/>
    </row>
    <row r="3" spans="1:9" ht="15" customHeight="1">
      <c r="A3" s="129">
        <f>'1-1'!A1:C1</f>
        <v>0</v>
      </c>
      <c r="B3" s="129"/>
      <c r="C3" s="5"/>
      <c r="D3" s="5"/>
      <c r="E3" s="133" t="s">
        <v>17</v>
      </c>
      <c r="F3" s="133"/>
      <c r="G3" s="133"/>
      <c r="H3" s="129"/>
      <c r="I3" s="129"/>
    </row>
    <row r="4" spans="1:9" ht="15" customHeight="1">
      <c r="A4" s="129"/>
      <c r="B4" s="129"/>
      <c r="C4" s="5"/>
      <c r="D4" s="5"/>
      <c r="E4" s="133"/>
      <c r="F4" s="133"/>
      <c r="G4" s="133"/>
      <c r="H4" s="129"/>
      <c r="I4" s="129"/>
    </row>
    <row r="5" spans="1:9" ht="15" customHeight="1">
      <c r="A5" s="129" t="s">
        <v>28</v>
      </c>
      <c r="B5" s="129"/>
      <c r="C5" s="5"/>
      <c r="D5" s="5"/>
      <c r="E5" s="133" t="s">
        <v>18</v>
      </c>
      <c r="F5" s="133"/>
      <c r="G5" s="133"/>
      <c r="H5" s="129"/>
      <c r="I5" s="129"/>
    </row>
    <row r="6" spans="1:9" ht="15" customHeight="1">
      <c r="A6" s="129"/>
      <c r="B6" s="129"/>
      <c r="C6" s="5"/>
      <c r="D6" s="5"/>
      <c r="E6" s="133"/>
      <c r="F6" s="133"/>
      <c r="G6" s="133"/>
      <c r="H6" s="129"/>
      <c r="I6" s="129"/>
    </row>
    <row r="7" spans="1:9" ht="15" customHeight="1">
      <c r="A7" s="129">
        <f>'1-1'!A3:C3</f>
        <v>0</v>
      </c>
      <c r="B7" s="129"/>
      <c r="C7" s="5"/>
      <c r="D7" s="5"/>
      <c r="E7" s="133" t="s">
        <v>48</v>
      </c>
      <c r="F7" s="133"/>
      <c r="G7" s="133"/>
      <c r="H7" s="129" t="s">
        <v>20</v>
      </c>
      <c r="I7" s="129"/>
    </row>
    <row r="8" spans="1:9" ht="15" customHeight="1">
      <c r="A8" s="129"/>
      <c r="B8" s="129"/>
      <c r="C8" s="5"/>
      <c r="D8" s="5"/>
      <c r="E8" s="133"/>
      <c r="F8" s="133"/>
      <c r="G8" s="133"/>
      <c r="H8" s="129"/>
      <c r="I8" s="129"/>
    </row>
    <row r="9" spans="1:9" ht="15" customHeight="1">
      <c r="A9" s="129" t="s">
        <v>29</v>
      </c>
      <c r="B9" s="129"/>
      <c r="C9" s="5"/>
      <c r="D9" s="5"/>
      <c r="E9" s="133" t="s">
        <v>19</v>
      </c>
      <c r="F9" s="133"/>
      <c r="G9" s="133"/>
      <c r="H9" s="129"/>
      <c r="I9" s="129"/>
    </row>
    <row r="10" spans="1:9" ht="15" customHeight="1">
      <c r="A10" s="129"/>
      <c r="B10" s="129"/>
      <c r="C10" s="5"/>
      <c r="D10" s="5"/>
      <c r="E10" s="133"/>
      <c r="F10" s="133"/>
      <c r="G10" s="133"/>
      <c r="H10" s="129"/>
      <c r="I10" s="129"/>
    </row>
    <row r="11" spans="1:9" ht="15" customHeight="1">
      <c r="A11" s="129"/>
      <c r="B11" s="129"/>
      <c r="C11" s="5"/>
      <c r="D11" s="133"/>
      <c r="E11" s="133"/>
      <c r="F11" s="133"/>
      <c r="G11" s="133"/>
      <c r="H11" s="129"/>
      <c r="I11" s="129"/>
    </row>
    <row r="12" spans="1:9" ht="15" customHeight="1">
      <c r="A12" s="129"/>
      <c r="B12" s="129"/>
      <c r="C12" s="5"/>
      <c r="D12" s="133"/>
      <c r="E12" s="133"/>
      <c r="F12" s="133"/>
      <c r="G12" s="133"/>
      <c r="H12" s="129"/>
      <c r="I12" s="129"/>
    </row>
    <row r="13" spans="1:9" ht="15" customHeight="1">
      <c r="A13" s="134" t="e">
        <f>'1-1'!A6:M7</f>
        <v>#VALUE!</v>
      </c>
      <c r="B13" s="134"/>
      <c r="C13" s="134"/>
      <c r="D13" s="134"/>
      <c r="E13" s="134"/>
      <c r="F13" s="134"/>
      <c r="G13" s="134"/>
      <c r="H13" s="134"/>
      <c r="I13" s="134"/>
    </row>
    <row r="14" spans="1:9" ht="15" customHeight="1">
      <c r="A14" s="134"/>
      <c r="B14" s="134"/>
      <c r="C14" s="134"/>
      <c r="D14" s="134"/>
      <c r="E14" s="134"/>
      <c r="F14" s="134"/>
      <c r="G14" s="134"/>
      <c r="H14" s="134"/>
      <c r="I14" s="134"/>
    </row>
    <row r="15" spans="1:9" ht="15" customHeight="1">
      <c r="A15" s="134"/>
      <c r="B15" s="134"/>
      <c r="C15" s="134"/>
      <c r="D15" s="134"/>
      <c r="E15" s="134"/>
      <c r="F15" s="134"/>
      <c r="G15" s="134"/>
      <c r="H15" s="134"/>
      <c r="I15" s="134"/>
    </row>
    <row r="16" spans="1:9" s="12" customFormat="1" ht="39.950000000000003" customHeight="1">
      <c r="A16" s="127" t="s">
        <v>2</v>
      </c>
      <c r="B16" s="135" t="s">
        <v>3</v>
      </c>
      <c r="C16" s="138" t="s">
        <v>7</v>
      </c>
      <c r="D16" s="138" t="s">
        <v>8</v>
      </c>
      <c r="E16" s="138" t="s">
        <v>7</v>
      </c>
      <c r="F16" s="138" t="s">
        <v>8</v>
      </c>
      <c r="G16" s="130" t="s">
        <v>180</v>
      </c>
      <c r="H16" s="127" t="s">
        <v>181</v>
      </c>
      <c r="I16" s="127" t="s">
        <v>5</v>
      </c>
    </row>
    <row r="17" spans="1:10" s="12" customFormat="1" ht="39.950000000000003" customHeight="1">
      <c r="A17" s="127"/>
      <c r="B17" s="136"/>
      <c r="C17" s="139"/>
      <c r="D17" s="139"/>
      <c r="E17" s="139"/>
      <c r="F17" s="139"/>
      <c r="G17" s="131"/>
      <c r="H17" s="127"/>
      <c r="I17" s="127"/>
    </row>
    <row r="18" spans="1:10" s="12" customFormat="1" ht="39.950000000000003" customHeight="1">
      <c r="A18" s="127"/>
      <c r="B18" s="137"/>
      <c r="C18" s="140"/>
      <c r="D18" s="140"/>
      <c r="E18" s="140"/>
      <c r="F18" s="140"/>
      <c r="G18" s="132"/>
      <c r="H18" s="127"/>
      <c r="I18" s="127"/>
    </row>
    <row r="19" spans="1:10" s="12" customFormat="1" ht="39.950000000000003" customHeight="1">
      <c r="A19" s="22">
        <v>1</v>
      </c>
      <c r="B19" s="22">
        <v>2</v>
      </c>
      <c r="C19" s="22">
        <v>3</v>
      </c>
      <c r="D19" s="22">
        <v>4</v>
      </c>
      <c r="E19" s="22">
        <v>3</v>
      </c>
      <c r="F19" s="22">
        <v>4</v>
      </c>
      <c r="G19" s="22">
        <v>5</v>
      </c>
      <c r="H19" s="22">
        <v>6</v>
      </c>
      <c r="I19" s="22">
        <v>7</v>
      </c>
    </row>
    <row r="20" spans="1:10" s="12" customFormat="1" ht="80.099999999999994" customHeight="1">
      <c r="A20" s="22"/>
      <c r="B20" s="24" t="str">
        <f>'1-1'!C12</f>
        <v>მოსამზადებელი სამუშაოები</v>
      </c>
      <c r="C20" s="26"/>
      <c r="D20" s="26"/>
      <c r="E20" s="26"/>
      <c r="F20" s="26"/>
      <c r="G20" s="26"/>
      <c r="H20" s="27"/>
      <c r="I20" s="26"/>
    </row>
    <row r="21" spans="1:10" ht="39.950000000000003" customHeight="1">
      <c r="A21" s="33">
        <f>'1-1'!A13</f>
        <v>0</v>
      </c>
      <c r="B21" s="33">
        <f>'1-1'!C13</f>
        <v>0</v>
      </c>
      <c r="C21" s="33">
        <f>'1-1'!D13</f>
        <v>0</v>
      </c>
      <c r="D21" s="33">
        <f>'1-1'!F13</f>
        <v>0</v>
      </c>
      <c r="E21" s="32" t="b">
        <f t="shared" ref="E21" si="0">IF(C21="კმ","კმ",IF(C21="1 ჰა","1 ჰა",IF(C21="100 ც","ც",IF(C21="1 ც","ც",IF(C21="ც","ც",IF(C21="ტ","ტ",IF(C21="1 ტ","ტ",IF(C21="მ³","მ³",IF(C21="1 მ³","მ³",IF(C21="10 მ³","მ³",IF(C21="100 მ³","მ³",IF(C21="1000 მ³","მ³",IF(C21="1000 მ","მ",IF(C21="100 მ","მ",IF(C21="10 მ","მ",IF(C21="10 მ ","მ",IF(C21="მ","მ",IF(C21="1000 მ²","მ²",IF(C21="1000 მ² ","მ²",IF(C21="100 მ²","მ²",IF(C21="100 მ² ","მ²",IF(C21="10 მ²","მ²",IF(C21="მ² ","მ²",IF(C21="ლარი","ლარი",IF(C21="ხიდი","ლარი",IF(C21="100 მ","მ",IF(C21="გ.მ.","მ")))))))))))))))))))))))))))</f>
        <v>0</v>
      </c>
      <c r="F21" s="27" t="b">
        <f t="shared" ref="F21" si="1">IF(C21="კმ",D21,IF(C21="1 ჰა",D21,IF(C21="100 ც",D21*100,IF(C21="1 ც",D21,IF(C21="ც",D21,IF(C21="ტ",D21,IF(C21="1 ტ",D21,IF(C21="მ³",D21,IF(C21="1 მ³",D21,IF(C21="10 მ³",D21*10,IF(C21="100 მ³",D21*100,IF(C21="1000 მ³",D21*1000,IF(C21="1000 მ",D21*1000,IF(C21="100 მ",D21*100,IF(C21="10 მ",D21*10,IF(C21="10 მ ",D21*10,IF(C21="მ",D21,IF(C21="1000 მ²",D21*1000,IF(C21="1000 მ² ",D21*1000,IF(C21="100 მ²",D21*100,IF(C21="100 მ² ",D21*100,IF(C21="10 მ²",D21*10,IF(C21="მ² ",D21,IF(C21="ლარი",D21,IF(C21="ხიდი",D21,IF(C21="100 მ",D21*100,IF(C21="გ.მ.",D21)))))))))))))))))))))))))))</f>
        <v>0</v>
      </c>
      <c r="G21" s="32" t="e">
        <f t="shared" ref="G21" si="2">ROUND(H21/F21,2)</f>
        <v>#DIV/0!</v>
      </c>
      <c r="H21" s="33">
        <f>'1-1'!M13</f>
        <v>0</v>
      </c>
      <c r="I21" s="33">
        <f>'1-1'!B13</f>
        <v>0</v>
      </c>
    </row>
    <row r="22" spans="1:10" s="12" customFormat="1" ht="39.950000000000003" customHeight="1">
      <c r="A22" s="28"/>
      <c r="B22" s="22" t="s">
        <v>4</v>
      </c>
      <c r="C22" s="26"/>
      <c r="D22" s="27"/>
      <c r="E22" s="27"/>
      <c r="F22" s="32"/>
      <c r="G22" s="27"/>
      <c r="H22" s="27">
        <f>ROUND(SUM(H21:H21),2)</f>
        <v>0</v>
      </c>
      <c r="I22" s="34"/>
    </row>
    <row r="23" spans="1:10" s="12" customFormat="1" ht="39.950000000000003" customHeight="1">
      <c r="A23" s="28"/>
      <c r="B23" s="22" t="s">
        <v>10</v>
      </c>
      <c r="C23" s="26"/>
      <c r="D23" s="26"/>
      <c r="E23" s="35" t="s">
        <v>12</v>
      </c>
      <c r="F23" s="26">
        <v>10</v>
      </c>
      <c r="G23" s="26"/>
      <c r="H23" s="27">
        <f>ROUND(H22*F23%,2)</f>
        <v>0</v>
      </c>
      <c r="I23" s="34"/>
    </row>
    <row r="24" spans="1:10" s="12" customFormat="1" ht="39.950000000000003" customHeight="1">
      <c r="A24" s="28"/>
      <c r="B24" s="22" t="s">
        <v>4</v>
      </c>
      <c r="C24" s="26"/>
      <c r="D24" s="26"/>
      <c r="E24" s="32"/>
      <c r="F24" s="26"/>
      <c r="G24" s="32"/>
      <c r="H24" s="32">
        <f>ROUND(SUM(H22:H23),2)</f>
        <v>0</v>
      </c>
      <c r="I24" s="34"/>
    </row>
    <row r="25" spans="1:10" s="12" customFormat="1" ht="39.950000000000003" customHeight="1">
      <c r="A25" s="28"/>
      <c r="B25" s="22" t="s">
        <v>11</v>
      </c>
      <c r="C25" s="26"/>
      <c r="D25" s="26"/>
      <c r="E25" s="35" t="s">
        <v>12</v>
      </c>
      <c r="F25" s="26">
        <v>8</v>
      </c>
      <c r="G25" s="26"/>
      <c r="H25" s="27">
        <f>ROUND(H24*F25%,2)</f>
        <v>0</v>
      </c>
      <c r="I25" s="34"/>
    </row>
    <row r="26" spans="1:10" s="12" customFormat="1" ht="39.950000000000003" customHeight="1">
      <c r="A26" s="28"/>
      <c r="B26" s="22" t="s">
        <v>4</v>
      </c>
      <c r="C26" s="26"/>
      <c r="D26" s="26"/>
      <c r="E26" s="26"/>
      <c r="F26" s="26"/>
      <c r="G26" s="26"/>
      <c r="H26" s="27">
        <f>ROUND(SUM(H24:H25),2)</f>
        <v>0</v>
      </c>
      <c r="I26" s="34"/>
    </row>
    <row r="27" spans="1:10" s="12" customFormat="1" ht="80.099999999999994" customHeight="1">
      <c r="A27" s="22"/>
      <c r="B27" s="24" t="str">
        <f>'2-1'!C7</f>
        <v>მიწის ვაკისი</v>
      </c>
      <c r="C27" s="26"/>
      <c r="D27" s="26"/>
      <c r="E27" s="26"/>
      <c r="F27" s="26"/>
      <c r="G27" s="26"/>
      <c r="H27" s="27"/>
      <c r="I27" s="26"/>
    </row>
    <row r="28" spans="1:10" ht="39.950000000000003" customHeight="1">
      <c r="A28" s="36">
        <f>'2-1'!A9</f>
        <v>1.1000000000000001</v>
      </c>
      <c r="B28" s="33" t="str">
        <f>'2-1'!C9</f>
        <v>ტერიტორიის მოშანდაკება</v>
      </c>
      <c r="C28" s="33" t="str">
        <f>'2-1'!D9</f>
        <v>მ2</v>
      </c>
      <c r="D28" s="33">
        <f>'2-1'!F9</f>
        <v>500</v>
      </c>
      <c r="E28" s="32" t="b">
        <f t="shared" ref="E28" si="3">IF(C28="კმ","კმ",IF(C28="1 ჰა","1 ჰა",IF(C28="100 ც","ც",IF(C28="1 ც","ც",IF(C28="ც","ც",IF(C28="ტ","ტ",IF(C28="1 ტ","ტ",IF(C28="მ³","მ³",IF(C28="1 მ³","მ³",IF(C28="10 მ³","მ³",IF(C28="100 მ³","მ³",IF(C28="1000 მ³","მ³",IF(C28="1000 მ","მ",IF(C28="100 მ","მ",IF(C28="10 მ","მ",IF(C28="10 მ ","მ",IF(C28="მ","მ",IF(C28="1000 მ²","მ²",IF(C28="1000 მ² ","მ²",IF(C28="100 მ²","მ²",IF(C28="100 მ² ","მ²",IF(C28="10 მ²","მ²",IF(C28="მ² ","მ²",IF(C28="ლარი","ლარი",IF(C28="ხიდი","ლარი",IF(C28="100 მ","მ",IF(C28="გ.მ.","მ")))))))))))))))))))))))))))</f>
        <v>0</v>
      </c>
      <c r="F28" s="32" t="b">
        <f t="shared" ref="F28" si="4">IF(C28="კმ",D28,IF(C28="1 ჰა",D28,IF(C28="100 ც",D28*100,IF(C28="1 ც",D28,IF(C28="ც",D28,IF(C28="ტ",D28,IF(C28="1 ტ",D28,IF(C28="მ³",D28,IF(C28="1 მ³",D28,IF(C28="10 მ³",D28*10,IF(C28="100 მ³",D28*100,IF(C28="1000 მ³",D28*1000,IF(C28="1000 მ",D28*1000,IF(C28="100 მ",D28*100,IF(C28="10 მ",D28*10,IF(C28="10 მ ",D28*10,IF(C28="მ",D28,IF(C28="1000 მ²",D28*1000,IF(C28="1000 მ² ",D28*1000,IF(C28="100 მ²",D28*100,IF(C28="100 მ² ",D28*100,IF(C28="10 მ²",D28*10,IF(C28="მ² ",D28,IF(C28="ლარი",D28,IF(C28="ხიდი",D28,IF(C28="100 მ",D28*100,IF(C28="გ.მ.",D28)))))))))))))))))))))))))))</f>
        <v>0</v>
      </c>
      <c r="G28" s="32" t="e">
        <f t="shared" ref="G28" si="5">ROUND(H28/F28,2)</f>
        <v>#DIV/0!</v>
      </c>
      <c r="H28" s="33">
        <f>'2-1'!M9</f>
        <v>0</v>
      </c>
      <c r="I28" s="33" t="str">
        <f>'2-1'!B9</f>
        <v>1-68-3</v>
      </c>
      <c r="J28" s="7"/>
    </row>
    <row r="29" spans="1:10" s="12" customFormat="1" ht="39.950000000000003" customHeight="1">
      <c r="A29" s="28"/>
      <c r="B29" s="22" t="s">
        <v>4</v>
      </c>
      <c r="C29" s="26"/>
      <c r="D29" s="27"/>
      <c r="E29" s="27"/>
      <c r="F29" s="32"/>
      <c r="G29" s="27"/>
      <c r="H29" s="27">
        <f>ROUND(SUM(H28:H28),2)</f>
        <v>0</v>
      </c>
      <c r="I29" s="34"/>
    </row>
    <row r="30" spans="1:10" s="12" customFormat="1" ht="39.950000000000003" customHeight="1">
      <c r="A30" s="28"/>
      <c r="B30" s="22" t="s">
        <v>10</v>
      </c>
      <c r="C30" s="26"/>
      <c r="D30" s="26"/>
      <c r="E30" s="35" t="s">
        <v>12</v>
      </c>
      <c r="F30" s="26">
        <v>10</v>
      </c>
      <c r="G30" s="26"/>
      <c r="H30" s="27">
        <f>ROUND(H29*F30%,2)</f>
        <v>0</v>
      </c>
      <c r="I30" s="34"/>
    </row>
    <row r="31" spans="1:10" s="12" customFormat="1" ht="39.950000000000003" customHeight="1">
      <c r="A31" s="28"/>
      <c r="B31" s="22" t="s">
        <v>4</v>
      </c>
      <c r="C31" s="26"/>
      <c r="D31" s="26"/>
      <c r="E31" s="32"/>
      <c r="F31" s="26"/>
      <c r="G31" s="32"/>
      <c r="H31" s="32">
        <f>ROUND(SUM(H29:H30),2)</f>
        <v>0</v>
      </c>
      <c r="I31" s="34"/>
    </row>
    <row r="32" spans="1:10" s="12" customFormat="1" ht="39.950000000000003" customHeight="1">
      <c r="A32" s="28"/>
      <c r="B32" s="22" t="s">
        <v>11</v>
      </c>
      <c r="C32" s="26"/>
      <c r="D32" s="26"/>
      <c r="E32" s="35" t="s">
        <v>12</v>
      </c>
      <c r="F32" s="26">
        <v>8</v>
      </c>
      <c r="G32" s="26"/>
      <c r="H32" s="27">
        <f>ROUND(H31*F32%,2)</f>
        <v>0</v>
      </c>
      <c r="I32" s="34"/>
    </row>
    <row r="33" spans="1:9" s="12" customFormat="1" ht="39.950000000000003" customHeight="1">
      <c r="A33" s="28"/>
      <c r="B33" s="22" t="s">
        <v>4</v>
      </c>
      <c r="C33" s="26"/>
      <c r="D33" s="26"/>
      <c r="E33" s="26"/>
      <c r="F33" s="26"/>
      <c r="G33" s="26"/>
      <c r="H33" s="27">
        <f>ROUND(SUM(H31:H32),2)</f>
        <v>0</v>
      </c>
      <c r="I33" s="34"/>
    </row>
    <row r="34" spans="1:9" s="12" customFormat="1" ht="80.099999999999994" customHeight="1">
      <c r="A34" s="22"/>
      <c r="B34" s="24" t="str">
        <f>'4-1'!C7</f>
        <v>საგზაო სამოსი</v>
      </c>
      <c r="C34" s="26"/>
      <c r="D34" s="26"/>
      <c r="E34" s="26"/>
      <c r="F34" s="26"/>
      <c r="G34" s="26"/>
      <c r="H34" s="27"/>
      <c r="I34" s="26"/>
    </row>
    <row r="35" spans="1:9" ht="39.950000000000003" customHeight="1">
      <c r="A35" s="33">
        <f>'4-1'!A8</f>
        <v>0</v>
      </c>
      <c r="B35" s="33">
        <f>'4-1'!C8</f>
        <v>0</v>
      </c>
      <c r="C35" s="33">
        <f>'4-1'!D8</f>
        <v>0</v>
      </c>
      <c r="D35" s="33">
        <f>'4-1'!F8</f>
        <v>0</v>
      </c>
      <c r="E35" s="32" t="b">
        <f t="shared" ref="E35" si="6">IF(C35="კმ","კმ",IF(C35="1 ჰა","1 ჰა",IF(C35="100 ც","ც",IF(C35="1 ც","ც",IF(C35="ც","ც",IF(C35="ტ","ტ",IF(C35="1 ტ","ტ",IF(C35="მ³","მ³",IF(C35="1 მ³","მ³",IF(C35="10 მ³","მ³",IF(C35="100 მ³","მ³",IF(C35="1000 მ³","მ³",IF(C35="1000 მ","მ",IF(C35="100 მ","მ",IF(C35="10 მ","მ",IF(C35="10 მ ","მ",IF(C35="მ","მ",IF(C35="1000 მ²","მ²",IF(C35="1000 მ² ","მ²",IF(C35="100 მ²","მ²",IF(C35="100 მ² ","მ²",IF(C35="10 მ²","მ²",IF(C35="მ² ","მ²",IF(C35="ლარი","ლარი",IF(C35="ხიდი","ლარი",IF(C35="100 მ","მ",IF(C35="გ.მ.","მ")))))))))))))))))))))))))))</f>
        <v>0</v>
      </c>
      <c r="F35" s="32" t="b">
        <f t="shared" ref="F35" si="7">IF(C35="კმ",D35,IF(C35="1 ჰა",D35,IF(C35="100 ც",D35*100,IF(C35="1 ც",D35,IF(C35="ც",D35,IF(C35="ტ",D35,IF(C35="1 ტ",D35,IF(C35="მ³",D35,IF(C35="1 მ³",D35,IF(C35="10 მ³",D35*10,IF(C35="100 მ³",D35*100,IF(C35="1000 მ³",D35*1000,IF(C35="1000 მ",D35*1000,IF(C35="100 მ",D35*100,IF(C35="10 მ",D35*10,IF(C35="10 მ ",D35*10,IF(C35="მ",D35,IF(C35="1000 მ²",D35*1000,IF(C35="1000 მ² ",D35*1000,IF(C35="100 მ²",D35*100,IF(C35="100 მ² ",D35*100,IF(C35="10 მ²",D35*10,IF(C35="მ² ",D35,IF(C35="ლარი",D35,IF(C35="ხიდი",D35,IF(C35="100 მ",D35*100,IF(C35="გ.მ.",D35)))))))))))))))))))))))))))</f>
        <v>0</v>
      </c>
      <c r="G35" s="32" t="e">
        <f t="shared" ref="G35" si="8">ROUND(H35/F35,2)</f>
        <v>#DIV/0!</v>
      </c>
      <c r="H35" s="33">
        <f>'4-1'!M8</f>
        <v>0</v>
      </c>
      <c r="I35" s="33">
        <f>'4-1'!B8</f>
        <v>0</v>
      </c>
    </row>
    <row r="36" spans="1:9" ht="39.950000000000003" customHeight="1">
      <c r="A36" s="33" t="str">
        <f>'4-1'!A18</f>
        <v>1.1.8</v>
      </c>
      <c r="B36" s="33" t="str">
        <f>'4-1'!C18</f>
        <v>წყალი</v>
      </c>
      <c r="C36" s="33" t="str">
        <f>'4-1'!D18</f>
        <v>მ³</v>
      </c>
      <c r="D36" s="33">
        <f>'4-1'!F18</f>
        <v>0</v>
      </c>
      <c r="E36" s="32" t="str">
        <f t="shared" ref="E36:E39" si="9">IF(C36="კმ","კმ",IF(C36="1 ჰა","1 ჰა",IF(C36="100 ც","ც",IF(C36="1 ც","ც",IF(C36="ც","ც",IF(C36="ტ","ტ",IF(C36="1 ტ","ტ",IF(C36="მ³","მ³",IF(C36="1 მ³","მ³",IF(C36="10 მ³","მ³",IF(C36="100 მ³","მ³",IF(C36="1000 მ³","მ³",IF(C36="1000 მ","მ",IF(C36="100 მ","მ",IF(C36="10 მ","მ",IF(C36="10 მ ","მ",IF(C36="მ","მ",IF(C36="1000 მ²","მ²",IF(C36="1000 მ² ","მ²",IF(C36="100 მ²","მ²",IF(C36="100 მ² ","მ²",IF(C36="10 მ²","მ²",IF(C36="მ² ","მ²",IF(C36="ლარი","ლარი",IF(C36="ხიდი","ლარი",IF(C36="100 მ","მ",IF(C36="გ.მ.","მ")))))))))))))))))))))))))))</f>
        <v>მ³</v>
      </c>
      <c r="F36" s="32">
        <f t="shared" ref="F36:F39" si="10">IF(C36="კმ",D36,IF(C36="1 ჰა",D36,IF(C36="100 ც",D36*100,IF(C36="1 ც",D36,IF(C36="ც",D36,IF(C36="ტ",D36,IF(C36="1 ტ",D36,IF(C36="მ³",D36,IF(C36="1 მ³",D36,IF(C36="10 მ³",D36*10,IF(C36="100 მ³",D36*100,IF(C36="1000 მ³",D36*1000,IF(C36="1000 მ",D36*1000,IF(C36="100 მ",D36*100,IF(C36="10 მ",D36*10,IF(C36="10 მ ",D36*10,IF(C36="მ",D36,IF(C36="1000 მ²",D36*1000,IF(C36="1000 მ² ",D36*1000,IF(C36="100 მ²",D36*100,IF(C36="100 მ² ",D36*100,IF(C36="10 მ²",D36*10,IF(C36="მ² ",D36,IF(C36="ლარი",D36,IF(C36="ხიდი",D36,IF(C36="100 მ",D36*100,IF(C36="გ.მ.",D36)))))))))))))))))))))))))))</f>
        <v>0</v>
      </c>
      <c r="G36" s="32" t="e">
        <f t="shared" ref="G36:G39" si="11">ROUND(H36/F36,2)</f>
        <v>#DIV/0!</v>
      </c>
      <c r="H36" s="33">
        <f>'4-1'!M18</f>
        <v>0</v>
      </c>
      <c r="I36" s="33">
        <f>'4-1'!B18</f>
        <v>0</v>
      </c>
    </row>
    <row r="37" spans="1:9" ht="39.950000000000003" customHeight="1">
      <c r="A37" s="33">
        <f>'4-1'!A21</f>
        <v>1.2</v>
      </c>
      <c r="B37" s="33" t="str">
        <f>'4-1'!C21</f>
        <v>თხევადი ბიტუმის მოსხმა</v>
      </c>
      <c r="C37" s="33" t="str">
        <f>'4-1'!D21</f>
        <v>ტ</v>
      </c>
      <c r="D37" s="33">
        <f>'4-1'!F21</f>
        <v>0.26</v>
      </c>
      <c r="E37" s="32" t="str">
        <f t="shared" si="9"/>
        <v>ტ</v>
      </c>
      <c r="F37" s="32">
        <f t="shared" si="10"/>
        <v>0.26</v>
      </c>
      <c r="G37" s="32">
        <f t="shared" si="11"/>
        <v>0</v>
      </c>
      <c r="H37" s="33">
        <f>'4-1'!M21</f>
        <v>0</v>
      </c>
      <c r="I37" s="33" t="str">
        <f>'4-1'!B21</f>
        <v>27-63-1</v>
      </c>
    </row>
    <row r="38" spans="1:9" ht="39.950000000000003" customHeight="1">
      <c r="A38" s="33" t="str">
        <f>'4-1'!A29</f>
        <v>1.3.3</v>
      </c>
      <c r="B38" s="33" t="str">
        <f>'4-1'!C29</f>
        <v>თვითმავალი სატკეპნი საგზაო გლუვი 5 ტ</v>
      </c>
      <c r="C38" s="33" t="str">
        <f>'4-1'!D29</f>
        <v>მანქ/სთ</v>
      </c>
      <c r="D38" s="33">
        <f>'4-1'!F29</f>
        <v>1.6132</v>
      </c>
      <c r="E38" s="32" t="b">
        <f t="shared" si="9"/>
        <v>0</v>
      </c>
      <c r="F38" s="32" t="b">
        <f t="shared" si="10"/>
        <v>0</v>
      </c>
      <c r="G38" s="32" t="e">
        <f t="shared" si="11"/>
        <v>#DIV/0!</v>
      </c>
      <c r="H38" s="33">
        <f>'4-1'!M29</f>
        <v>0</v>
      </c>
      <c r="I38" s="33" t="str">
        <f>'4-1'!B29</f>
        <v>14-1-218</v>
      </c>
    </row>
    <row r="39" spans="1:9" ht="39.950000000000003" customHeight="1">
      <c r="A39" s="33" t="str">
        <f>'4-1'!A32</f>
        <v>1.3.6</v>
      </c>
      <c r="B39" s="33" t="str">
        <f>'4-1'!C32</f>
        <v>მსხვილმარცვლოვანი ასფალტობეტონი</v>
      </c>
      <c r="C39" s="33" t="str">
        <f>'4-1'!D32</f>
        <v>ტ</v>
      </c>
      <c r="D39" s="33">
        <f>'4-1'!F32</f>
        <v>63.568800000000003</v>
      </c>
      <c r="E39" s="32" t="str">
        <f t="shared" si="9"/>
        <v>ტ</v>
      </c>
      <c r="F39" s="32">
        <f t="shared" si="10"/>
        <v>63.568800000000003</v>
      </c>
      <c r="G39" s="32">
        <f t="shared" si="11"/>
        <v>0</v>
      </c>
      <c r="H39" s="33">
        <f>'4-1'!M32</f>
        <v>0</v>
      </c>
      <c r="I39" s="33" t="str">
        <f>'4-1'!B32</f>
        <v>4-1-522</v>
      </c>
    </row>
    <row r="40" spans="1:9" ht="39.950000000000003" customHeight="1">
      <c r="A40" s="33">
        <f>'4-1'!A50</f>
        <v>0</v>
      </c>
      <c r="B40" s="33">
        <f>'4-1'!C50</f>
        <v>0</v>
      </c>
      <c r="C40" s="33" t="str">
        <f>'4-1'!D50</f>
        <v xml:space="preserve">100 მ </v>
      </c>
      <c r="D40" s="33">
        <f>'4-1'!F50</f>
        <v>0.59</v>
      </c>
      <c r="E40" s="32" t="b">
        <f t="shared" ref="E40:E42" si="12">IF(C40="კმ","კმ",IF(C40="1 ჰა","1 ჰა",IF(C40="100 ც","ც",IF(C40="1 ც","ც",IF(C40="ც","ც",IF(C40="ტ","ტ",IF(C40="1 ტ","ტ",IF(C40="მ³","მ³",IF(C40="1 მ³","მ³",IF(C40="10 მ³","მ³",IF(C40="100 მ³","მ³",IF(C40="1000 მ³","მ³",IF(C40="1000 მ","მ",IF(C40="100 მ","მ",IF(C40="10 მ","მ",IF(C40="10 მ ","მ",IF(C40="მ","მ",IF(C40="1000 მ²","მ²",IF(C40="1000 მ² ","მ²",IF(C40="100 მ²","მ²",IF(C40="100 მ² ","მ²",IF(C40="10 მ²","მ²",IF(C40="მ² ","მ²",IF(C40="ლარი","ლარი",IF(C40="ხიდი","ლარი",IF(C40="100 მ","მ",IF(C40="გ.მ.","მ")))))))))))))))))))))))))))</f>
        <v>0</v>
      </c>
      <c r="F40" s="32" t="b">
        <f t="shared" ref="F40:F42" si="13">IF(C40="კმ",D40,IF(C40="1 ჰა",D40,IF(C40="100 ც",D40*100,IF(C40="1 ც",D40,IF(C40="ც",D40,IF(C40="ტ",D40,IF(C40="1 ტ",D40,IF(C40="მ³",D40,IF(C40="1 მ³",D40,IF(C40="10 მ³",D40*10,IF(C40="100 მ³",D40*100,IF(C40="1000 მ³",D40*1000,IF(C40="1000 მ",D40*1000,IF(C40="100 მ",D40*100,IF(C40="10 მ",D40*10,IF(C40="10 მ ",D40*10,IF(C40="მ",D40,IF(C40="1000 მ²",D40*1000,IF(C40="1000 მ² ",D40*1000,IF(C40="100 მ²",D40*100,IF(C40="100 მ² ",D40*100,IF(C40="10 მ²",D40*10,IF(C40="მ² ",D40,IF(C40="ლარი",D40,IF(C40="ხიდი",D40,IF(C40="100 მ",D40*100,IF(C40="გ.მ.",D40)))))))))))))))))))))))))))</f>
        <v>0</v>
      </c>
      <c r="G40" s="32" t="e">
        <f t="shared" ref="G40:G42" si="14">ROUND(H40/F40,2)</f>
        <v>#DIV/0!</v>
      </c>
      <c r="H40" s="33">
        <f>'4-1'!M50</f>
        <v>0</v>
      </c>
      <c r="I40" s="33">
        <f>'4-1'!B50</f>
        <v>0</v>
      </c>
    </row>
    <row r="41" spans="1:9" ht="39.950000000000003" customHeight="1">
      <c r="A41" s="33">
        <f>'4-1'!A58</f>
        <v>1.8</v>
      </c>
      <c r="B41" s="33" t="str">
        <f>'4-1'!C58</f>
        <v>ტროტუარის საფუძვლის მოწყობა ქვიშა-ღორღით, სისქით 8 სმ</v>
      </c>
      <c r="C41" s="33" t="str">
        <f>'4-1'!D58</f>
        <v>10 მ³</v>
      </c>
      <c r="D41" s="33">
        <f>'4-1'!F58</f>
        <v>0</v>
      </c>
      <c r="E41" s="32" t="str">
        <f t="shared" si="12"/>
        <v>მ³</v>
      </c>
      <c r="F41" s="32">
        <f t="shared" si="13"/>
        <v>0</v>
      </c>
      <c r="G41" s="32" t="e">
        <f t="shared" si="14"/>
        <v>#DIV/0!</v>
      </c>
      <c r="H41" s="33">
        <f>'4-1'!M58</f>
        <v>0</v>
      </c>
      <c r="I41" s="33" t="str">
        <f>'4-1'!B58</f>
        <v>23-1-2</v>
      </c>
    </row>
    <row r="42" spans="1:9" ht="39.950000000000003" customHeight="1">
      <c r="A42" s="33">
        <f>'4-1'!A71</f>
        <v>0</v>
      </c>
      <c r="B42" s="33">
        <f>'4-1'!C71</f>
        <v>0</v>
      </c>
      <c r="C42" s="33" t="str">
        <f>'4-1'!D71</f>
        <v>100 მ2</v>
      </c>
      <c r="D42" s="33">
        <f>'4-1'!F71</f>
        <v>0.55000000000000004</v>
      </c>
      <c r="E42" s="32" t="b">
        <f t="shared" si="12"/>
        <v>0</v>
      </c>
      <c r="F42" s="32" t="b">
        <f t="shared" si="13"/>
        <v>0</v>
      </c>
      <c r="G42" s="32" t="e">
        <f t="shared" si="14"/>
        <v>#DIV/0!</v>
      </c>
      <c r="H42" s="33">
        <f>'4-1'!M71</f>
        <v>0</v>
      </c>
      <c r="I42" s="33">
        <f>'4-1'!B71</f>
        <v>0</v>
      </c>
    </row>
    <row r="43" spans="1:9" s="12" customFormat="1" ht="39.950000000000003" customHeight="1">
      <c r="A43" s="28"/>
      <c r="B43" s="22" t="s">
        <v>4</v>
      </c>
      <c r="C43" s="26"/>
      <c r="D43" s="27"/>
      <c r="E43" s="27"/>
      <c r="F43" s="32"/>
      <c r="G43" s="27"/>
      <c r="H43" s="27">
        <f>ROUND(SUM(H35:H42),2)</f>
        <v>0</v>
      </c>
      <c r="I43" s="34"/>
    </row>
    <row r="44" spans="1:9" s="12" customFormat="1" ht="39.950000000000003" customHeight="1">
      <c r="A44" s="28"/>
      <c r="B44" s="22" t="s">
        <v>10</v>
      </c>
      <c r="C44" s="26"/>
      <c r="D44" s="26"/>
      <c r="E44" s="35" t="s">
        <v>12</v>
      </c>
      <c r="F44" s="26">
        <v>10</v>
      </c>
      <c r="G44" s="26"/>
      <c r="H44" s="27">
        <f>ROUND(H43*F44%,2)</f>
        <v>0</v>
      </c>
      <c r="I44" s="34"/>
    </row>
    <row r="45" spans="1:9" s="12" customFormat="1" ht="39.950000000000003" customHeight="1">
      <c r="A45" s="28"/>
      <c r="B45" s="22" t="s">
        <v>4</v>
      </c>
      <c r="C45" s="26"/>
      <c r="D45" s="26"/>
      <c r="E45" s="32"/>
      <c r="F45" s="26"/>
      <c r="G45" s="32"/>
      <c r="H45" s="27">
        <f>ROUND(SUM(H43:H44),2)</f>
        <v>0</v>
      </c>
      <c r="I45" s="34"/>
    </row>
    <row r="46" spans="1:9" s="12" customFormat="1" ht="39.950000000000003" customHeight="1">
      <c r="A46" s="28"/>
      <c r="B46" s="22" t="s">
        <v>11</v>
      </c>
      <c r="C46" s="26"/>
      <c r="D46" s="26"/>
      <c r="E46" s="35" t="s">
        <v>12</v>
      </c>
      <c r="F46" s="26">
        <v>8</v>
      </c>
      <c r="G46" s="26"/>
      <c r="H46" s="27">
        <f>ROUND(H45*F46%,2)</f>
        <v>0</v>
      </c>
      <c r="I46" s="34"/>
    </row>
    <row r="47" spans="1:9" s="12" customFormat="1" ht="39.75" customHeight="1">
      <c r="A47" s="28"/>
      <c r="B47" s="22" t="s">
        <v>4</v>
      </c>
      <c r="C47" s="26"/>
      <c r="D47" s="26"/>
      <c r="E47" s="26"/>
      <c r="F47" s="26"/>
      <c r="G47" s="26"/>
      <c r="H47" s="27">
        <f>ROUND(SUM(H45:H46),2)</f>
        <v>0</v>
      </c>
      <c r="I47" s="34"/>
    </row>
  </sheetData>
  <mergeCells count="27">
    <mergeCell ref="A5:B6"/>
    <mergeCell ref="E5:G6"/>
    <mergeCell ref="H5:I6"/>
    <mergeCell ref="A1:B1"/>
    <mergeCell ref="A2:B2"/>
    <mergeCell ref="A3:B4"/>
    <mergeCell ref="E3:G4"/>
    <mergeCell ref="H3:I4"/>
    <mergeCell ref="A7:B8"/>
    <mergeCell ref="E7:G8"/>
    <mergeCell ref="H7:I8"/>
    <mergeCell ref="A9:B10"/>
    <mergeCell ref="E9:G10"/>
    <mergeCell ref="H9:I10"/>
    <mergeCell ref="G16:G18"/>
    <mergeCell ref="H16:H18"/>
    <mergeCell ref="I16:I18"/>
    <mergeCell ref="A11:B12"/>
    <mergeCell ref="D11:G12"/>
    <mergeCell ref="H11:I12"/>
    <mergeCell ref="A13:I15"/>
    <mergeCell ref="A16:A18"/>
    <mergeCell ref="B16:B18"/>
    <mergeCell ref="C16:C18"/>
    <mergeCell ref="D16:D18"/>
    <mergeCell ref="E16:E18"/>
    <mergeCell ref="F16:F18"/>
  </mergeCells>
  <pageMargins left="0.7" right="0.7" top="0.75" bottom="0.75" header="0.3" footer="0.3"/>
  <pageSetup paperSize="9"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L242"/>
  <sheetViews>
    <sheetView view="pageBreakPreview" zoomScale="55" zoomScaleNormal="55" zoomScaleSheetLayoutView="55" workbookViewId="0">
      <selection activeCell="Q56" sqref="Q56"/>
    </sheetView>
  </sheetViews>
  <sheetFormatPr defaultRowHeight="19.5"/>
  <cols>
    <col min="1" max="1" width="15.7109375" customWidth="1"/>
    <col min="2" max="2" width="105.7109375" customWidth="1"/>
    <col min="3" max="4" width="12.7109375" customWidth="1"/>
    <col min="5" max="5" width="25.7109375" customWidth="1"/>
    <col min="6" max="7" width="20.7109375" customWidth="1"/>
    <col min="8" max="9" width="13.28515625" customWidth="1"/>
    <col min="10" max="15" width="20.7109375" customWidth="1"/>
    <col min="19" max="20" width="20.7109375" style="16" customWidth="1"/>
  </cols>
  <sheetData>
    <row r="1" spans="1:220">
      <c r="A1" s="141"/>
      <c r="B1" s="141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20">
      <c r="A2" s="141"/>
      <c r="B2" s="141"/>
      <c r="C2" s="5"/>
      <c r="D2" s="5"/>
      <c r="E2" s="5"/>
      <c r="F2" s="5"/>
      <c r="G2" s="5"/>
      <c r="H2" s="5"/>
      <c r="I2" s="5"/>
      <c r="J2" s="5"/>
      <c r="K2" s="5"/>
      <c r="L2" s="5"/>
      <c r="S2" s="145" t="s">
        <v>95</v>
      </c>
      <c r="T2" s="145"/>
      <c r="U2" s="16">
        <v>1</v>
      </c>
      <c r="V2" s="16">
        <v>2</v>
      </c>
      <c r="W2" s="16">
        <v>3</v>
      </c>
      <c r="X2" s="16">
        <v>4</v>
      </c>
      <c r="Y2" s="16">
        <v>5</v>
      </c>
      <c r="Z2" s="16">
        <v>6</v>
      </c>
      <c r="AA2" s="16">
        <v>7</v>
      </c>
      <c r="AB2" s="16">
        <v>8</v>
      </c>
      <c r="AC2" s="16">
        <v>9</v>
      </c>
      <c r="AD2" s="16">
        <v>10</v>
      </c>
      <c r="AE2" s="16">
        <v>11</v>
      </c>
      <c r="AF2" s="16">
        <v>12</v>
      </c>
      <c r="AG2" s="16">
        <v>13</v>
      </c>
      <c r="AH2" s="16">
        <v>14</v>
      </c>
      <c r="AI2" s="16">
        <v>15</v>
      </c>
      <c r="AJ2" s="16">
        <v>16</v>
      </c>
      <c r="AK2" s="16">
        <v>17</v>
      </c>
      <c r="AL2" s="16">
        <v>18</v>
      </c>
      <c r="AM2" s="16">
        <v>19</v>
      </c>
      <c r="AN2" s="16">
        <v>20</v>
      </c>
      <c r="AO2" s="16">
        <v>21</v>
      </c>
      <c r="AP2" s="16">
        <v>22</v>
      </c>
      <c r="AQ2" s="16">
        <v>23</v>
      </c>
      <c r="AR2" s="16">
        <v>24</v>
      </c>
      <c r="AS2" s="16">
        <v>25</v>
      </c>
      <c r="AT2" s="16">
        <v>26</v>
      </c>
      <c r="AU2" s="16">
        <v>27</v>
      </c>
      <c r="AV2" s="16">
        <v>28</v>
      </c>
      <c r="AW2" s="16">
        <v>29</v>
      </c>
      <c r="AX2" s="16">
        <v>30</v>
      </c>
      <c r="AY2" s="16">
        <v>31</v>
      </c>
      <c r="AZ2" s="16">
        <v>32</v>
      </c>
      <c r="BA2" s="16">
        <v>33</v>
      </c>
      <c r="BB2" s="16">
        <v>34</v>
      </c>
      <c r="BC2" s="16">
        <v>35</v>
      </c>
      <c r="BD2" s="16">
        <v>36</v>
      </c>
      <c r="BE2" s="16">
        <v>37</v>
      </c>
      <c r="BF2" s="16">
        <v>38</v>
      </c>
      <c r="BG2" s="16">
        <v>39</v>
      </c>
      <c r="BH2" s="16">
        <v>40</v>
      </c>
      <c r="BI2" s="16">
        <v>41</v>
      </c>
      <c r="BJ2" s="16">
        <v>42</v>
      </c>
      <c r="BK2" s="16">
        <v>43</v>
      </c>
      <c r="BL2" s="16">
        <v>44</v>
      </c>
      <c r="BM2" s="16">
        <v>45</v>
      </c>
      <c r="BN2" s="16">
        <v>46</v>
      </c>
      <c r="BO2" s="16">
        <v>47</v>
      </c>
      <c r="BP2" s="16">
        <v>48</v>
      </c>
      <c r="BQ2" s="16">
        <v>49</v>
      </c>
      <c r="BR2" s="16">
        <v>50</v>
      </c>
      <c r="BS2" s="16">
        <v>51</v>
      </c>
      <c r="BT2" s="16">
        <v>52</v>
      </c>
      <c r="BU2" s="16">
        <v>53</v>
      </c>
      <c r="BV2" s="16">
        <v>54</v>
      </c>
      <c r="BW2" s="16">
        <v>55</v>
      </c>
      <c r="BX2" s="16">
        <v>56</v>
      </c>
      <c r="BY2" s="16">
        <v>57</v>
      </c>
      <c r="BZ2" s="16">
        <v>58</v>
      </c>
      <c r="CA2" s="16">
        <v>59</v>
      </c>
      <c r="CB2" s="16">
        <v>60</v>
      </c>
      <c r="CC2" s="16">
        <v>61</v>
      </c>
      <c r="CD2" s="16">
        <v>62</v>
      </c>
      <c r="CE2" s="16">
        <v>63</v>
      </c>
      <c r="CF2" s="16">
        <v>64</v>
      </c>
      <c r="CG2" s="16">
        <v>65</v>
      </c>
      <c r="CH2" s="16">
        <v>66</v>
      </c>
      <c r="CI2" s="16">
        <v>67</v>
      </c>
      <c r="CJ2" s="16">
        <v>68</v>
      </c>
      <c r="CK2" s="16">
        <v>69</v>
      </c>
      <c r="CL2" s="16">
        <v>70</v>
      </c>
      <c r="CM2" s="16">
        <v>71</v>
      </c>
      <c r="CN2" s="16">
        <v>72</v>
      </c>
      <c r="CO2" s="16">
        <v>73</v>
      </c>
      <c r="CP2" s="16">
        <v>74</v>
      </c>
      <c r="CQ2" s="16">
        <v>75</v>
      </c>
      <c r="CR2" s="16">
        <v>76</v>
      </c>
      <c r="CS2" s="16">
        <v>77</v>
      </c>
      <c r="CT2" s="16">
        <v>78</v>
      </c>
      <c r="CU2" s="16">
        <v>79</v>
      </c>
      <c r="CV2" s="16">
        <v>80</v>
      </c>
      <c r="CW2" s="16">
        <v>81</v>
      </c>
      <c r="CX2" s="16">
        <v>82</v>
      </c>
      <c r="CY2" s="16">
        <v>83</v>
      </c>
      <c r="CZ2" s="16">
        <v>84</v>
      </c>
      <c r="DA2" s="16">
        <v>85</v>
      </c>
      <c r="DB2" s="16">
        <v>86</v>
      </c>
      <c r="DC2" s="16">
        <v>87</v>
      </c>
      <c r="DD2" s="16">
        <v>88</v>
      </c>
      <c r="DE2" s="16">
        <v>89</v>
      </c>
      <c r="DF2" s="16">
        <v>90</v>
      </c>
      <c r="DG2" s="16">
        <v>91</v>
      </c>
      <c r="DH2" s="16">
        <v>92</v>
      </c>
      <c r="DI2" s="16">
        <v>93</v>
      </c>
      <c r="DJ2" s="16">
        <v>94</v>
      </c>
      <c r="DK2" s="16">
        <v>95</v>
      </c>
      <c r="DL2" s="16">
        <v>96</v>
      </c>
      <c r="DM2" s="16">
        <v>97</v>
      </c>
      <c r="DN2" s="16">
        <v>98</v>
      </c>
      <c r="DO2" s="16">
        <v>99</v>
      </c>
      <c r="DP2" s="16">
        <v>100</v>
      </c>
      <c r="DQ2" s="16">
        <v>101</v>
      </c>
      <c r="DR2" s="16">
        <v>102</v>
      </c>
      <c r="DS2" s="16">
        <v>103</v>
      </c>
      <c r="DT2" s="16">
        <v>104</v>
      </c>
      <c r="DU2" s="16">
        <v>105</v>
      </c>
      <c r="DV2" s="16">
        <v>106</v>
      </c>
      <c r="DW2" s="16">
        <v>107</v>
      </c>
      <c r="DX2" s="16">
        <v>108</v>
      </c>
      <c r="DY2" s="16">
        <v>109</v>
      </c>
      <c r="DZ2" s="16">
        <v>110</v>
      </c>
      <c r="EA2" s="16">
        <v>111</v>
      </c>
      <c r="EB2" s="16">
        <v>112</v>
      </c>
      <c r="EC2" s="16">
        <v>113</v>
      </c>
      <c r="ED2" s="16">
        <v>114</v>
      </c>
      <c r="EE2" s="16">
        <v>115</v>
      </c>
      <c r="EF2" s="16">
        <v>116</v>
      </c>
      <c r="EG2" s="16">
        <v>117</v>
      </c>
      <c r="EH2" s="16">
        <v>118</v>
      </c>
      <c r="EI2" s="16">
        <v>119</v>
      </c>
      <c r="EJ2" s="16">
        <v>120</v>
      </c>
      <c r="EK2" s="16">
        <v>121</v>
      </c>
      <c r="EL2" s="16">
        <v>122</v>
      </c>
      <c r="EM2" s="16">
        <v>123</v>
      </c>
      <c r="EN2" s="16">
        <v>124</v>
      </c>
      <c r="EO2" s="16">
        <v>125</v>
      </c>
      <c r="EP2" s="16">
        <v>126</v>
      </c>
      <c r="EQ2" s="16">
        <v>127</v>
      </c>
      <c r="ER2" s="16">
        <v>128</v>
      </c>
      <c r="ES2" s="16">
        <v>129</v>
      </c>
      <c r="ET2" s="16">
        <v>130</v>
      </c>
      <c r="EU2" s="16">
        <v>131</v>
      </c>
      <c r="EV2" s="16">
        <v>132</v>
      </c>
      <c r="EW2" s="16">
        <v>133</v>
      </c>
      <c r="EX2" s="16">
        <v>134</v>
      </c>
      <c r="EY2" s="16">
        <v>135</v>
      </c>
      <c r="EZ2" s="16">
        <v>136</v>
      </c>
      <c r="FA2" s="16">
        <v>137</v>
      </c>
      <c r="FB2" s="16">
        <v>138</v>
      </c>
      <c r="FC2" s="16">
        <v>139</v>
      </c>
      <c r="FD2" s="16">
        <v>140</v>
      </c>
      <c r="FE2" s="16">
        <v>141</v>
      </c>
      <c r="FF2" s="16">
        <v>142</v>
      </c>
      <c r="FG2" s="16">
        <v>143</v>
      </c>
      <c r="FH2" s="16">
        <v>144</v>
      </c>
      <c r="FI2" s="16">
        <v>145</v>
      </c>
      <c r="FJ2" s="16">
        <v>146</v>
      </c>
      <c r="FK2" s="16">
        <v>147</v>
      </c>
      <c r="FL2" s="16">
        <v>148</v>
      </c>
      <c r="FM2" s="16">
        <v>149</v>
      </c>
      <c r="FN2" s="16">
        <v>150</v>
      </c>
      <c r="FO2" s="16">
        <v>151</v>
      </c>
      <c r="FP2" s="16">
        <v>152</v>
      </c>
      <c r="FQ2" s="16">
        <v>153</v>
      </c>
      <c r="FR2" s="16">
        <v>154</v>
      </c>
      <c r="FS2" s="16">
        <v>155</v>
      </c>
      <c r="FT2" s="16">
        <v>156</v>
      </c>
      <c r="FU2" s="16">
        <v>157</v>
      </c>
      <c r="FV2" s="16">
        <v>158</v>
      </c>
      <c r="FW2" s="16">
        <v>159</v>
      </c>
      <c r="FX2" s="16">
        <v>160</v>
      </c>
      <c r="FY2" s="16">
        <v>161</v>
      </c>
      <c r="FZ2" s="16">
        <v>162</v>
      </c>
      <c r="GA2" s="16">
        <v>163</v>
      </c>
      <c r="GB2" s="16">
        <v>164</v>
      </c>
      <c r="GC2" s="16">
        <v>165</v>
      </c>
      <c r="GD2" s="16">
        <v>166</v>
      </c>
      <c r="GE2" s="16">
        <v>167</v>
      </c>
      <c r="GF2" s="16">
        <v>168</v>
      </c>
      <c r="GG2" s="16">
        <v>169</v>
      </c>
      <c r="GH2" s="16">
        <v>170</v>
      </c>
      <c r="GI2" s="16">
        <v>171</v>
      </c>
      <c r="GJ2" s="16">
        <v>172</v>
      </c>
      <c r="GK2" s="16">
        <v>173</v>
      </c>
      <c r="GL2" s="16">
        <v>174</v>
      </c>
      <c r="GM2" s="16">
        <v>175</v>
      </c>
      <c r="GN2" s="16">
        <v>176</v>
      </c>
      <c r="GO2" s="16">
        <v>177</v>
      </c>
      <c r="GP2" s="16">
        <v>178</v>
      </c>
      <c r="GQ2" s="16">
        <v>179</v>
      </c>
      <c r="GR2" s="16">
        <v>180</v>
      </c>
      <c r="GS2" s="16">
        <v>181</v>
      </c>
      <c r="GT2" s="16">
        <v>182</v>
      </c>
      <c r="GU2" s="16">
        <v>183</v>
      </c>
      <c r="GV2" s="16">
        <v>184</v>
      </c>
      <c r="GW2" s="16">
        <v>185</v>
      </c>
      <c r="GX2" s="16">
        <v>186</v>
      </c>
      <c r="GY2" s="16">
        <v>187</v>
      </c>
      <c r="GZ2" s="16">
        <v>188</v>
      </c>
      <c r="HA2" s="16">
        <v>189</v>
      </c>
      <c r="HB2" s="16">
        <v>190</v>
      </c>
      <c r="HC2" s="16">
        <v>191</v>
      </c>
      <c r="HD2" s="16">
        <v>192</v>
      </c>
      <c r="HE2" s="16">
        <v>193</v>
      </c>
      <c r="HF2" s="16">
        <v>194</v>
      </c>
      <c r="HG2" s="16">
        <v>195</v>
      </c>
      <c r="HH2" s="16">
        <v>196</v>
      </c>
      <c r="HI2" s="16">
        <v>197</v>
      </c>
      <c r="HJ2" s="16">
        <v>198</v>
      </c>
      <c r="HK2" s="16">
        <v>199</v>
      </c>
      <c r="HL2" s="16">
        <v>200</v>
      </c>
    </row>
    <row r="3" spans="1:220" ht="15" customHeight="1">
      <c r="A3" s="129">
        <f>კრებსითი!A1</f>
        <v>0</v>
      </c>
      <c r="B3" s="129"/>
      <c r="C3" s="5"/>
      <c r="D3" s="5"/>
      <c r="E3" s="5"/>
      <c r="F3" s="5"/>
      <c r="G3" s="5"/>
      <c r="H3" s="5"/>
      <c r="I3" s="5"/>
      <c r="J3" s="5"/>
      <c r="K3" s="129"/>
      <c r="L3" s="129"/>
      <c r="S3" s="145" t="s">
        <v>96</v>
      </c>
      <c r="T3" s="145"/>
      <c r="U3" s="16">
        <v>1.55</v>
      </c>
      <c r="V3" s="16">
        <v>1.93</v>
      </c>
      <c r="W3" s="16">
        <v>2.42</v>
      </c>
      <c r="X3" s="16">
        <v>2.84</v>
      </c>
      <c r="Y3" s="16">
        <v>3.32</v>
      </c>
      <c r="Z3" s="16">
        <v>3.8</v>
      </c>
      <c r="AA3" s="16">
        <v>4.26</v>
      </c>
      <c r="AB3" s="16">
        <v>4.7</v>
      </c>
      <c r="AC3" s="16">
        <v>5.17</v>
      </c>
      <c r="AD3" s="16">
        <v>5.63</v>
      </c>
      <c r="AE3" s="16">
        <v>6.27</v>
      </c>
      <c r="AF3" s="16">
        <v>6.73</v>
      </c>
      <c r="AG3" s="16">
        <v>7.24</v>
      </c>
      <c r="AH3" s="16">
        <v>7.54</v>
      </c>
      <c r="AI3" s="16">
        <v>7.82</v>
      </c>
      <c r="AJ3" s="16">
        <v>8.18</v>
      </c>
      <c r="AK3" s="16">
        <v>8.5399999999999991</v>
      </c>
      <c r="AL3" s="16">
        <v>8.94</v>
      </c>
      <c r="AM3" s="16">
        <v>9.31</v>
      </c>
      <c r="AN3" s="16">
        <v>9.75</v>
      </c>
      <c r="AO3" s="16">
        <v>10.79</v>
      </c>
      <c r="AP3" s="16">
        <v>10.79</v>
      </c>
      <c r="AQ3" s="16">
        <v>10.79</v>
      </c>
      <c r="AR3" s="16">
        <v>10.79</v>
      </c>
      <c r="AS3" s="16">
        <v>10.79</v>
      </c>
      <c r="AT3" s="16">
        <v>12.31</v>
      </c>
      <c r="AU3" s="16">
        <v>12.31</v>
      </c>
      <c r="AV3" s="16">
        <v>12.31</v>
      </c>
      <c r="AW3" s="16">
        <v>12.31</v>
      </c>
      <c r="AX3" s="16">
        <v>12.31</v>
      </c>
      <c r="AY3" s="16">
        <v>13.26</v>
      </c>
      <c r="AZ3" s="16">
        <v>13.26</v>
      </c>
      <c r="BA3" s="16">
        <v>13.26</v>
      </c>
      <c r="BB3" s="16">
        <v>13.26</v>
      </c>
      <c r="BC3" s="16">
        <v>13.26</v>
      </c>
      <c r="BD3" s="16">
        <v>14.94</v>
      </c>
      <c r="BE3" s="16">
        <v>14.94</v>
      </c>
      <c r="BF3" s="16">
        <v>14.94</v>
      </c>
      <c r="BG3" s="16">
        <v>14.94</v>
      </c>
      <c r="BH3" s="16">
        <v>14.94</v>
      </c>
      <c r="BI3" s="16">
        <v>16.41</v>
      </c>
      <c r="BJ3" s="16">
        <v>16.41</v>
      </c>
      <c r="BK3" s="16">
        <v>16.41</v>
      </c>
      <c r="BL3" s="16">
        <v>16.41</v>
      </c>
      <c r="BM3" s="16">
        <v>16.41</v>
      </c>
      <c r="BN3" s="16">
        <v>18.14</v>
      </c>
      <c r="BO3" s="16">
        <v>18.14</v>
      </c>
      <c r="BP3" s="16">
        <v>18.14</v>
      </c>
      <c r="BQ3" s="16">
        <v>18.14</v>
      </c>
      <c r="BR3" s="16">
        <v>18.14</v>
      </c>
      <c r="BS3" s="16">
        <v>19.64</v>
      </c>
      <c r="BT3" s="16">
        <v>19.64</v>
      </c>
      <c r="BU3" s="16">
        <v>19.64</v>
      </c>
      <c r="BV3" s="16">
        <v>19.64</v>
      </c>
      <c r="BW3" s="16">
        <v>19.64</v>
      </c>
      <c r="BX3" s="16">
        <v>21.44</v>
      </c>
      <c r="BY3" s="16">
        <v>21.44</v>
      </c>
      <c r="BZ3" s="16">
        <v>21.44</v>
      </c>
      <c r="CA3" s="16">
        <v>21.44</v>
      </c>
      <c r="CB3" s="16">
        <v>21.44</v>
      </c>
      <c r="CC3" s="16">
        <v>22.41</v>
      </c>
      <c r="CD3" s="16">
        <v>22.41</v>
      </c>
      <c r="CE3" s="16">
        <v>22.41</v>
      </c>
      <c r="CF3" s="16">
        <v>22.41</v>
      </c>
      <c r="CG3" s="16">
        <v>22.41</v>
      </c>
      <c r="CH3" s="16">
        <v>23.66</v>
      </c>
      <c r="CI3" s="16">
        <v>23.66</v>
      </c>
      <c r="CJ3" s="16">
        <v>23.66</v>
      </c>
      <c r="CK3" s="16">
        <v>23.66</v>
      </c>
      <c r="CL3" s="16">
        <v>23.66</v>
      </c>
      <c r="CM3" s="16">
        <v>25.25</v>
      </c>
      <c r="CN3" s="16">
        <v>25.25</v>
      </c>
      <c r="CO3" s="16">
        <v>25.25</v>
      </c>
      <c r="CP3" s="16">
        <v>25.25</v>
      </c>
      <c r="CQ3" s="16">
        <v>25.25</v>
      </c>
      <c r="CR3" s="16">
        <v>26.59</v>
      </c>
      <c r="CS3" s="16">
        <v>26.59</v>
      </c>
      <c r="CT3" s="16">
        <v>26.59</v>
      </c>
      <c r="CU3" s="16">
        <v>26.59</v>
      </c>
      <c r="CV3" s="16">
        <v>26.59</v>
      </c>
      <c r="CW3" s="16">
        <v>27.25</v>
      </c>
      <c r="CX3" s="16">
        <v>27.25</v>
      </c>
      <c r="CY3" s="16">
        <v>27.25</v>
      </c>
      <c r="CZ3" s="16">
        <v>27.25</v>
      </c>
      <c r="DA3" s="16">
        <v>27.25</v>
      </c>
      <c r="DB3" s="16">
        <v>28.38</v>
      </c>
      <c r="DC3" s="16">
        <v>28.38</v>
      </c>
      <c r="DD3" s="16">
        <v>28.38</v>
      </c>
      <c r="DE3" s="16">
        <v>28.38</v>
      </c>
      <c r="DF3" s="16">
        <v>28.38</v>
      </c>
      <c r="DG3" s="16">
        <v>29.93</v>
      </c>
      <c r="DH3" s="16">
        <v>29.93</v>
      </c>
      <c r="DI3" s="16">
        <v>29.93</v>
      </c>
      <c r="DJ3" s="16">
        <v>29.93</v>
      </c>
      <c r="DK3" s="16">
        <v>29.93</v>
      </c>
      <c r="DL3" s="16">
        <v>31.25</v>
      </c>
      <c r="DM3" s="16">
        <v>31.25</v>
      </c>
      <c r="DN3" s="16">
        <v>31.25</v>
      </c>
      <c r="DO3" s="16">
        <v>31.25</v>
      </c>
      <c r="DP3" s="16">
        <v>31.25</v>
      </c>
      <c r="DQ3" s="16">
        <v>32.340000000000003</v>
      </c>
      <c r="DR3" s="16">
        <v>32.340000000000003</v>
      </c>
      <c r="DS3" s="16">
        <v>32.340000000000003</v>
      </c>
      <c r="DT3" s="16">
        <v>32.340000000000003</v>
      </c>
      <c r="DU3" s="16">
        <v>32.340000000000003</v>
      </c>
      <c r="DV3" s="16">
        <v>33.64</v>
      </c>
      <c r="DW3" s="16">
        <v>33.64</v>
      </c>
      <c r="DX3" s="16">
        <v>33.64</v>
      </c>
      <c r="DY3" s="16">
        <v>33.64</v>
      </c>
      <c r="DZ3" s="16">
        <v>33.64</v>
      </c>
      <c r="EA3" s="16">
        <v>34.840000000000003</v>
      </c>
      <c r="EB3" s="16">
        <v>34.840000000000003</v>
      </c>
      <c r="EC3" s="16">
        <v>34.840000000000003</v>
      </c>
      <c r="ED3" s="16">
        <v>34.840000000000003</v>
      </c>
      <c r="EE3" s="16">
        <v>34.840000000000003</v>
      </c>
      <c r="EF3" s="16">
        <v>36.14</v>
      </c>
      <c r="EG3" s="16">
        <v>36.14</v>
      </c>
      <c r="EH3" s="16">
        <v>36.14</v>
      </c>
      <c r="EI3" s="16">
        <v>36.14</v>
      </c>
      <c r="EJ3" s="16">
        <v>36.14</v>
      </c>
      <c r="EK3" s="16">
        <v>36.56</v>
      </c>
      <c r="EL3" s="16">
        <v>36.56</v>
      </c>
      <c r="EM3" s="16">
        <v>36.56</v>
      </c>
      <c r="EN3" s="16">
        <v>36.56</v>
      </c>
      <c r="EO3" s="16">
        <v>36.56</v>
      </c>
      <c r="EP3" s="16">
        <v>38.54</v>
      </c>
      <c r="EQ3" s="16">
        <v>38.54</v>
      </c>
      <c r="ER3" s="16">
        <v>38.54</v>
      </c>
      <c r="ES3" s="16">
        <v>38.54</v>
      </c>
      <c r="ET3" s="16">
        <v>38.54</v>
      </c>
      <c r="EU3" s="16">
        <v>39.47</v>
      </c>
      <c r="EV3" s="16">
        <v>39.47</v>
      </c>
      <c r="EW3" s="16">
        <v>39.47</v>
      </c>
      <c r="EX3" s="16">
        <v>39.47</v>
      </c>
      <c r="EY3" s="16">
        <v>39.47</v>
      </c>
      <c r="EZ3" s="16">
        <v>40.69</v>
      </c>
      <c r="FA3" s="16">
        <v>40.69</v>
      </c>
      <c r="FB3" s="16">
        <v>40.69</v>
      </c>
      <c r="FC3" s="16">
        <v>40.69</v>
      </c>
      <c r="FD3" s="16">
        <v>40.69</v>
      </c>
      <c r="FE3" s="16">
        <v>41.88</v>
      </c>
      <c r="FF3" s="16">
        <v>41.88</v>
      </c>
      <c r="FG3" s="16">
        <v>41.88</v>
      </c>
      <c r="FH3" s="16">
        <v>41.88</v>
      </c>
      <c r="FI3" s="16">
        <v>41.88</v>
      </c>
      <c r="FJ3" s="16">
        <v>43.37</v>
      </c>
      <c r="FK3" s="16">
        <v>43.37</v>
      </c>
      <c r="FL3" s="16">
        <v>43.37</v>
      </c>
      <c r="FM3" s="16">
        <v>43.37</v>
      </c>
      <c r="FN3" s="16">
        <v>43.37</v>
      </c>
      <c r="FO3" s="16">
        <v>44.39</v>
      </c>
      <c r="FP3" s="16">
        <v>44.39</v>
      </c>
      <c r="FQ3" s="16">
        <v>44.39</v>
      </c>
      <c r="FR3" s="16">
        <v>44.39</v>
      </c>
      <c r="FS3" s="16">
        <v>44.39</v>
      </c>
      <c r="FT3" s="16">
        <v>45.49</v>
      </c>
      <c r="FU3" s="16">
        <v>45.49</v>
      </c>
      <c r="FV3" s="16">
        <v>45.49</v>
      </c>
      <c r="FW3" s="16">
        <v>45.49</v>
      </c>
      <c r="FX3" s="16">
        <v>45.49</v>
      </c>
      <c r="FY3" s="16">
        <v>46.79</v>
      </c>
      <c r="FZ3" s="16">
        <v>46.79</v>
      </c>
      <c r="GA3" s="16">
        <v>46.79</v>
      </c>
      <c r="GB3" s="16">
        <v>46.79</v>
      </c>
      <c r="GC3" s="16">
        <v>46.79</v>
      </c>
      <c r="GD3" s="16">
        <v>48.52</v>
      </c>
      <c r="GE3" s="16">
        <v>48.52</v>
      </c>
      <c r="GF3" s="16">
        <v>48.52</v>
      </c>
      <c r="GG3" s="16">
        <v>48.52</v>
      </c>
      <c r="GH3" s="16">
        <v>48.52</v>
      </c>
      <c r="GI3" s="16">
        <v>49.72</v>
      </c>
      <c r="GJ3" s="16">
        <v>49.72</v>
      </c>
      <c r="GK3" s="16">
        <v>49.72</v>
      </c>
      <c r="GL3" s="16">
        <v>49.72</v>
      </c>
      <c r="GM3" s="16">
        <v>49.72</v>
      </c>
      <c r="GN3" s="16">
        <v>50.9</v>
      </c>
      <c r="GO3" s="16">
        <v>50.9</v>
      </c>
      <c r="GP3" s="16">
        <v>50.9</v>
      </c>
      <c r="GQ3" s="16">
        <v>50.9</v>
      </c>
      <c r="GR3" s="16">
        <v>50.9</v>
      </c>
      <c r="GS3" s="16">
        <v>52.22</v>
      </c>
      <c r="GT3" s="16">
        <v>52.22</v>
      </c>
      <c r="GU3" s="16">
        <v>52.22</v>
      </c>
      <c r="GV3" s="16">
        <v>52.22</v>
      </c>
      <c r="GW3" s="16">
        <v>52.22</v>
      </c>
      <c r="GX3" s="16">
        <v>53.42</v>
      </c>
      <c r="GY3" s="16">
        <v>53.42</v>
      </c>
      <c r="GZ3" s="16">
        <v>53.42</v>
      </c>
      <c r="HA3" s="16">
        <v>53.42</v>
      </c>
      <c r="HB3" s="16">
        <v>53.42</v>
      </c>
      <c r="HC3" s="16">
        <v>54.07</v>
      </c>
      <c r="HD3" s="16">
        <v>54.07</v>
      </c>
      <c r="HE3" s="16">
        <v>54.07</v>
      </c>
      <c r="HF3" s="16">
        <v>54.07</v>
      </c>
      <c r="HG3" s="16">
        <v>54.07</v>
      </c>
      <c r="HH3" s="16">
        <v>54.71</v>
      </c>
      <c r="HI3" s="16">
        <v>54.71</v>
      </c>
      <c r="HJ3" s="16">
        <v>54.71</v>
      </c>
      <c r="HK3" s="16">
        <v>54.71</v>
      </c>
      <c r="HL3" s="16">
        <v>54.71</v>
      </c>
    </row>
    <row r="4" spans="1:220" ht="15" customHeight="1">
      <c r="A4" s="129"/>
      <c r="B4" s="129"/>
      <c r="C4" s="5"/>
      <c r="D4" s="5"/>
      <c r="E4" s="5"/>
      <c r="F4" s="5"/>
      <c r="G4" s="5"/>
      <c r="H4" s="5"/>
      <c r="I4" s="5"/>
      <c r="J4" s="5"/>
      <c r="K4" s="129"/>
      <c r="L4" s="129"/>
    </row>
    <row r="5" spans="1:220" ht="15" customHeight="1">
      <c r="A5" s="129" t="s">
        <v>28</v>
      </c>
      <c r="B5" s="129"/>
      <c r="C5" s="5"/>
      <c r="D5" s="5"/>
      <c r="E5" s="5"/>
      <c r="F5" s="5"/>
      <c r="G5" s="5"/>
      <c r="H5" s="5"/>
      <c r="I5" s="5"/>
      <c r="J5" s="5"/>
      <c r="K5" s="129"/>
      <c r="L5" s="129"/>
    </row>
    <row r="6" spans="1:220" ht="15" customHeight="1">
      <c r="A6" s="129"/>
      <c r="B6" s="129"/>
      <c r="C6" s="5"/>
      <c r="D6" s="5"/>
      <c r="E6" s="5"/>
      <c r="F6" s="5"/>
      <c r="G6" s="5"/>
      <c r="H6" s="5"/>
      <c r="I6" s="5"/>
      <c r="J6" s="5"/>
      <c r="K6" s="129"/>
      <c r="L6" s="129"/>
    </row>
    <row r="7" spans="1:220" ht="15" customHeight="1">
      <c r="A7" s="129">
        <f>კრებსითი!A3</f>
        <v>0</v>
      </c>
      <c r="B7" s="129"/>
      <c r="C7" s="5"/>
      <c r="D7" s="5"/>
      <c r="E7" s="5"/>
      <c r="F7" s="5"/>
      <c r="G7" s="5"/>
      <c r="H7" s="5"/>
      <c r="I7" s="5"/>
      <c r="J7" s="5"/>
      <c r="K7" s="129"/>
      <c r="L7" s="129"/>
      <c r="S7" s="142"/>
      <c r="T7" s="142"/>
    </row>
    <row r="8" spans="1:220" ht="15" customHeight="1">
      <c r="A8" s="129"/>
      <c r="B8" s="129"/>
      <c r="C8" s="5"/>
      <c r="D8" s="5"/>
      <c r="E8" s="5"/>
      <c r="F8" s="5"/>
      <c r="G8" s="5"/>
      <c r="H8" s="5"/>
      <c r="I8" s="5"/>
      <c r="J8" s="5"/>
      <c r="K8" s="129"/>
      <c r="L8" s="129"/>
      <c r="S8" s="142"/>
      <c r="T8" s="142"/>
    </row>
    <row r="9" spans="1:220" ht="15" customHeight="1">
      <c r="A9" s="129" t="s">
        <v>29</v>
      </c>
      <c r="B9" s="129"/>
      <c r="C9" s="5"/>
      <c r="D9" s="5"/>
      <c r="E9" s="5"/>
      <c r="F9" s="5"/>
      <c r="G9" s="5"/>
      <c r="H9" s="5"/>
      <c r="I9" s="5"/>
      <c r="J9" s="5"/>
      <c r="K9" s="129"/>
      <c r="L9" s="129"/>
      <c r="S9" s="142"/>
      <c r="T9" s="142"/>
    </row>
    <row r="10" spans="1:220" ht="15" customHeight="1">
      <c r="A10" s="129"/>
      <c r="B10" s="129"/>
      <c r="C10" s="6"/>
      <c r="D10" s="6"/>
      <c r="E10" s="6"/>
      <c r="F10" s="6"/>
      <c r="G10" s="5"/>
      <c r="H10" s="5"/>
      <c r="I10" s="5"/>
      <c r="J10" s="5"/>
      <c r="K10" s="129"/>
      <c r="L10" s="129"/>
      <c r="S10" s="142"/>
      <c r="T10" s="142"/>
    </row>
    <row r="11" spans="1:220" ht="15" customHeight="1">
      <c r="A11" s="129"/>
      <c r="B11" s="129"/>
      <c r="C11" s="5"/>
      <c r="D11" s="5"/>
      <c r="E11" s="5"/>
      <c r="F11" s="5"/>
      <c r="G11" s="5"/>
      <c r="H11" s="133"/>
      <c r="I11" s="21"/>
      <c r="J11" s="129"/>
      <c r="K11" s="129"/>
      <c r="L11" s="20"/>
      <c r="S11" s="142"/>
      <c r="T11" s="142"/>
    </row>
    <row r="12" spans="1:220" ht="15" customHeight="1">
      <c r="A12" s="129"/>
      <c r="B12" s="129"/>
      <c r="C12" s="5"/>
      <c r="D12" s="5"/>
      <c r="E12" s="5"/>
      <c r="F12" s="5"/>
      <c r="G12" s="5"/>
      <c r="H12" s="133"/>
      <c r="I12" s="21"/>
      <c r="J12" s="129"/>
      <c r="K12" s="129"/>
      <c r="L12" s="20"/>
      <c r="S12" s="142"/>
      <c r="T12" s="142"/>
    </row>
    <row r="13" spans="1:220" ht="15" customHeight="1">
      <c r="A13" s="143" t="s">
        <v>35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S13" s="142"/>
      <c r="T13" s="142"/>
    </row>
    <row r="14" spans="1:220" ht="15" customHeight="1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S14" s="142"/>
      <c r="T14" s="142"/>
    </row>
    <row r="15" spans="1:220" ht="1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S15" s="142"/>
      <c r="T15" s="142"/>
    </row>
    <row r="16" spans="1:220" s="14" customFormat="1" ht="39.950000000000003" customHeight="1">
      <c r="A16" s="127" t="s">
        <v>2</v>
      </c>
      <c r="B16" s="127" t="s">
        <v>36</v>
      </c>
      <c r="C16" s="128" t="s">
        <v>7</v>
      </c>
      <c r="D16" s="128" t="s">
        <v>84</v>
      </c>
      <c r="E16" s="128" t="s">
        <v>85</v>
      </c>
      <c r="F16" s="128" t="s">
        <v>38</v>
      </c>
      <c r="G16" s="128" t="s">
        <v>97</v>
      </c>
      <c r="H16" s="128" t="s">
        <v>86</v>
      </c>
      <c r="I16" s="128"/>
      <c r="J16" s="128" t="s">
        <v>98</v>
      </c>
      <c r="K16" s="128" t="s">
        <v>105</v>
      </c>
      <c r="L16" s="138" t="s">
        <v>100</v>
      </c>
      <c r="S16" s="15"/>
      <c r="T16" s="15"/>
    </row>
    <row r="17" spans="1:20" s="14" customFormat="1" ht="39.950000000000003" customHeight="1">
      <c r="A17" s="127"/>
      <c r="B17" s="127"/>
      <c r="C17" s="128"/>
      <c r="D17" s="128"/>
      <c r="E17" s="128"/>
      <c r="F17" s="128"/>
      <c r="G17" s="128"/>
      <c r="H17" s="128" t="s">
        <v>87</v>
      </c>
      <c r="I17" s="128" t="s">
        <v>88</v>
      </c>
      <c r="J17" s="128"/>
      <c r="K17" s="128"/>
      <c r="L17" s="139"/>
      <c r="S17" s="15"/>
      <c r="T17" s="15"/>
    </row>
    <row r="18" spans="1:20" s="14" customFormat="1" ht="39.950000000000003" customHeight="1">
      <c r="A18" s="127"/>
      <c r="B18" s="127"/>
      <c r="C18" s="128"/>
      <c r="D18" s="128"/>
      <c r="E18" s="128"/>
      <c r="F18" s="128"/>
      <c r="G18" s="128"/>
      <c r="H18" s="128"/>
      <c r="I18" s="128"/>
      <c r="J18" s="128"/>
      <c r="K18" s="128"/>
      <c r="L18" s="140"/>
      <c r="S18" s="15"/>
      <c r="T18" s="15"/>
    </row>
    <row r="19" spans="1:20" s="14" customFormat="1" ht="39.950000000000003" customHeight="1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S19" s="15"/>
      <c r="T19" s="15"/>
    </row>
    <row r="20" spans="1:20" s="14" customFormat="1" ht="80.099999999999994" customHeight="1">
      <c r="A20" s="22" t="s">
        <v>9</v>
      </c>
      <c r="B20" s="24" t="s">
        <v>37</v>
      </c>
      <c r="C20" s="26"/>
      <c r="D20" s="26"/>
      <c r="E20" s="26"/>
      <c r="F20" s="26"/>
      <c r="G20" s="37"/>
      <c r="H20" s="26"/>
      <c r="I20" s="26"/>
      <c r="J20" s="26"/>
      <c r="K20" s="26"/>
      <c r="L20" s="26"/>
      <c r="S20" s="15"/>
      <c r="T20" s="15"/>
    </row>
    <row r="21" spans="1:20" ht="39.950000000000003" customHeight="1">
      <c r="A21" s="32">
        <v>1.1000000000000001</v>
      </c>
      <c r="B21" s="33" t="s">
        <v>83</v>
      </c>
      <c r="C21" s="26" t="s">
        <v>70</v>
      </c>
      <c r="D21" s="27">
        <v>1.2</v>
      </c>
      <c r="E21" s="26" t="s">
        <v>126</v>
      </c>
      <c r="F21" s="26">
        <v>15</v>
      </c>
      <c r="G21" s="37">
        <f>IF(F21&lt;=200,HLOOKUP(F21,$U$2:$HL$3,2,TRUE),(((F21-200)*0.24)+54.71))</f>
        <v>7.82</v>
      </c>
      <c r="H21" s="32" t="s">
        <v>9</v>
      </c>
      <c r="I21" s="27">
        <v>1</v>
      </c>
      <c r="J21" s="26">
        <v>162</v>
      </c>
      <c r="K21" s="36">
        <f t="shared" ref="K21:K26" si="0">ROUND(D21*G21*I21,2)</f>
        <v>9.3800000000000008</v>
      </c>
      <c r="L21" s="34" t="s">
        <v>121</v>
      </c>
    </row>
    <row r="22" spans="1:20" ht="39.950000000000003" customHeight="1">
      <c r="A22" s="32">
        <f>A21+0.1</f>
        <v>1.2000000000000002</v>
      </c>
      <c r="B22" s="33" t="s">
        <v>72</v>
      </c>
      <c r="C22" s="26" t="s">
        <v>94</v>
      </c>
      <c r="D22" s="26">
        <v>2.2000000000000002</v>
      </c>
      <c r="E22" s="26" t="s">
        <v>126</v>
      </c>
      <c r="F22" s="26">
        <v>15</v>
      </c>
      <c r="G22" s="37">
        <f t="shared" ref="G22:G69" si="1">IF(F22&lt;=200,HLOOKUP(F22,$U$2:$HL$3,2,TRUE),(((F22-200)*0.24)+54.71))</f>
        <v>7.82</v>
      </c>
      <c r="H22" s="32" t="s">
        <v>9</v>
      </c>
      <c r="I22" s="32">
        <v>1</v>
      </c>
      <c r="J22" s="26">
        <v>95</v>
      </c>
      <c r="K22" s="36">
        <f t="shared" si="0"/>
        <v>17.2</v>
      </c>
      <c r="L22" s="26" t="s">
        <v>109</v>
      </c>
    </row>
    <row r="23" spans="1:20" ht="39.950000000000003" customHeight="1">
      <c r="A23" s="32">
        <v>1.3</v>
      </c>
      <c r="B23" s="33" t="s">
        <v>134</v>
      </c>
      <c r="C23" s="26" t="s">
        <v>94</v>
      </c>
      <c r="D23" s="26">
        <v>2.2000000000000002</v>
      </c>
      <c r="E23" s="26" t="s">
        <v>126</v>
      </c>
      <c r="F23" s="26">
        <v>15</v>
      </c>
      <c r="G23" s="37">
        <f t="shared" si="1"/>
        <v>7.82</v>
      </c>
      <c r="H23" s="32" t="s">
        <v>9</v>
      </c>
      <c r="I23" s="27">
        <v>1</v>
      </c>
      <c r="J23" s="26">
        <v>103</v>
      </c>
      <c r="K23" s="36">
        <f t="shared" si="0"/>
        <v>17.2</v>
      </c>
      <c r="L23" s="34" t="s">
        <v>137</v>
      </c>
    </row>
    <row r="24" spans="1:20" ht="39.950000000000003" customHeight="1">
      <c r="A24" s="26">
        <v>1.4</v>
      </c>
      <c r="B24" s="33" t="s">
        <v>73</v>
      </c>
      <c r="C24" s="26" t="s">
        <v>94</v>
      </c>
      <c r="D24" s="26">
        <v>2.2000000000000002</v>
      </c>
      <c r="E24" s="26" t="s">
        <v>126</v>
      </c>
      <c r="F24" s="26">
        <v>15</v>
      </c>
      <c r="G24" s="37">
        <f t="shared" si="1"/>
        <v>7.82</v>
      </c>
      <c r="H24" s="32" t="s">
        <v>9</v>
      </c>
      <c r="I24" s="27">
        <v>1</v>
      </c>
      <c r="J24" s="26">
        <v>92</v>
      </c>
      <c r="K24" s="36">
        <f t="shared" si="0"/>
        <v>17.2</v>
      </c>
      <c r="L24" s="34" t="s">
        <v>130</v>
      </c>
    </row>
    <row r="25" spans="1:20" ht="39.950000000000003" customHeight="1">
      <c r="A25" s="32">
        <v>1.5</v>
      </c>
      <c r="B25" s="33" t="s">
        <v>107</v>
      </c>
      <c r="C25" s="26" t="s">
        <v>94</v>
      </c>
      <c r="D25" s="26">
        <v>2.4</v>
      </c>
      <c r="E25" s="26" t="s">
        <v>126</v>
      </c>
      <c r="F25" s="26">
        <v>15</v>
      </c>
      <c r="G25" s="37">
        <f t="shared" si="1"/>
        <v>7.82</v>
      </c>
      <c r="H25" s="32" t="s">
        <v>9</v>
      </c>
      <c r="I25" s="32">
        <v>1</v>
      </c>
      <c r="J25" s="38">
        <v>89</v>
      </c>
      <c r="K25" s="36">
        <f t="shared" si="0"/>
        <v>18.77</v>
      </c>
      <c r="L25" s="36" t="s">
        <v>108</v>
      </c>
    </row>
    <row r="26" spans="1:20" ht="39.950000000000003" customHeight="1">
      <c r="A26" s="26">
        <v>1.6</v>
      </c>
      <c r="B26" s="33" t="s">
        <v>131</v>
      </c>
      <c r="C26" s="26" t="s">
        <v>94</v>
      </c>
      <c r="D26" s="26">
        <v>2.4</v>
      </c>
      <c r="E26" s="26" t="s">
        <v>126</v>
      </c>
      <c r="F26" s="26">
        <v>15</v>
      </c>
      <c r="G26" s="37">
        <f t="shared" si="1"/>
        <v>7.82</v>
      </c>
      <c r="H26" s="32" t="s">
        <v>9</v>
      </c>
      <c r="I26" s="27">
        <v>1</v>
      </c>
      <c r="J26" s="26">
        <v>97</v>
      </c>
      <c r="K26" s="36">
        <f t="shared" si="0"/>
        <v>18.77</v>
      </c>
      <c r="L26" s="34" t="s">
        <v>132</v>
      </c>
    </row>
    <row r="27" spans="1:20" ht="39.950000000000003" customHeight="1">
      <c r="A27" s="26">
        <v>1.8</v>
      </c>
      <c r="B27" s="33" t="s">
        <v>77</v>
      </c>
      <c r="C27" s="26" t="s">
        <v>94</v>
      </c>
      <c r="D27" s="26">
        <v>2.4</v>
      </c>
      <c r="E27" s="26" t="s">
        <v>126</v>
      </c>
      <c r="F27" s="26">
        <v>15</v>
      </c>
      <c r="G27" s="37">
        <f t="shared" si="1"/>
        <v>7.82</v>
      </c>
      <c r="H27" s="32" t="s">
        <v>9</v>
      </c>
      <c r="I27" s="32">
        <v>1</v>
      </c>
      <c r="J27" s="38">
        <v>89</v>
      </c>
      <c r="K27" s="36">
        <f>ROUND(D27*G27*I27,2)</f>
        <v>18.77</v>
      </c>
      <c r="L27" s="36" t="s">
        <v>101</v>
      </c>
    </row>
    <row r="28" spans="1:20" ht="39.950000000000003" customHeight="1">
      <c r="A28" s="32">
        <v>1.7</v>
      </c>
      <c r="B28" s="33" t="s">
        <v>133</v>
      </c>
      <c r="C28" s="26" t="s">
        <v>94</v>
      </c>
      <c r="D28" s="26">
        <v>2.4</v>
      </c>
      <c r="E28" s="26" t="s">
        <v>126</v>
      </c>
      <c r="F28" s="26">
        <v>15</v>
      </c>
      <c r="G28" s="37">
        <f t="shared" si="1"/>
        <v>7.82</v>
      </c>
      <c r="H28" s="32" t="s">
        <v>9</v>
      </c>
      <c r="I28" s="32">
        <v>1</v>
      </c>
      <c r="J28" s="26">
        <v>97</v>
      </c>
      <c r="K28" s="36">
        <f>ROUND(D28*G28*I28,2)</f>
        <v>18.77</v>
      </c>
      <c r="L28" s="36" t="s">
        <v>101</v>
      </c>
    </row>
    <row r="29" spans="1:20" ht="39.950000000000003" customHeight="1">
      <c r="A29" s="26">
        <v>1.8</v>
      </c>
      <c r="B29" s="33" t="s">
        <v>61</v>
      </c>
      <c r="C29" s="26" t="s">
        <v>94</v>
      </c>
      <c r="D29" s="26">
        <v>2.4</v>
      </c>
      <c r="E29" s="26" t="s">
        <v>126</v>
      </c>
      <c r="F29" s="26">
        <v>15</v>
      </c>
      <c r="G29" s="37">
        <f t="shared" si="1"/>
        <v>7.82</v>
      </c>
      <c r="H29" s="32" t="s">
        <v>9</v>
      </c>
      <c r="I29" s="32">
        <v>1</v>
      </c>
      <c r="J29" s="38">
        <f>106+13</f>
        <v>119</v>
      </c>
      <c r="K29" s="36">
        <f>ROUND(D29*G29*I29,2)</f>
        <v>18.77</v>
      </c>
      <c r="L29" s="36" t="s">
        <v>101</v>
      </c>
    </row>
    <row r="30" spans="1:20" ht="39.950000000000003" customHeight="1">
      <c r="A30" s="32">
        <v>1.9</v>
      </c>
      <c r="B30" s="33" t="s">
        <v>143</v>
      </c>
      <c r="C30" s="26" t="s">
        <v>94</v>
      </c>
      <c r="D30" s="26">
        <v>2.4</v>
      </c>
      <c r="E30" s="26" t="s">
        <v>126</v>
      </c>
      <c r="F30" s="26">
        <v>15</v>
      </c>
      <c r="G30" s="37">
        <f t="shared" si="1"/>
        <v>7.82</v>
      </c>
      <c r="H30" s="32" t="s">
        <v>9</v>
      </c>
      <c r="I30" s="32">
        <v>1</v>
      </c>
      <c r="J30" s="38">
        <f>108</f>
        <v>108</v>
      </c>
      <c r="K30" s="36">
        <f>ROUND(D30*G30*I30,2)</f>
        <v>18.77</v>
      </c>
      <c r="L30" s="36" t="s">
        <v>101</v>
      </c>
    </row>
    <row r="31" spans="1:20" ht="39.950000000000003" customHeight="1">
      <c r="A31" s="27">
        <v>1.1000000000000001</v>
      </c>
      <c r="B31" s="33" t="s">
        <v>142</v>
      </c>
      <c r="C31" s="26" t="s">
        <v>94</v>
      </c>
      <c r="D31" s="26">
        <v>2.4</v>
      </c>
      <c r="E31" s="26" t="s">
        <v>126</v>
      </c>
      <c r="F31" s="26">
        <v>15</v>
      </c>
      <c r="G31" s="37">
        <f t="shared" si="1"/>
        <v>7.82</v>
      </c>
      <c r="H31" s="32" t="s">
        <v>9</v>
      </c>
      <c r="I31" s="32">
        <v>1</v>
      </c>
      <c r="J31" s="38">
        <f>108+13</f>
        <v>121</v>
      </c>
      <c r="K31" s="36">
        <f t="shared" ref="K31:K40" si="2">ROUND(D31*G31*I31,2)</f>
        <v>18.77</v>
      </c>
      <c r="L31" s="36" t="s">
        <v>101</v>
      </c>
    </row>
    <row r="32" spans="1:20" ht="39.950000000000003" customHeight="1">
      <c r="A32" s="27">
        <v>1.1100000000000001</v>
      </c>
      <c r="B32" s="33" t="s">
        <v>76</v>
      </c>
      <c r="C32" s="26" t="s">
        <v>112</v>
      </c>
      <c r="D32" s="26">
        <v>1</v>
      </c>
      <c r="E32" s="26" t="s">
        <v>183</v>
      </c>
      <c r="F32" s="26">
        <v>240</v>
      </c>
      <c r="G32" s="37">
        <f t="shared" si="1"/>
        <v>64.31</v>
      </c>
      <c r="H32" s="32" t="s">
        <v>9</v>
      </c>
      <c r="I32" s="32">
        <v>1</v>
      </c>
      <c r="J32" s="38">
        <v>113</v>
      </c>
      <c r="K32" s="36">
        <f t="shared" si="2"/>
        <v>64.31</v>
      </c>
      <c r="L32" s="34" t="s">
        <v>127</v>
      </c>
    </row>
    <row r="33" spans="1:12" ht="39.950000000000003" customHeight="1">
      <c r="A33" s="27">
        <v>1.1200000000000001</v>
      </c>
      <c r="B33" s="33" t="s">
        <v>93</v>
      </c>
      <c r="C33" s="26" t="s">
        <v>112</v>
      </c>
      <c r="D33" s="26">
        <v>1</v>
      </c>
      <c r="E33" s="26" t="s">
        <v>183</v>
      </c>
      <c r="F33" s="26">
        <v>240</v>
      </c>
      <c r="G33" s="37">
        <f t="shared" si="1"/>
        <v>64.31</v>
      </c>
      <c r="H33" s="32" t="s">
        <v>9</v>
      </c>
      <c r="I33" s="32">
        <v>1</v>
      </c>
      <c r="J33" s="38">
        <f>113+13</f>
        <v>126</v>
      </c>
      <c r="K33" s="36">
        <f t="shared" si="2"/>
        <v>64.31</v>
      </c>
      <c r="L33" s="34" t="s">
        <v>113</v>
      </c>
    </row>
    <row r="34" spans="1:12" ht="39.950000000000003" customHeight="1">
      <c r="A34" s="27">
        <v>1.1299999999999999</v>
      </c>
      <c r="B34" s="33" t="s">
        <v>80</v>
      </c>
      <c r="C34" s="26" t="s">
        <v>70</v>
      </c>
      <c r="D34" s="26">
        <v>1</v>
      </c>
      <c r="E34" s="26" t="s">
        <v>182</v>
      </c>
      <c r="F34" s="26">
        <v>110</v>
      </c>
      <c r="G34" s="37">
        <f t="shared" si="1"/>
        <v>33.64</v>
      </c>
      <c r="H34" s="32" t="s">
        <v>9</v>
      </c>
      <c r="I34" s="27">
        <v>1</v>
      </c>
      <c r="J34" s="26">
        <v>101.7</v>
      </c>
      <c r="K34" s="36">
        <f t="shared" si="2"/>
        <v>33.64</v>
      </c>
      <c r="L34" s="34" t="s">
        <v>123</v>
      </c>
    </row>
    <row r="35" spans="1:12" ht="39.950000000000003" customHeight="1">
      <c r="A35" s="27">
        <v>1.1399999999999999</v>
      </c>
      <c r="B35" s="33" t="s">
        <v>81</v>
      </c>
      <c r="C35" s="26" t="s">
        <v>70</v>
      </c>
      <c r="D35" s="26">
        <v>1</v>
      </c>
      <c r="E35" s="26" t="s">
        <v>182</v>
      </c>
      <c r="F35" s="26">
        <v>110</v>
      </c>
      <c r="G35" s="37">
        <f t="shared" si="1"/>
        <v>33.64</v>
      </c>
      <c r="H35" s="32" t="s">
        <v>9</v>
      </c>
      <c r="I35" s="27">
        <v>1</v>
      </c>
      <c r="J35" s="26">
        <v>110.2</v>
      </c>
      <c r="K35" s="36">
        <f t="shared" si="2"/>
        <v>33.64</v>
      </c>
      <c r="L35" s="34" t="s">
        <v>124</v>
      </c>
    </row>
    <row r="36" spans="1:12" ht="39.950000000000003" customHeight="1">
      <c r="A36" s="27">
        <v>1.1499999999999999</v>
      </c>
      <c r="B36" s="33" t="s">
        <v>89</v>
      </c>
      <c r="C36" s="26" t="s">
        <v>94</v>
      </c>
      <c r="D36" s="26">
        <v>1.6</v>
      </c>
      <c r="E36" s="26" t="s">
        <v>118</v>
      </c>
      <c r="F36" s="26">
        <v>20</v>
      </c>
      <c r="G36" s="37">
        <f t="shared" si="1"/>
        <v>9.75</v>
      </c>
      <c r="H36" s="32" t="s">
        <v>9</v>
      </c>
      <c r="I36" s="32">
        <v>1</v>
      </c>
      <c r="J36" s="38">
        <v>17</v>
      </c>
      <c r="K36" s="36">
        <f t="shared" si="2"/>
        <v>15.6</v>
      </c>
      <c r="L36" s="36" t="s">
        <v>102</v>
      </c>
    </row>
    <row r="37" spans="1:12" ht="39.950000000000003" customHeight="1">
      <c r="A37" s="27">
        <v>1.1599999999999999</v>
      </c>
      <c r="B37" s="33" t="s">
        <v>65</v>
      </c>
      <c r="C37" s="26" t="s">
        <v>94</v>
      </c>
      <c r="D37" s="26">
        <v>1.55</v>
      </c>
      <c r="E37" s="26" t="s">
        <v>118</v>
      </c>
      <c r="F37" s="26">
        <v>20</v>
      </c>
      <c r="G37" s="37">
        <f t="shared" si="1"/>
        <v>9.75</v>
      </c>
      <c r="H37" s="32" t="s">
        <v>9</v>
      </c>
      <c r="I37" s="32">
        <v>1</v>
      </c>
      <c r="J37" s="26">
        <v>12.7</v>
      </c>
      <c r="K37" s="36">
        <f t="shared" si="2"/>
        <v>15.11</v>
      </c>
      <c r="L37" s="34" t="s">
        <v>115</v>
      </c>
    </row>
    <row r="38" spans="1:12" ht="39.950000000000003" customHeight="1">
      <c r="A38" s="27">
        <v>1.17</v>
      </c>
      <c r="B38" s="33" t="s">
        <v>90</v>
      </c>
      <c r="C38" s="26" t="s">
        <v>94</v>
      </c>
      <c r="D38" s="26">
        <v>1.5</v>
      </c>
      <c r="E38" s="26" t="s">
        <v>126</v>
      </c>
      <c r="F38" s="26">
        <v>15</v>
      </c>
      <c r="G38" s="37">
        <f t="shared" si="1"/>
        <v>7.82</v>
      </c>
      <c r="H38" s="32" t="s">
        <v>9</v>
      </c>
      <c r="I38" s="32">
        <v>1</v>
      </c>
      <c r="J38" s="26">
        <v>28</v>
      </c>
      <c r="K38" s="36">
        <f t="shared" si="2"/>
        <v>11.73</v>
      </c>
      <c r="L38" s="26" t="s">
        <v>106</v>
      </c>
    </row>
    <row r="39" spans="1:12" ht="39.950000000000003" customHeight="1">
      <c r="A39" s="27">
        <v>1.18</v>
      </c>
      <c r="B39" s="33" t="s">
        <v>135</v>
      </c>
      <c r="C39" s="26" t="s">
        <v>94</v>
      </c>
      <c r="D39" s="26">
        <v>1.5</v>
      </c>
      <c r="E39" s="26" t="s">
        <v>126</v>
      </c>
      <c r="F39" s="26">
        <v>15</v>
      </c>
      <c r="G39" s="37">
        <f t="shared" si="1"/>
        <v>7.82</v>
      </c>
      <c r="H39" s="32" t="s">
        <v>9</v>
      </c>
      <c r="I39" s="27">
        <v>1</v>
      </c>
      <c r="J39" s="26">
        <v>38</v>
      </c>
      <c r="K39" s="36">
        <f t="shared" si="2"/>
        <v>11.73</v>
      </c>
      <c r="L39" s="34" t="s">
        <v>136</v>
      </c>
    </row>
    <row r="40" spans="1:12" ht="39.950000000000003" customHeight="1">
      <c r="A40" s="27">
        <v>1.19</v>
      </c>
      <c r="B40" s="26" t="s">
        <v>116</v>
      </c>
      <c r="C40" s="26" t="s">
        <v>94</v>
      </c>
      <c r="D40" s="26">
        <v>2</v>
      </c>
      <c r="E40" s="26" t="s">
        <v>118</v>
      </c>
      <c r="F40" s="26">
        <v>20</v>
      </c>
      <c r="G40" s="37">
        <f t="shared" si="1"/>
        <v>9.75</v>
      </c>
      <c r="H40" s="32" t="s">
        <v>9</v>
      </c>
      <c r="I40" s="32">
        <v>1</v>
      </c>
      <c r="J40" s="26">
        <v>15</v>
      </c>
      <c r="K40" s="36">
        <f t="shared" si="2"/>
        <v>19.5</v>
      </c>
      <c r="L40" s="34" t="s">
        <v>117</v>
      </c>
    </row>
    <row r="41" spans="1:12" ht="39.950000000000003" customHeight="1">
      <c r="A41" s="27">
        <v>1.2</v>
      </c>
      <c r="B41" s="26" t="s">
        <v>165</v>
      </c>
      <c r="C41" s="26" t="s">
        <v>94</v>
      </c>
      <c r="D41" s="26">
        <v>2</v>
      </c>
      <c r="E41" s="26" t="s">
        <v>118</v>
      </c>
      <c r="F41" s="26">
        <v>20</v>
      </c>
      <c r="G41" s="37">
        <f t="shared" si="1"/>
        <v>9.75</v>
      </c>
      <c r="H41" s="32" t="s">
        <v>9</v>
      </c>
      <c r="I41" s="32">
        <v>1</v>
      </c>
      <c r="J41" s="26">
        <v>18</v>
      </c>
      <c r="K41" s="36">
        <f>ROUND(D41*G41*I41,2)</f>
        <v>19.5</v>
      </c>
      <c r="L41" s="34" t="s">
        <v>117</v>
      </c>
    </row>
    <row r="42" spans="1:12" ht="39.950000000000003" customHeight="1">
      <c r="A42" s="27">
        <v>1.21</v>
      </c>
      <c r="B42" s="33" t="s">
        <v>62</v>
      </c>
      <c r="C42" s="26" t="s">
        <v>99</v>
      </c>
      <c r="D42" s="26">
        <f>0.4*1*0.6</f>
        <v>0.24</v>
      </c>
      <c r="E42" s="26" t="s">
        <v>164</v>
      </c>
      <c r="F42" s="26">
        <v>130</v>
      </c>
      <c r="G42" s="37">
        <f t="shared" si="1"/>
        <v>38.54</v>
      </c>
      <c r="H42" s="32" t="s">
        <v>9</v>
      </c>
      <c r="I42" s="32">
        <v>1</v>
      </c>
      <c r="J42" s="38">
        <v>16</v>
      </c>
      <c r="K42" s="36">
        <f t="shared" ref="K42:K68" si="3">ROUND(D42*G42*I42,2)</f>
        <v>9.25</v>
      </c>
      <c r="L42" s="36" t="s">
        <v>103</v>
      </c>
    </row>
    <row r="43" spans="1:12" ht="39.950000000000003" customHeight="1">
      <c r="A43" s="27">
        <v>1.22</v>
      </c>
      <c r="B43" s="33" t="s">
        <v>92</v>
      </c>
      <c r="C43" s="26" t="s">
        <v>94</v>
      </c>
      <c r="D43" s="26">
        <v>0.6</v>
      </c>
      <c r="E43" s="26" t="s">
        <v>164</v>
      </c>
      <c r="F43" s="26">
        <v>130</v>
      </c>
      <c r="G43" s="37">
        <f t="shared" si="1"/>
        <v>38.54</v>
      </c>
      <c r="H43" s="32" t="s">
        <v>9</v>
      </c>
      <c r="I43" s="32">
        <v>1</v>
      </c>
      <c r="J43" s="38">
        <v>443</v>
      </c>
      <c r="K43" s="36">
        <f t="shared" si="3"/>
        <v>23.12</v>
      </c>
      <c r="L43" s="39" t="s">
        <v>111</v>
      </c>
    </row>
    <row r="44" spans="1:12" ht="39.950000000000003" customHeight="1">
      <c r="A44" s="27">
        <v>1.23</v>
      </c>
      <c r="B44" s="33" t="s">
        <v>63</v>
      </c>
      <c r="C44" s="26" t="s">
        <v>94</v>
      </c>
      <c r="D44" s="26">
        <v>0.6</v>
      </c>
      <c r="E44" s="26" t="s">
        <v>164</v>
      </c>
      <c r="F44" s="26">
        <v>130</v>
      </c>
      <c r="G44" s="37">
        <f t="shared" si="1"/>
        <v>38.54</v>
      </c>
      <c r="H44" s="32" t="s">
        <v>9</v>
      </c>
      <c r="I44" s="32">
        <v>1</v>
      </c>
      <c r="J44" s="38">
        <v>475</v>
      </c>
      <c r="K44" s="36">
        <f t="shared" si="3"/>
        <v>23.12</v>
      </c>
      <c r="L44" s="39" t="s">
        <v>104</v>
      </c>
    </row>
    <row r="45" spans="1:12" ht="39.950000000000003" customHeight="1">
      <c r="A45" s="27">
        <v>1.24</v>
      </c>
      <c r="B45" s="33" t="s">
        <v>141</v>
      </c>
      <c r="C45" s="26" t="s">
        <v>94</v>
      </c>
      <c r="D45" s="26">
        <v>0.6</v>
      </c>
      <c r="E45" s="26" t="s">
        <v>164</v>
      </c>
      <c r="F45" s="26">
        <v>130</v>
      </c>
      <c r="G45" s="37">
        <f t="shared" si="1"/>
        <v>38.54</v>
      </c>
      <c r="H45" s="32" t="s">
        <v>9</v>
      </c>
      <c r="I45" s="32">
        <v>1</v>
      </c>
      <c r="J45" s="32">
        <v>521</v>
      </c>
      <c r="K45" s="36">
        <f>ROUND(D45*G45*I45,2)</f>
        <v>23.12</v>
      </c>
      <c r="L45" s="39" t="s">
        <v>104</v>
      </c>
    </row>
    <row r="46" spans="1:12" ht="39.950000000000003" customHeight="1">
      <c r="A46" s="27">
        <v>1.25</v>
      </c>
      <c r="B46" s="26" t="s">
        <v>91</v>
      </c>
      <c r="C46" s="26" t="s">
        <v>94</v>
      </c>
      <c r="D46" s="26">
        <v>0.7</v>
      </c>
      <c r="E46" s="26" t="s">
        <v>164</v>
      </c>
      <c r="F46" s="26">
        <v>130</v>
      </c>
      <c r="G46" s="37">
        <f t="shared" si="1"/>
        <v>38.54</v>
      </c>
      <c r="H46" s="32" t="s">
        <v>9</v>
      </c>
      <c r="I46" s="32">
        <v>1</v>
      </c>
      <c r="J46" s="26">
        <v>280</v>
      </c>
      <c r="K46" s="36">
        <f t="shared" si="3"/>
        <v>26.98</v>
      </c>
      <c r="L46" s="34" t="s">
        <v>110</v>
      </c>
    </row>
    <row r="47" spans="1:12" ht="39.950000000000003" customHeight="1">
      <c r="A47" s="27">
        <v>1.26</v>
      </c>
      <c r="B47" s="33" t="s">
        <v>69</v>
      </c>
      <c r="C47" s="26" t="s">
        <v>112</v>
      </c>
      <c r="D47" s="26">
        <v>1</v>
      </c>
      <c r="E47" s="26" t="s">
        <v>126</v>
      </c>
      <c r="F47" s="26">
        <v>15</v>
      </c>
      <c r="G47" s="37">
        <f t="shared" si="1"/>
        <v>7.82</v>
      </c>
      <c r="H47" s="32" t="s">
        <v>9</v>
      </c>
      <c r="I47" s="32">
        <v>1</v>
      </c>
      <c r="J47" s="26">
        <v>995</v>
      </c>
      <c r="K47" s="36">
        <f>ROUND(D47*G47*I47,2)</f>
        <v>7.82</v>
      </c>
      <c r="L47" s="34" t="s">
        <v>114</v>
      </c>
    </row>
    <row r="48" spans="1:12" ht="39.950000000000003" customHeight="1">
      <c r="A48" s="27">
        <v>1.27</v>
      </c>
      <c r="B48" s="33" t="s">
        <v>58</v>
      </c>
      <c r="C48" s="26" t="s">
        <v>70</v>
      </c>
      <c r="D48" s="26">
        <v>1</v>
      </c>
      <c r="E48" s="26" t="s">
        <v>126</v>
      </c>
      <c r="F48" s="26">
        <v>15</v>
      </c>
      <c r="G48" s="37">
        <f t="shared" si="1"/>
        <v>7.82</v>
      </c>
      <c r="H48" s="32" t="s">
        <v>9</v>
      </c>
      <c r="I48" s="27">
        <v>1</v>
      </c>
      <c r="J48" s="26">
        <v>1250</v>
      </c>
      <c r="K48" s="36">
        <f>ROUND(D48*G48*I48,2)</f>
        <v>7.82</v>
      </c>
      <c r="L48" s="34" t="s">
        <v>122</v>
      </c>
    </row>
    <row r="49" spans="1:12" ht="39.950000000000003" customHeight="1">
      <c r="A49" s="27">
        <v>1.28</v>
      </c>
      <c r="B49" s="31" t="s">
        <v>82</v>
      </c>
      <c r="C49" s="26" t="s">
        <v>138</v>
      </c>
      <c r="D49" s="26">
        <v>3.5999999999999999E-3</v>
      </c>
      <c r="E49" s="26" t="s">
        <v>126</v>
      </c>
      <c r="F49" s="26">
        <v>15</v>
      </c>
      <c r="G49" s="37">
        <f t="shared" si="1"/>
        <v>7.82</v>
      </c>
      <c r="H49" s="32" t="s">
        <v>9</v>
      </c>
      <c r="I49" s="27">
        <v>1</v>
      </c>
      <c r="J49" s="26">
        <v>0.41</v>
      </c>
      <c r="K49" s="36">
        <f>ROUND(D49*G49*I49,2)</f>
        <v>0.03</v>
      </c>
      <c r="L49" s="34" t="s">
        <v>139</v>
      </c>
    </row>
    <row r="50" spans="1:12" ht="39.950000000000003" customHeight="1">
      <c r="A50" s="27">
        <v>1.29</v>
      </c>
      <c r="B50" s="33" t="s">
        <v>68</v>
      </c>
      <c r="C50" s="26" t="s">
        <v>70</v>
      </c>
      <c r="D50" s="26">
        <v>1</v>
      </c>
      <c r="E50" s="26" t="s">
        <v>183</v>
      </c>
      <c r="F50" s="26">
        <v>240</v>
      </c>
      <c r="G50" s="37">
        <f t="shared" si="1"/>
        <v>64.31</v>
      </c>
      <c r="H50" s="32" t="s">
        <v>9</v>
      </c>
      <c r="I50" s="27">
        <v>1</v>
      </c>
      <c r="J50" s="26">
        <v>1810</v>
      </c>
      <c r="K50" s="36">
        <f t="shared" si="3"/>
        <v>64.31</v>
      </c>
      <c r="L50" s="34" t="s">
        <v>125</v>
      </c>
    </row>
    <row r="51" spans="1:12" ht="39.950000000000003" customHeight="1">
      <c r="A51" s="27">
        <v>1.3</v>
      </c>
      <c r="B51" s="33" t="s">
        <v>71</v>
      </c>
      <c r="C51" s="26" t="s">
        <v>70</v>
      </c>
      <c r="D51" s="26">
        <v>1</v>
      </c>
      <c r="E51" s="26" t="s">
        <v>183</v>
      </c>
      <c r="F51" s="26">
        <v>240</v>
      </c>
      <c r="G51" s="37">
        <f t="shared" si="1"/>
        <v>64.31</v>
      </c>
      <c r="H51" s="32" t="s">
        <v>9</v>
      </c>
      <c r="I51" s="27">
        <v>1</v>
      </c>
      <c r="J51" s="26">
        <v>1830</v>
      </c>
      <c r="K51" s="36">
        <f t="shared" si="3"/>
        <v>64.31</v>
      </c>
      <c r="L51" s="34" t="s">
        <v>128</v>
      </c>
    </row>
    <row r="52" spans="1:12" ht="39.950000000000003" customHeight="1">
      <c r="A52" s="27">
        <v>1.31</v>
      </c>
      <c r="B52" s="33" t="s">
        <v>74</v>
      </c>
      <c r="C52" s="26" t="s">
        <v>70</v>
      </c>
      <c r="D52" s="26">
        <v>1</v>
      </c>
      <c r="E52" s="26" t="s">
        <v>183</v>
      </c>
      <c r="F52" s="26">
        <v>240</v>
      </c>
      <c r="G52" s="37">
        <f t="shared" si="1"/>
        <v>64.31</v>
      </c>
      <c r="H52" s="32" t="s">
        <v>9</v>
      </c>
      <c r="I52" s="27">
        <v>1</v>
      </c>
      <c r="J52" s="26">
        <v>2087</v>
      </c>
      <c r="K52" s="36">
        <f t="shared" si="3"/>
        <v>64.31</v>
      </c>
      <c r="L52" s="34" t="s">
        <v>125</v>
      </c>
    </row>
    <row r="53" spans="1:12" ht="39.950000000000003" customHeight="1">
      <c r="A53" s="27">
        <v>1.32</v>
      </c>
      <c r="B53" s="33" t="s">
        <v>75</v>
      </c>
      <c r="C53" s="26" t="s">
        <v>70</v>
      </c>
      <c r="D53" s="26">
        <v>1</v>
      </c>
      <c r="E53" s="26" t="s">
        <v>183</v>
      </c>
      <c r="F53" s="26">
        <v>240</v>
      </c>
      <c r="G53" s="37">
        <f t="shared" si="1"/>
        <v>64.31</v>
      </c>
      <c r="H53" s="32" t="s">
        <v>9</v>
      </c>
      <c r="I53" s="27">
        <v>1</v>
      </c>
      <c r="J53" s="26">
        <v>1920</v>
      </c>
      <c r="K53" s="36">
        <f t="shared" si="3"/>
        <v>64.31</v>
      </c>
      <c r="L53" s="34" t="s">
        <v>129</v>
      </c>
    </row>
    <row r="54" spans="1:12" ht="39.950000000000003" customHeight="1">
      <c r="A54" s="27">
        <v>1.33</v>
      </c>
      <c r="B54" s="33" t="s">
        <v>166</v>
      </c>
      <c r="C54" s="26" t="s">
        <v>138</v>
      </c>
      <c r="D54" s="26">
        <f>2.5*6.26/1000</f>
        <v>1.5649999999999997E-2</v>
      </c>
      <c r="E54" s="26" t="s">
        <v>183</v>
      </c>
      <c r="F54" s="26">
        <v>240</v>
      </c>
      <c r="G54" s="37">
        <f t="shared" si="1"/>
        <v>64.31</v>
      </c>
      <c r="H54" s="32" t="s">
        <v>9</v>
      </c>
      <c r="I54" s="27">
        <v>1</v>
      </c>
      <c r="J54" s="26">
        <f>11.6*2.5</f>
        <v>29</v>
      </c>
      <c r="K54" s="36">
        <f t="shared" si="3"/>
        <v>1.01</v>
      </c>
      <c r="L54" s="34" t="s">
        <v>140</v>
      </c>
    </row>
    <row r="55" spans="1:12" ht="39.950000000000003" customHeight="1">
      <c r="A55" s="27">
        <v>1.34</v>
      </c>
      <c r="B55" s="33" t="s">
        <v>167</v>
      </c>
      <c r="C55" s="26" t="s">
        <v>138</v>
      </c>
      <c r="D55" s="26">
        <f>3.5*9.77/1000</f>
        <v>3.4195000000000003E-2</v>
      </c>
      <c r="E55" s="26" t="s">
        <v>183</v>
      </c>
      <c r="F55" s="26">
        <v>240</v>
      </c>
      <c r="G55" s="37">
        <f t="shared" si="1"/>
        <v>64.31</v>
      </c>
      <c r="H55" s="32" t="s">
        <v>9</v>
      </c>
      <c r="I55" s="27">
        <v>1</v>
      </c>
      <c r="J55" s="26">
        <f>17.3*3.5</f>
        <v>60.550000000000004</v>
      </c>
      <c r="K55" s="36">
        <f t="shared" si="3"/>
        <v>2.2000000000000002</v>
      </c>
      <c r="L55" s="34" t="s">
        <v>140</v>
      </c>
    </row>
    <row r="56" spans="1:12" ht="39.950000000000003" customHeight="1">
      <c r="A56" s="27">
        <v>1.35</v>
      </c>
      <c r="B56" s="33" t="s">
        <v>168</v>
      </c>
      <c r="C56" s="26" t="s">
        <v>138</v>
      </c>
      <c r="D56" s="26">
        <f>4*10.85/1000</f>
        <v>4.3400000000000001E-2</v>
      </c>
      <c r="E56" s="26" t="s">
        <v>183</v>
      </c>
      <c r="F56" s="26">
        <v>240</v>
      </c>
      <c r="G56" s="37">
        <f t="shared" si="1"/>
        <v>64.31</v>
      </c>
      <c r="H56" s="32" t="s">
        <v>9</v>
      </c>
      <c r="I56" s="27">
        <v>1</v>
      </c>
      <c r="J56" s="26">
        <f>18.3*4</f>
        <v>73.2</v>
      </c>
      <c r="K56" s="36">
        <f t="shared" si="3"/>
        <v>2.79</v>
      </c>
      <c r="L56" s="34" t="s">
        <v>140</v>
      </c>
    </row>
    <row r="57" spans="1:12" ht="39.950000000000003" customHeight="1">
      <c r="A57" s="27">
        <v>1.36</v>
      </c>
      <c r="B57" s="33" t="s">
        <v>147</v>
      </c>
      <c r="C57" s="26" t="s">
        <v>70</v>
      </c>
      <c r="D57" s="26">
        <v>1</v>
      </c>
      <c r="E57" s="26" t="s">
        <v>183</v>
      </c>
      <c r="F57" s="26">
        <v>240</v>
      </c>
      <c r="G57" s="37">
        <f t="shared" si="1"/>
        <v>64.31</v>
      </c>
      <c r="H57" s="32" t="s">
        <v>9</v>
      </c>
      <c r="I57" s="27">
        <v>1</v>
      </c>
      <c r="J57" s="32">
        <v>1851</v>
      </c>
      <c r="K57" s="36">
        <f t="shared" si="3"/>
        <v>64.31</v>
      </c>
      <c r="L57" s="34" t="s">
        <v>140</v>
      </c>
    </row>
    <row r="58" spans="1:12" ht="39.950000000000003" customHeight="1">
      <c r="A58" s="27">
        <v>1.37</v>
      </c>
      <c r="B58" s="33" t="s">
        <v>169</v>
      </c>
      <c r="C58" s="26" t="s">
        <v>70</v>
      </c>
      <c r="D58" s="26">
        <v>1</v>
      </c>
      <c r="E58" s="26" t="s">
        <v>183</v>
      </c>
      <c r="F58" s="26">
        <v>240</v>
      </c>
      <c r="G58" s="37">
        <f t="shared" si="1"/>
        <v>64.31</v>
      </c>
      <c r="H58" s="32" t="s">
        <v>9</v>
      </c>
      <c r="I58" s="27">
        <v>1</v>
      </c>
      <c r="J58" s="32">
        <v>1870</v>
      </c>
      <c r="K58" s="36">
        <f t="shared" si="3"/>
        <v>64.31</v>
      </c>
      <c r="L58" s="34" t="s">
        <v>140</v>
      </c>
    </row>
    <row r="59" spans="1:12" ht="39.950000000000003" customHeight="1">
      <c r="A59" s="27">
        <v>1.38</v>
      </c>
      <c r="B59" s="33" t="s">
        <v>170</v>
      </c>
      <c r="C59" s="26" t="s">
        <v>70</v>
      </c>
      <c r="D59" s="26">
        <v>1</v>
      </c>
      <c r="E59" s="26" t="s">
        <v>183</v>
      </c>
      <c r="F59" s="26">
        <v>240</v>
      </c>
      <c r="G59" s="37">
        <f t="shared" si="1"/>
        <v>64.31</v>
      </c>
      <c r="H59" s="32" t="s">
        <v>9</v>
      </c>
      <c r="I59" s="27">
        <v>1</v>
      </c>
      <c r="J59" s="32">
        <v>1920</v>
      </c>
      <c r="K59" s="36">
        <f t="shared" si="3"/>
        <v>64.31</v>
      </c>
      <c r="L59" s="34" t="s">
        <v>140</v>
      </c>
    </row>
    <row r="60" spans="1:12" ht="39.950000000000003" customHeight="1">
      <c r="A60" s="27">
        <v>1.39</v>
      </c>
      <c r="B60" s="33" t="s">
        <v>171</v>
      </c>
      <c r="C60" s="26" t="s">
        <v>119</v>
      </c>
      <c r="D60" s="26">
        <v>1.41E-3</v>
      </c>
      <c r="E60" s="26" t="s">
        <v>183</v>
      </c>
      <c r="F60" s="26">
        <v>240</v>
      </c>
      <c r="G60" s="37">
        <f t="shared" si="1"/>
        <v>64.31</v>
      </c>
      <c r="H60" s="32" t="s">
        <v>9</v>
      </c>
      <c r="I60" s="27">
        <v>1</v>
      </c>
      <c r="J60" s="32">
        <v>4</v>
      </c>
      <c r="K60" s="36">
        <f t="shared" si="3"/>
        <v>0.09</v>
      </c>
      <c r="L60" s="34" t="s">
        <v>140</v>
      </c>
    </row>
    <row r="61" spans="1:12" ht="39.950000000000003" customHeight="1">
      <c r="A61" s="27">
        <v>1.4</v>
      </c>
      <c r="B61" s="33" t="s">
        <v>172</v>
      </c>
      <c r="C61" s="26" t="s">
        <v>138</v>
      </c>
      <c r="D61" s="26">
        <v>1.7500000000000002E-2</v>
      </c>
      <c r="E61" s="26" t="s">
        <v>183</v>
      </c>
      <c r="F61" s="26">
        <v>240</v>
      </c>
      <c r="G61" s="37">
        <f t="shared" si="1"/>
        <v>64.31</v>
      </c>
      <c r="H61" s="32" t="s">
        <v>9</v>
      </c>
      <c r="I61" s="27">
        <v>1</v>
      </c>
      <c r="J61" s="32">
        <v>72.900000000000006</v>
      </c>
      <c r="K61" s="36">
        <f t="shared" si="3"/>
        <v>1.1299999999999999</v>
      </c>
      <c r="L61" s="34" t="s">
        <v>173</v>
      </c>
    </row>
    <row r="62" spans="1:12" ht="39.950000000000003" customHeight="1">
      <c r="A62" s="27">
        <v>1.41</v>
      </c>
      <c r="B62" s="33" t="s">
        <v>174</v>
      </c>
      <c r="C62" s="26" t="s">
        <v>138</v>
      </c>
      <c r="D62" s="26">
        <v>1.32E-2</v>
      </c>
      <c r="E62" s="26" t="s">
        <v>183</v>
      </c>
      <c r="F62" s="26">
        <v>240</v>
      </c>
      <c r="G62" s="37">
        <f t="shared" si="1"/>
        <v>64.31</v>
      </c>
      <c r="H62" s="32" t="s">
        <v>9</v>
      </c>
      <c r="I62" s="27">
        <v>1</v>
      </c>
      <c r="J62" s="32">
        <v>56.8</v>
      </c>
      <c r="K62" s="36">
        <f t="shared" si="3"/>
        <v>0.85</v>
      </c>
      <c r="L62" s="34" t="s">
        <v>175</v>
      </c>
    </row>
    <row r="63" spans="1:12" ht="39.950000000000003" customHeight="1">
      <c r="A63" s="27">
        <v>1.42</v>
      </c>
      <c r="B63" s="33" t="s">
        <v>144</v>
      </c>
      <c r="C63" s="26" t="s">
        <v>70</v>
      </c>
      <c r="D63" s="26">
        <v>1</v>
      </c>
      <c r="E63" s="26" t="s">
        <v>183</v>
      </c>
      <c r="F63" s="26">
        <v>240</v>
      </c>
      <c r="G63" s="37">
        <f t="shared" si="1"/>
        <v>64.31</v>
      </c>
      <c r="H63" s="32" t="s">
        <v>9</v>
      </c>
      <c r="I63" s="27">
        <v>1</v>
      </c>
      <c r="J63" s="26">
        <v>3200</v>
      </c>
      <c r="K63" s="36">
        <f t="shared" si="3"/>
        <v>64.31</v>
      </c>
      <c r="L63" s="34" t="s">
        <v>140</v>
      </c>
    </row>
    <row r="64" spans="1:12" ht="39.950000000000003" customHeight="1">
      <c r="A64" s="27">
        <v>1.43</v>
      </c>
      <c r="B64" s="33" t="s">
        <v>145</v>
      </c>
      <c r="C64" s="26" t="s">
        <v>119</v>
      </c>
      <c r="D64" s="26">
        <f>(0.3*0.3*2400)/1000</f>
        <v>0.216</v>
      </c>
      <c r="E64" s="26" t="s">
        <v>183</v>
      </c>
      <c r="F64" s="26">
        <v>240</v>
      </c>
      <c r="G64" s="37">
        <f t="shared" si="1"/>
        <v>64.31</v>
      </c>
      <c r="H64" s="32" t="s">
        <v>9</v>
      </c>
      <c r="I64" s="27">
        <v>1</v>
      </c>
      <c r="J64" s="32">
        <v>97</v>
      </c>
      <c r="K64" s="36">
        <f t="shared" si="3"/>
        <v>13.89</v>
      </c>
      <c r="L64" s="34" t="s">
        <v>140</v>
      </c>
    </row>
    <row r="65" spans="1:20" ht="39.950000000000003" customHeight="1">
      <c r="A65" s="27">
        <v>1.44</v>
      </c>
      <c r="B65" s="33" t="s">
        <v>146</v>
      </c>
      <c r="C65" s="26" t="s">
        <v>94</v>
      </c>
      <c r="D65" s="26">
        <v>2.4</v>
      </c>
      <c r="E65" s="26" t="s">
        <v>126</v>
      </c>
      <c r="F65" s="26">
        <v>15</v>
      </c>
      <c r="G65" s="37">
        <f t="shared" si="1"/>
        <v>7.82</v>
      </c>
      <c r="H65" s="32" t="s">
        <v>9</v>
      </c>
      <c r="I65" s="27">
        <v>1</v>
      </c>
      <c r="J65" s="32">
        <v>308.8</v>
      </c>
      <c r="K65" s="36">
        <f t="shared" si="3"/>
        <v>18.77</v>
      </c>
      <c r="L65" s="34" t="s">
        <v>140</v>
      </c>
    </row>
    <row r="66" spans="1:20" ht="39.950000000000003" customHeight="1">
      <c r="A66" s="27">
        <v>1.45</v>
      </c>
      <c r="B66" s="33" t="s">
        <v>66</v>
      </c>
      <c r="C66" s="26" t="s">
        <v>119</v>
      </c>
      <c r="D66" s="27">
        <f>0.1*2.5</f>
        <v>0.25</v>
      </c>
      <c r="E66" s="26" t="s">
        <v>164</v>
      </c>
      <c r="F66" s="26">
        <v>130</v>
      </c>
      <c r="G66" s="37">
        <f t="shared" si="1"/>
        <v>38.54</v>
      </c>
      <c r="H66" s="32" t="s">
        <v>16</v>
      </c>
      <c r="I66" s="27">
        <v>1.25</v>
      </c>
      <c r="J66" s="26">
        <v>78.900000000000006</v>
      </c>
      <c r="K66" s="36">
        <f t="shared" si="3"/>
        <v>12.04</v>
      </c>
      <c r="L66" s="34" t="s">
        <v>120</v>
      </c>
    </row>
    <row r="67" spans="1:20" ht="39.950000000000003" customHeight="1">
      <c r="A67" s="27">
        <v>1.46</v>
      </c>
      <c r="B67" s="33" t="s">
        <v>176</v>
      </c>
      <c r="C67" s="26" t="s">
        <v>138</v>
      </c>
      <c r="D67" s="27">
        <f>1.75*2</f>
        <v>3.5</v>
      </c>
      <c r="E67" s="26" t="s">
        <v>164</v>
      </c>
      <c r="F67" s="26">
        <v>130</v>
      </c>
      <c r="G67" s="37">
        <f t="shared" si="1"/>
        <v>38.54</v>
      </c>
      <c r="H67" s="32" t="s">
        <v>16</v>
      </c>
      <c r="I67" s="27">
        <v>1.25</v>
      </c>
      <c r="J67" s="26">
        <f>136*2</f>
        <v>272</v>
      </c>
      <c r="K67" s="36">
        <f t="shared" si="3"/>
        <v>168.61</v>
      </c>
      <c r="L67" s="34" t="s">
        <v>120</v>
      </c>
    </row>
    <row r="68" spans="1:20" ht="39.950000000000003" customHeight="1">
      <c r="A68" s="27">
        <v>1.47</v>
      </c>
      <c r="B68" s="33" t="s">
        <v>177</v>
      </c>
      <c r="C68" s="26" t="s">
        <v>138</v>
      </c>
      <c r="D68" s="27">
        <v>1.75</v>
      </c>
      <c r="E68" s="26" t="s">
        <v>164</v>
      </c>
      <c r="F68" s="26">
        <v>130</v>
      </c>
      <c r="G68" s="37">
        <f t="shared" si="1"/>
        <v>38.54</v>
      </c>
      <c r="H68" s="32" t="s">
        <v>16</v>
      </c>
      <c r="I68" s="27">
        <v>1.25</v>
      </c>
      <c r="J68" s="26">
        <f>136</f>
        <v>136</v>
      </c>
      <c r="K68" s="36">
        <f t="shared" si="3"/>
        <v>84.31</v>
      </c>
      <c r="L68" s="34" t="s">
        <v>120</v>
      </c>
    </row>
    <row r="69" spans="1:20" ht="39.950000000000003" customHeight="1">
      <c r="A69" s="27">
        <v>1.48</v>
      </c>
      <c r="B69" s="33" t="s">
        <v>178</v>
      </c>
      <c r="C69" s="26" t="s">
        <v>138</v>
      </c>
      <c r="D69" s="32">
        <v>2.5</v>
      </c>
      <c r="E69" s="26" t="s">
        <v>164</v>
      </c>
      <c r="F69" s="26">
        <v>130</v>
      </c>
      <c r="G69" s="37">
        <f t="shared" si="1"/>
        <v>38.54</v>
      </c>
      <c r="H69" s="32" t="s">
        <v>16</v>
      </c>
      <c r="I69" s="27">
        <v>1.25</v>
      </c>
      <c r="J69" s="26">
        <v>153</v>
      </c>
      <c r="K69" s="36">
        <f t="shared" ref="K69" si="4">ROUND(D69*G69*I69,2)</f>
        <v>120.44</v>
      </c>
      <c r="L69" s="34" t="s">
        <v>120</v>
      </c>
    </row>
    <row r="70" spans="1:20" ht="39.950000000000003" customHeight="1">
      <c r="A70" s="27">
        <v>1.49</v>
      </c>
      <c r="B70" s="33" t="s">
        <v>187</v>
      </c>
      <c r="C70" s="26" t="s">
        <v>138</v>
      </c>
      <c r="D70" s="32">
        <v>5.0000000000000001E-3</v>
      </c>
      <c r="E70" s="26" t="s">
        <v>164</v>
      </c>
      <c r="F70" s="26">
        <v>130</v>
      </c>
      <c r="G70" s="37">
        <f t="shared" ref="G70" si="5">IF(F70&lt;=200,HLOOKUP(F70,$U$2:$HL$3,2,TRUE),(((F70-200)*0.24)+54.71))</f>
        <v>38.54</v>
      </c>
      <c r="H70" s="32" t="s">
        <v>9</v>
      </c>
      <c r="I70" s="27">
        <v>1</v>
      </c>
      <c r="J70" s="26">
        <v>17</v>
      </c>
      <c r="K70" s="36">
        <f t="shared" ref="K70" si="6">ROUND(D70*G70*I70,2)</f>
        <v>0.19</v>
      </c>
      <c r="L70" s="34" t="s">
        <v>120</v>
      </c>
      <c r="S70" s="19"/>
      <c r="T70" s="19"/>
    </row>
    <row r="71" spans="1:20" ht="39.950000000000003" customHeight="1">
      <c r="A71" s="3"/>
      <c r="B71" s="4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20" ht="39.950000000000003" customHeight="1">
      <c r="A72" s="3"/>
      <c r="B72" s="4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20" ht="39.950000000000003" customHeight="1">
      <c r="A73" s="3"/>
      <c r="B73" s="4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20" ht="39.950000000000003" customHeight="1">
      <c r="A74" s="3"/>
      <c r="B74" s="4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20" ht="39.950000000000003" customHeight="1">
      <c r="A75" s="3"/>
      <c r="B75" s="4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20" ht="39.950000000000003" customHeight="1">
      <c r="A76" s="3"/>
      <c r="B76" s="4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20" ht="39.950000000000003" customHeight="1">
      <c r="A77" s="3"/>
      <c r="B77" s="4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20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20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20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241" spans="3:211" ht="19.5" customHeight="1">
      <c r="C241" s="11"/>
      <c r="D241" s="11"/>
      <c r="E241" s="11"/>
      <c r="F241" s="11"/>
      <c r="G241" s="11"/>
      <c r="H241" s="11"/>
      <c r="I241" s="11"/>
      <c r="J241" s="11"/>
      <c r="K241" s="11"/>
      <c r="L241" s="16"/>
      <c r="M241" s="16"/>
      <c r="N241" s="16"/>
      <c r="O241" s="16"/>
      <c r="P241" s="16"/>
      <c r="Q241" s="16"/>
      <c r="R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</row>
    <row r="242" spans="3:211" ht="19.5" customHeight="1">
      <c r="C242" s="11"/>
      <c r="D242" s="11"/>
      <c r="E242" s="11"/>
      <c r="F242" s="11"/>
      <c r="G242" s="11"/>
      <c r="H242" s="11"/>
      <c r="I242" s="11"/>
      <c r="J242" s="11"/>
      <c r="K242" s="11"/>
      <c r="L242" s="16"/>
      <c r="M242" s="16"/>
      <c r="N242" s="16"/>
      <c r="O242" s="16"/>
      <c r="P242" s="16"/>
      <c r="Q242" s="16"/>
      <c r="R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</row>
  </sheetData>
  <mergeCells count="31">
    <mergeCell ref="A1:B1"/>
    <mergeCell ref="A2:B2"/>
    <mergeCell ref="S2:T2"/>
    <mergeCell ref="A3:B4"/>
    <mergeCell ref="K3:L4"/>
    <mergeCell ref="S3:T3"/>
    <mergeCell ref="T7:T15"/>
    <mergeCell ref="A9:B10"/>
    <mergeCell ref="K9:L10"/>
    <mergeCell ref="A11:B12"/>
    <mergeCell ref="H11:H12"/>
    <mergeCell ref="A5:B6"/>
    <mergeCell ref="K5:L6"/>
    <mergeCell ref="A7:B8"/>
    <mergeCell ref="K7:L8"/>
    <mergeCell ref="S7:S15"/>
    <mergeCell ref="J11:K12"/>
    <mergeCell ref="A13:L15"/>
    <mergeCell ref="A16:A18"/>
    <mergeCell ref="B16:B18"/>
    <mergeCell ref="C16:C18"/>
    <mergeCell ref="D16:D18"/>
    <mergeCell ref="E16:E18"/>
    <mergeCell ref="L16:L18"/>
    <mergeCell ref="H17:H18"/>
    <mergeCell ref="I17:I18"/>
    <mergeCell ref="F16:F18"/>
    <mergeCell ref="G16:G18"/>
    <mergeCell ref="H16:I16"/>
    <mergeCell ref="J16:J18"/>
    <mergeCell ref="K16:K18"/>
  </mergeCells>
  <pageMargins left="0.78740157480314965" right="0.78740157480314965" top="0.39370078740157483" bottom="0.39370078740157483" header="0.31496062992125984" footer="0.31496062992125984"/>
  <pageSetup paperSize="9" scale="42" fitToWidth="0" orientation="landscape" r:id="rId1"/>
  <rowBreaks count="1" manualBreakCount="1">
    <brk id="41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14" baseType="lpstr">
      <vt:lpstr>კრებსითი</vt:lpstr>
      <vt:lpstr>1-1</vt:lpstr>
      <vt:lpstr>2-1</vt:lpstr>
      <vt:lpstr>4-1</vt:lpstr>
      <vt:lpstr>სატენდერო კრებსითი</vt:lpstr>
      <vt:lpstr>სატენდერო</vt:lpstr>
      <vt:lpstr>ტრანსპორტირება</vt:lpstr>
      <vt:lpstr>'1-1'!Область_печати</vt:lpstr>
      <vt:lpstr>'2-1'!Область_печати</vt:lpstr>
      <vt:lpstr>'4-1'!Область_печати</vt:lpstr>
      <vt:lpstr>კრებსითი!Область_печати</vt:lpstr>
      <vt:lpstr>სატენდერო!Область_печати</vt:lpstr>
      <vt:lpstr>'სატენდერო კრებსითი'!Область_печати</vt:lpstr>
      <vt:lpstr>ტრანსპორტირება!Область_печати</vt:lpstr>
      <vt:lpstr>აგური251210</vt:lpstr>
      <vt:lpstr>აგური251211</vt:lpstr>
      <vt:lpstr>ანაკრებიკიუვეტი10</vt:lpstr>
      <vt:lpstr>ანაკრებიკიუვეტი11</vt:lpstr>
      <vt:lpstr>არმატურაა110</vt:lpstr>
      <vt:lpstr>არმატურაა111</vt:lpstr>
      <vt:lpstr>არმატურაა310</vt:lpstr>
      <vt:lpstr>არმატურაა311</vt:lpstr>
      <vt:lpstr>ბაგირიფოლადის10</vt:lpstr>
      <vt:lpstr>ბაგირიფოლადის11</vt:lpstr>
      <vt:lpstr>ბარიერიბეტონის10</vt:lpstr>
      <vt:lpstr>ბარიერიბეტონის11</vt:lpstr>
      <vt:lpstr>ბეტონიბ1510</vt:lpstr>
      <vt:lpstr>ბეტონიბ1511</vt:lpstr>
      <vt:lpstr>ბეტონიბ22510</vt:lpstr>
      <vt:lpstr>ბეტონიბ22511</vt:lpstr>
      <vt:lpstr>ბეტონიბ2510</vt:lpstr>
      <vt:lpstr>ბეტონიბ2510უ</vt:lpstr>
      <vt:lpstr>ბეტონიბ2511</vt:lpstr>
      <vt:lpstr>ბეტონიბ2511უ</vt:lpstr>
      <vt:lpstr>ბეტონიბ3010</vt:lpstr>
      <vt:lpstr>ბეტონიბ3010უ</vt:lpstr>
      <vt:lpstr>ბეტონიბ3011</vt:lpstr>
      <vt:lpstr>ბეტონიბ3011უ</vt:lpstr>
      <vt:lpstr>ბეტონიბ710</vt:lpstr>
      <vt:lpstr>ბეტონიბ711</vt:lpstr>
      <vt:lpstr>ბეტონისქვაფენილი10</vt:lpstr>
      <vt:lpstr>ბეტონისქვაფენილი11</vt:lpstr>
      <vt:lpstr>ბიტუმინავთობის10</vt:lpstr>
      <vt:lpstr>ბიტუმინავთობის11</vt:lpstr>
      <vt:lpstr>ბიტუმისემულსია10</vt:lpstr>
      <vt:lpstr>ბიტუმისემულსია11</vt:lpstr>
      <vt:lpstr>ბლოკიბეტონის10</vt:lpstr>
      <vt:lpstr>ბლოკიბეტონის11</vt:lpstr>
      <vt:lpstr>გაბიონი1.51110</vt:lpstr>
      <vt:lpstr>გაბიონი1.51111</vt:lpstr>
      <vt:lpstr>გაბიონი21110</vt:lpstr>
      <vt:lpstr>გაბიონი21111</vt:lpstr>
      <vt:lpstr>დგარიცდ10</vt:lpstr>
      <vt:lpstr>დგარიცდ11</vt:lpstr>
      <vt:lpstr>კუთხოვანა608010</vt:lpstr>
      <vt:lpstr>კუთხოვანა608011</vt:lpstr>
      <vt:lpstr>ლითონისდგარი10210</vt:lpstr>
      <vt:lpstr>ლითონისდგარი10211</vt:lpstr>
      <vt:lpstr>ლითონისდგარი11410</vt:lpstr>
      <vt:lpstr>ლითონისდგარი11411</vt:lpstr>
      <vt:lpstr>ლითონისდგარი7610</vt:lpstr>
      <vt:lpstr>ლითონისდგარი7611</vt:lpstr>
      <vt:lpstr>ლითონისმილი10</vt:lpstr>
      <vt:lpstr>ლითონისმილი11</vt:lpstr>
      <vt:lpstr>ლითონისმილიდ150010</vt:lpstr>
      <vt:lpstr>ლითონისმილიდ150011</vt:lpstr>
      <vt:lpstr>ლითონისმოაჯირი10</vt:lpstr>
      <vt:lpstr>ლითონისმოაჯირი11</vt:lpstr>
      <vt:lpstr>მილი1მრბ100010</vt:lpstr>
      <vt:lpstr>მილი1მრბ100011</vt:lpstr>
      <vt:lpstr>მილი1მრბ150010</vt:lpstr>
      <vt:lpstr>მილი1მრბ150011</vt:lpstr>
      <vt:lpstr>მილირბ100010</vt:lpstr>
      <vt:lpstr>მილირბ100011</vt:lpstr>
      <vt:lpstr>მსხვილმარცვლოვანიასფალტობეტონი10</vt:lpstr>
      <vt:lpstr>მსხვილმარცვლოვანიასფალტობეტონი11</vt:lpstr>
      <vt:lpstr>რესორიფოლადის10</vt:lpstr>
      <vt:lpstr>რესორიფოლადის11</vt:lpstr>
      <vt:lpstr>ფიცარიჩამოგანილი10</vt:lpstr>
      <vt:lpstr>ფიცარიჩამოგანილი11</vt:lpstr>
      <vt:lpstr>ფიცარიჩამოგანილი2510</vt:lpstr>
      <vt:lpstr>ფიცარიჩამოგანილი2511</vt:lpstr>
      <vt:lpstr>ფიცარიჩამოგანილი7010</vt:lpstr>
      <vt:lpstr>ფიცარიჩამოგანილი7011</vt:lpstr>
      <vt:lpstr>ფლეთილიქვა10</vt:lpstr>
      <vt:lpstr>ფლეთილიქვა11</vt:lpstr>
      <vt:lpstr>ფოლადისზოლოვანა6010</vt:lpstr>
      <vt:lpstr>ფოლადისზოლოვანა6011</vt:lpstr>
      <vt:lpstr>ფოლადისკვადრატი10</vt:lpstr>
      <vt:lpstr>ფოლადისკვადრატი11</vt:lpstr>
      <vt:lpstr>ქვიშაყვითელი10</vt:lpstr>
      <vt:lpstr>ქვიშაყვითელი11</vt:lpstr>
      <vt:lpstr>ქვიშაშავი10</vt:lpstr>
      <vt:lpstr>ქვიშაშავი11</vt:lpstr>
      <vt:lpstr>ქვიშახრეშოვანინარევი10</vt:lpstr>
      <vt:lpstr>ქვიშახრეშოვანინარევი11</vt:lpstr>
      <vt:lpstr>ღორღი10</vt:lpstr>
      <vt:lpstr>ღორღი11</vt:lpstr>
      <vt:lpstr>ყალიბისფიცარი4010</vt:lpstr>
      <vt:lpstr>ყალიბისფიცარი4011</vt:lpstr>
      <vt:lpstr>ყორექვა10</vt:lpstr>
      <vt:lpstr>ყორექვა11</vt:lpstr>
      <vt:lpstr>ცემენტიმ40010</vt:lpstr>
      <vt:lpstr>ცემენტიმ40011</vt:lpstr>
      <vt:lpstr>ცემენტისსხნარიმ20010</vt:lpstr>
      <vt:lpstr>ცემენტისხნსარი1210</vt:lpstr>
      <vt:lpstr>ცემენტისხსნარი1211</vt:lpstr>
      <vt:lpstr>ცემენტისხსნარი1310</vt:lpstr>
      <vt:lpstr>ცემენტისხსნარი1311</vt:lpstr>
      <vt:lpstr>ცემენტისხსნარიმ20011</vt:lpstr>
      <vt:lpstr>წვრილმარცვლოვანიასფალტობეტონი10</vt:lpstr>
      <vt:lpstr>წვრილმარცვლოვანიასფალტობეტონი11</vt:lpstr>
      <vt:lpstr>ხისმორი10</vt:lpstr>
      <vt:lpstr>ხისმორი11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2019-01-11T10:09:31Z</dcterms:modified>
</cp:coreProperties>
</file>