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/>
  </bookViews>
  <sheets>
    <sheet name="კრებსითი" sheetId="4" r:id="rId1"/>
    <sheet name="1-1" sheetId="5" r:id="rId2"/>
    <sheet name="2-1" sheetId="9" r:id="rId3"/>
    <sheet name="3-1" sheetId="11" r:id="rId4"/>
    <sheet name="3-2" sheetId="15" r:id="rId5"/>
    <sheet name="3-3" sheetId="33" r:id="rId6"/>
    <sheet name="4-1" sheetId="32" r:id="rId7"/>
    <sheet name="სატენდერო კრებსითი" sheetId="31" r:id="rId8"/>
    <sheet name="სატენდერო" sheetId="30" r:id="rId9"/>
    <sheet name="ტრანსპორტირება" sheetId="29" r:id="rId10"/>
  </sheets>
  <definedNames>
    <definedName name="_xlnm._FilterDatabase" localSheetId="5" hidden="1">'3-3'!$A$1:$M$170</definedName>
    <definedName name="_xlnm.Print_Area" localSheetId="1">'1-1'!$A$1:$M$27</definedName>
    <definedName name="_xlnm.Print_Area" localSheetId="2">'2-1'!$A$1:$M$40</definedName>
    <definedName name="_xlnm.Print_Area" localSheetId="3">'3-1'!$A$1:$M$152</definedName>
    <definedName name="_xlnm.Print_Area" localSheetId="4">'3-2'!$A$1:$M$134</definedName>
    <definedName name="_xlnm.Print_Area" localSheetId="5">'3-3'!$A$2:$M$151</definedName>
    <definedName name="_xlnm.Print_Area" localSheetId="6">'4-1'!$A$1:$M$75</definedName>
    <definedName name="_xlnm.Print_Area" localSheetId="0">კრებსითი!$A$1:$G$38</definedName>
    <definedName name="_xlnm.Print_Area" localSheetId="8">სატენდერო!$A$1:$I$129</definedName>
    <definedName name="_xlnm.Print_Area" localSheetId="7">'სატენდერო კრებსითი'!$A$1:$D$35</definedName>
    <definedName name="_xlnm.Print_Area" localSheetId="9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ტრანსპორტირება!$J$71</definedName>
    <definedName name="დეკორატიულიქვა11">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/>
  <c r="E21"/>
  <c r="D21"/>
  <c r="F19"/>
  <c r="E19"/>
  <c r="D19"/>
  <c r="F18"/>
  <c r="E18"/>
  <c r="D18"/>
  <c r="F17"/>
  <c r="E17"/>
  <c r="D17"/>
  <c r="F15"/>
  <c r="E15"/>
  <c r="D15"/>
  <c r="F13"/>
  <c r="E13"/>
  <c r="D13"/>
  <c r="G18"/>
  <c r="G13" l="1"/>
  <c r="G21"/>
  <c r="D23"/>
  <c r="G19"/>
  <c r="E23"/>
  <c r="F23"/>
  <c r="G17"/>
  <c r="G15"/>
  <c r="G23" l="1"/>
  <c r="G25" s="1"/>
  <c r="G26" s="1"/>
  <c r="G27" s="1"/>
  <c r="G28" s="1"/>
  <c r="G29" s="1"/>
  <c r="G30" s="1"/>
  <c r="G31" l="1"/>
  <c r="G33" s="1"/>
  <c r="F130" i="11" l="1"/>
  <c r="F135" s="1"/>
  <c r="F127"/>
  <c r="F126"/>
  <c r="E123"/>
  <c r="F119"/>
  <c r="F120" s="1"/>
  <c r="F122" s="1"/>
  <c r="F113"/>
  <c r="F115" s="1"/>
  <c r="F106"/>
  <c r="F110" s="1"/>
  <c r="F101"/>
  <c r="F102" s="1"/>
  <c r="F93"/>
  <c r="F97" s="1"/>
  <c r="E87"/>
  <c r="F86"/>
  <c r="F89" s="1"/>
  <c r="F78"/>
  <c r="F82" s="1"/>
  <c r="E72"/>
  <c r="F62"/>
  <c r="F75" s="1"/>
  <c r="F51"/>
  <c r="F59" s="1"/>
  <c r="F44"/>
  <c r="F47" s="1"/>
  <c r="F37"/>
  <c r="F40" s="1"/>
  <c r="F33"/>
  <c r="F34" s="1"/>
  <c r="F25"/>
  <c r="F26" s="1"/>
  <c r="F23"/>
  <c r="F20"/>
  <c r="F21" s="1"/>
  <c r="E18"/>
  <c r="F18" s="1"/>
  <c r="F10"/>
  <c r="F11" s="1"/>
  <c r="F78" i="15"/>
  <c r="F106"/>
  <c r="F108" s="1"/>
  <c r="F98"/>
  <c r="F101" s="1"/>
  <c r="F91"/>
  <c r="F93" s="1"/>
  <c r="F76"/>
  <c r="F75"/>
  <c r="F74"/>
  <c r="F73"/>
  <c r="E87"/>
  <c r="F86"/>
  <c r="F88" s="1"/>
  <c r="F79"/>
  <c r="F83" s="1"/>
  <c r="F68"/>
  <c r="E66"/>
  <c r="F65"/>
  <c r="F63"/>
  <c r="F60"/>
  <c r="F56"/>
  <c r="F69" s="1"/>
  <c r="F49"/>
  <c r="F53" s="1"/>
  <c r="F42"/>
  <c r="F46" s="1"/>
  <c r="F34"/>
  <c r="F35" s="1"/>
  <c r="F32"/>
  <c r="F29"/>
  <c r="F30" s="1"/>
  <c r="E27"/>
  <c r="F26"/>
  <c r="F19"/>
  <c r="F21" s="1"/>
  <c r="E16"/>
  <c r="F16" s="1"/>
  <c r="E15"/>
  <c r="F15" s="1"/>
  <c r="E14"/>
  <c r="F14" s="1"/>
  <c r="F13"/>
  <c r="E12"/>
  <c r="F12" s="1"/>
  <c r="F131" i="33"/>
  <c r="F135" s="1"/>
  <c r="F128"/>
  <c r="F127"/>
  <c r="E124"/>
  <c r="F120"/>
  <c r="F121" s="1"/>
  <c r="F123" s="1"/>
  <c r="F114"/>
  <c r="F118" s="1"/>
  <c r="F107"/>
  <c r="F108" s="1"/>
  <c r="F102"/>
  <c r="F104" s="1"/>
  <c r="F94"/>
  <c r="F97" s="1"/>
  <c r="E88"/>
  <c r="F87"/>
  <c r="F89" s="1"/>
  <c r="F79"/>
  <c r="F84" s="1"/>
  <c r="F33"/>
  <c r="E73"/>
  <c r="F63"/>
  <c r="F74" s="1"/>
  <c r="F52"/>
  <c r="F53" s="1"/>
  <c r="F45"/>
  <c r="F49" s="1"/>
  <c r="F38"/>
  <c r="F42" s="1"/>
  <c r="F35"/>
  <c r="F26"/>
  <c r="F27" s="1"/>
  <c r="F30" s="1"/>
  <c r="F24"/>
  <c r="F21"/>
  <c r="F22" s="1"/>
  <c r="E19"/>
  <c r="F19" s="1"/>
  <c r="F11"/>
  <c r="F13" s="1"/>
  <c r="F133" i="11" l="1"/>
  <c r="F114"/>
  <c r="F83"/>
  <c r="F66"/>
  <c r="F74"/>
  <c r="F72"/>
  <c r="F96"/>
  <c r="F107"/>
  <c r="F14"/>
  <c r="F87"/>
  <c r="F134"/>
  <c r="F79"/>
  <c r="F88"/>
  <c r="F117"/>
  <c r="F30"/>
  <c r="F29"/>
  <c r="F27"/>
  <c r="F28"/>
  <c r="F53"/>
  <c r="F123"/>
  <c r="F13"/>
  <c r="F38"/>
  <c r="F41"/>
  <c r="F45"/>
  <c r="F48"/>
  <c r="F52"/>
  <c r="F65"/>
  <c r="F69"/>
  <c r="F71"/>
  <c r="F73"/>
  <c r="F81"/>
  <c r="F95"/>
  <c r="F103"/>
  <c r="F116"/>
  <c r="F121"/>
  <c r="F132"/>
  <c r="F39"/>
  <c r="F12"/>
  <c r="F58"/>
  <c r="F64"/>
  <c r="F80"/>
  <c r="F90"/>
  <c r="F94"/>
  <c r="F98"/>
  <c r="F108"/>
  <c r="F131"/>
  <c r="F46"/>
  <c r="F57"/>
  <c r="F54"/>
  <c r="F63"/>
  <c r="F70"/>
  <c r="F110" i="15"/>
  <c r="F94"/>
  <c r="F95"/>
  <c r="F87"/>
  <c r="F66"/>
  <c r="F45"/>
  <c r="F27"/>
  <c r="F22"/>
  <c r="F20"/>
  <c r="F23"/>
  <c r="F52"/>
  <c r="F59"/>
  <c r="F67"/>
  <c r="F92"/>
  <c r="F109"/>
  <c r="F107"/>
  <c r="F111"/>
  <c r="F37"/>
  <c r="F39"/>
  <c r="F38"/>
  <c r="F36"/>
  <c r="F99"/>
  <c r="F100"/>
  <c r="F102"/>
  <c r="F44"/>
  <c r="F81"/>
  <c r="F51"/>
  <c r="F58"/>
  <c r="F103"/>
  <c r="F43"/>
  <c r="F50"/>
  <c r="F57"/>
  <c r="F64"/>
  <c r="F80"/>
  <c r="F115" i="33"/>
  <c r="F116"/>
  <c r="F117"/>
  <c r="F103"/>
  <c r="F95"/>
  <c r="F96"/>
  <c r="F98"/>
  <c r="F88"/>
  <c r="F90"/>
  <c r="F81"/>
  <c r="F91"/>
  <c r="F99"/>
  <c r="F109"/>
  <c r="F111"/>
  <c r="F133"/>
  <c r="F134"/>
  <c r="F136"/>
  <c r="F80"/>
  <c r="F82"/>
  <c r="F83"/>
  <c r="F132"/>
  <c r="F124"/>
  <c r="F122"/>
  <c r="F73"/>
  <c r="F59"/>
  <c r="F41"/>
  <c r="F12"/>
  <c r="F29"/>
  <c r="F15"/>
  <c r="F28"/>
  <c r="F48"/>
  <c r="F55"/>
  <c r="F60"/>
  <c r="F64"/>
  <c r="F71"/>
  <c r="F76"/>
  <c r="F65"/>
  <c r="F14"/>
  <c r="F31"/>
  <c r="F40"/>
  <c r="F47"/>
  <c r="F54"/>
  <c r="F58"/>
  <c r="F67"/>
  <c r="F75"/>
  <c r="F39"/>
  <c r="F46"/>
  <c r="F66"/>
  <c r="F70"/>
  <c r="F72"/>
  <c r="F61" i="32" l="1"/>
  <c r="F62" s="1"/>
  <c r="F60"/>
  <c r="F59"/>
  <c r="F58"/>
  <c r="F57"/>
  <c r="F56"/>
  <c r="E50"/>
  <c r="F47"/>
  <c r="F52" s="1"/>
  <c r="E44"/>
  <c r="E43"/>
  <c r="F37"/>
  <c r="F39" s="1"/>
  <c r="F34"/>
  <c r="F33"/>
  <c r="F32"/>
  <c r="F31"/>
  <c r="F24"/>
  <c r="F23"/>
  <c r="F19"/>
  <c r="F21" s="1"/>
  <c r="F10"/>
  <c r="F13" s="1"/>
  <c r="F26" i="9"/>
  <c r="F27" s="1"/>
  <c r="F18"/>
  <c r="F19" s="1"/>
  <c r="F10"/>
  <c r="F12" s="1"/>
  <c r="F41" i="32" l="1"/>
  <c r="F42"/>
  <c r="F44"/>
  <c r="F38"/>
  <c r="F43"/>
  <c r="F40"/>
  <c r="F20"/>
  <c r="F28"/>
  <c r="F26"/>
  <c r="F12"/>
  <c r="F49"/>
  <c r="F15"/>
  <c r="F48"/>
  <c r="F14"/>
  <c r="F22"/>
  <c r="F25"/>
  <c r="F27"/>
  <c r="F51"/>
  <c r="F50"/>
  <c r="F53"/>
  <c r="F11"/>
  <c r="F16"/>
  <c r="F11" i="9"/>
  <c r="F14"/>
  <c r="F20"/>
  <c r="F22"/>
  <c r="F23"/>
  <c r="F21"/>
  <c r="F28"/>
  <c r="F13"/>
  <c r="F16"/>
  <c r="E16" i="5" l="1"/>
  <c r="F16" s="1"/>
  <c r="J31" i="29" l="1"/>
  <c r="J29"/>
  <c r="J28"/>
  <c r="J27"/>
  <c r="I102" i="30" l="1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D102"/>
  <c r="D101"/>
  <c r="D99"/>
  <c r="D98"/>
  <c r="D97"/>
  <c r="D96"/>
  <c r="D95"/>
  <c r="D94"/>
  <c r="D93"/>
  <c r="D92"/>
  <c r="D91"/>
  <c r="D90"/>
  <c r="D89"/>
  <c r="D85"/>
  <c r="D84"/>
  <c r="C102"/>
  <c r="E102" s="1"/>
  <c r="C101"/>
  <c r="E101" s="1"/>
  <c r="C100"/>
  <c r="C99"/>
  <c r="E99" s="1"/>
  <c r="C98"/>
  <c r="F98" s="1"/>
  <c r="C97"/>
  <c r="F97" s="1"/>
  <c r="C96"/>
  <c r="E96" s="1"/>
  <c r="C95"/>
  <c r="E95" s="1"/>
  <c r="C94"/>
  <c r="E94" s="1"/>
  <c r="C93"/>
  <c r="E93" s="1"/>
  <c r="C92"/>
  <c r="E92" s="1"/>
  <c r="C91"/>
  <c r="E91" s="1"/>
  <c r="C90"/>
  <c r="E90" s="1"/>
  <c r="C89"/>
  <c r="F89" s="1"/>
  <c r="C88"/>
  <c r="E88" s="1"/>
  <c r="C87"/>
  <c r="E87" s="1"/>
  <c r="C86"/>
  <c r="E86" s="1"/>
  <c r="C85"/>
  <c r="E85" s="1"/>
  <c r="C84"/>
  <c r="E84" s="1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25" i="31" s="1"/>
  <c r="D100" i="30"/>
  <c r="H89"/>
  <c r="H86"/>
  <c r="H85"/>
  <c r="A2" i="33"/>
  <c r="I56" i="30"/>
  <c r="D56"/>
  <c r="C56"/>
  <c r="E56" s="1"/>
  <c r="B56"/>
  <c r="A56"/>
  <c r="F99" l="1"/>
  <c r="E89"/>
  <c r="F100"/>
  <c r="F85"/>
  <c r="G85" s="1"/>
  <c r="F94"/>
  <c r="F91"/>
  <c r="D88"/>
  <c r="E98"/>
  <c r="G89"/>
  <c r="D86"/>
  <c r="F86" s="1"/>
  <c r="G86" s="1"/>
  <c r="F90"/>
  <c r="F101"/>
  <c r="E100"/>
  <c r="F84"/>
  <c r="F92"/>
  <c r="F102"/>
  <c r="E97"/>
  <c r="F95"/>
  <c r="F93"/>
  <c r="F88"/>
  <c r="F96"/>
  <c r="F56"/>
  <c r="H102"/>
  <c r="H101"/>
  <c r="H98"/>
  <c r="G98" s="1"/>
  <c r="H97"/>
  <c r="G97" s="1"/>
  <c r="H95"/>
  <c r="H96"/>
  <c r="H99"/>
  <c r="H84"/>
  <c r="H94"/>
  <c r="G71" i="29"/>
  <c r="K71" s="1"/>
  <c r="G99" i="30" l="1"/>
  <c r="G94"/>
  <c r="H93"/>
  <c r="G93" s="1"/>
  <c r="G101"/>
  <c r="H87"/>
  <c r="D87"/>
  <c r="F87" s="1"/>
  <c r="H88"/>
  <c r="G88" s="1"/>
  <c r="G102"/>
  <c r="H90"/>
  <c r="G90" s="1"/>
  <c r="G96"/>
  <c r="G95"/>
  <c r="G84"/>
  <c r="H92"/>
  <c r="G92" s="1"/>
  <c r="H91"/>
  <c r="H100"/>
  <c r="G100" s="1"/>
  <c r="H56"/>
  <c r="G56" s="1"/>
  <c r="G87" l="1"/>
  <c r="H103"/>
  <c r="H104" s="1"/>
  <c r="H105" s="1"/>
  <c r="H106" s="1"/>
  <c r="H107" s="1"/>
  <c r="D25" i="31" s="1"/>
  <c r="G91" i="30"/>
  <c r="I46"/>
  <c r="D46"/>
  <c r="C46"/>
  <c r="E46" s="1"/>
  <c r="A46"/>
  <c r="B46"/>
  <c r="F46" l="1"/>
  <c r="H46" l="1"/>
  <c r="G46" s="1"/>
  <c r="I77"/>
  <c r="I76"/>
  <c r="I75"/>
  <c r="I74"/>
  <c r="I73"/>
  <c r="I72"/>
  <c r="I71"/>
  <c r="I70"/>
  <c r="I69"/>
  <c r="I68"/>
  <c r="I67"/>
  <c r="I66"/>
  <c r="I65"/>
  <c r="I64"/>
  <c r="I63"/>
  <c r="D77"/>
  <c r="D76"/>
  <c r="D75"/>
  <c r="D74"/>
  <c r="D73"/>
  <c r="D72"/>
  <c r="D71"/>
  <c r="D70"/>
  <c r="D69"/>
  <c r="D65"/>
  <c r="D64"/>
  <c r="D63"/>
  <c r="C77"/>
  <c r="E77" s="1"/>
  <c r="C76"/>
  <c r="E76" s="1"/>
  <c r="C75"/>
  <c r="E75" s="1"/>
  <c r="C74"/>
  <c r="F74" s="1"/>
  <c r="C73"/>
  <c r="E73" s="1"/>
  <c r="C72"/>
  <c r="E72" s="1"/>
  <c r="C71"/>
  <c r="E71" s="1"/>
  <c r="C70"/>
  <c r="F70" s="1"/>
  <c r="C69"/>
  <c r="E69" s="1"/>
  <c r="C68"/>
  <c r="E68" s="1"/>
  <c r="C67"/>
  <c r="E67" s="1"/>
  <c r="C66"/>
  <c r="C65"/>
  <c r="E65" s="1"/>
  <c r="C64"/>
  <c r="E64" s="1"/>
  <c r="C63"/>
  <c r="A77"/>
  <c r="A76"/>
  <c r="A75"/>
  <c r="A74"/>
  <c r="A73"/>
  <c r="A72"/>
  <c r="A71"/>
  <c r="A70"/>
  <c r="A69"/>
  <c r="A68"/>
  <c r="A67"/>
  <c r="A66"/>
  <c r="A65"/>
  <c r="A64"/>
  <c r="A63"/>
  <c r="B77"/>
  <c r="B76"/>
  <c r="B75"/>
  <c r="B74"/>
  <c r="B73"/>
  <c r="B72"/>
  <c r="B71"/>
  <c r="B70"/>
  <c r="B69"/>
  <c r="B68"/>
  <c r="B67"/>
  <c r="B66"/>
  <c r="B65"/>
  <c r="B64"/>
  <c r="B63"/>
  <c r="H67"/>
  <c r="H65"/>
  <c r="F63" l="1"/>
  <c r="D66"/>
  <c r="F66" s="1"/>
  <c r="D67"/>
  <c r="F67" s="1"/>
  <c r="G67" s="1"/>
  <c r="D68"/>
  <c r="F68" s="1"/>
  <c r="E70"/>
  <c r="E74"/>
  <c r="E66"/>
  <c r="E63"/>
  <c r="F75"/>
  <c r="F71"/>
  <c r="F76"/>
  <c r="F72"/>
  <c r="F64"/>
  <c r="F77"/>
  <c r="F73"/>
  <c r="F69"/>
  <c r="F65"/>
  <c r="G65" s="1"/>
  <c r="H72"/>
  <c r="H75"/>
  <c r="H66"/>
  <c r="H73"/>
  <c r="H77"/>
  <c r="H63"/>
  <c r="G63" l="1"/>
  <c r="H64"/>
  <c r="G66"/>
  <c r="G72"/>
  <c r="G75"/>
  <c r="G64"/>
  <c r="G73"/>
  <c r="H69"/>
  <c r="G69" s="1"/>
  <c r="H70"/>
  <c r="G70" s="1"/>
  <c r="G77"/>
  <c r="H74"/>
  <c r="G74" s="1"/>
  <c r="H71"/>
  <c r="G71" s="1"/>
  <c r="H76" l="1"/>
  <c r="G76" s="1"/>
  <c r="H68"/>
  <c r="G68" s="1"/>
  <c r="I114" l="1"/>
  <c r="I113"/>
  <c r="I112"/>
  <c r="I111"/>
  <c r="I110"/>
  <c r="I109"/>
  <c r="D114"/>
  <c r="D113"/>
  <c r="D112"/>
  <c r="D111"/>
  <c r="D110"/>
  <c r="D109"/>
  <c r="C114"/>
  <c r="E114" s="1"/>
  <c r="C113"/>
  <c r="F113" s="1"/>
  <c r="C112"/>
  <c r="E112" s="1"/>
  <c r="C111"/>
  <c r="E111" s="1"/>
  <c r="C110"/>
  <c r="E110" s="1"/>
  <c r="C109"/>
  <c r="F109" s="1"/>
  <c r="A114"/>
  <c r="A113"/>
  <c r="A112"/>
  <c r="A111"/>
  <c r="A110"/>
  <c r="A109"/>
  <c r="B114"/>
  <c r="B113"/>
  <c r="B112"/>
  <c r="B111"/>
  <c r="B110"/>
  <c r="B109"/>
  <c r="B108"/>
  <c r="B27" i="31" s="1"/>
  <c r="F112" i="30" l="1"/>
  <c r="F111"/>
  <c r="F114"/>
  <c r="E109"/>
  <c r="F110"/>
  <c r="E113"/>
  <c r="I55"/>
  <c r="I54"/>
  <c r="I53"/>
  <c r="I52"/>
  <c r="I51"/>
  <c r="I50"/>
  <c r="I49"/>
  <c r="I48"/>
  <c r="I47"/>
  <c r="I45"/>
  <c r="I44"/>
  <c r="I43"/>
  <c r="I42"/>
  <c r="I41"/>
  <c r="I40"/>
  <c r="I39"/>
  <c r="I38"/>
  <c r="D55"/>
  <c r="D54"/>
  <c r="D53"/>
  <c r="D52"/>
  <c r="D51"/>
  <c r="D50"/>
  <c r="D49"/>
  <c r="D48"/>
  <c r="D47"/>
  <c r="D45"/>
  <c r="D44"/>
  <c r="D43"/>
  <c r="D39"/>
  <c r="D38"/>
  <c r="C55"/>
  <c r="C54"/>
  <c r="C53"/>
  <c r="E53" s="1"/>
  <c r="C52"/>
  <c r="E52" s="1"/>
  <c r="C51"/>
  <c r="C50"/>
  <c r="E50" s="1"/>
  <c r="C49"/>
  <c r="E49" s="1"/>
  <c r="C48"/>
  <c r="E48" s="1"/>
  <c r="C47"/>
  <c r="E47" s="1"/>
  <c r="C45"/>
  <c r="E45" s="1"/>
  <c r="C44"/>
  <c r="E44" s="1"/>
  <c r="C43"/>
  <c r="E43" s="1"/>
  <c r="C42"/>
  <c r="E42" s="1"/>
  <c r="C41"/>
  <c r="E41" s="1"/>
  <c r="C40"/>
  <c r="E40" s="1"/>
  <c r="C39"/>
  <c r="E39" s="1"/>
  <c r="C38"/>
  <c r="A55"/>
  <c r="A54"/>
  <c r="A53"/>
  <c r="A52"/>
  <c r="A51"/>
  <c r="A50"/>
  <c r="A49"/>
  <c r="A48"/>
  <c r="A47"/>
  <c r="A45"/>
  <c r="A44"/>
  <c r="A43"/>
  <c r="A42"/>
  <c r="A41"/>
  <c r="A40"/>
  <c r="A39"/>
  <c r="A38"/>
  <c r="E55" l="1"/>
  <c r="F55"/>
  <c r="F38"/>
  <c r="F51"/>
  <c r="F54"/>
  <c r="E51"/>
  <c r="F53"/>
  <c r="F52"/>
  <c r="F48"/>
  <c r="F44"/>
  <c r="F49"/>
  <c r="F47"/>
  <c r="E54"/>
  <c r="F50"/>
  <c r="E38"/>
  <c r="F45"/>
  <c r="F43"/>
  <c r="F39"/>
  <c r="B55"/>
  <c r="B54"/>
  <c r="B53"/>
  <c r="B52"/>
  <c r="B51"/>
  <c r="B50"/>
  <c r="B49"/>
  <c r="B48"/>
  <c r="B47"/>
  <c r="B45"/>
  <c r="B44"/>
  <c r="B43"/>
  <c r="B42"/>
  <c r="B41"/>
  <c r="B40"/>
  <c r="B39"/>
  <c r="B38"/>
  <c r="G70" i="29"/>
  <c r="K70" s="1"/>
  <c r="H113" i="30" l="1"/>
  <c r="G113" s="1"/>
  <c r="H114" l="1"/>
  <c r="G114" s="1"/>
  <c r="H112" l="1"/>
  <c r="G112" s="1"/>
  <c r="H111"/>
  <c r="G111" s="1"/>
  <c r="H110"/>
  <c r="G110" l="1"/>
  <c r="H109" l="1"/>
  <c r="G109" l="1"/>
  <c r="H115"/>
  <c r="H116" s="1"/>
  <c r="H117" s="1"/>
  <c r="H118" s="1"/>
  <c r="H119" s="1"/>
  <c r="D27" i="31" s="1"/>
  <c r="H55" i="30" l="1"/>
  <c r="G55" s="1"/>
  <c r="H54" l="1"/>
  <c r="G54" s="1"/>
  <c r="H43" l="1"/>
  <c r="G43" s="1"/>
  <c r="H39"/>
  <c r="G39" s="1"/>
  <c r="H40" l="1"/>
  <c r="D40"/>
  <c r="F40" s="1"/>
  <c r="D42"/>
  <c r="F42" s="1"/>
  <c r="H50"/>
  <c r="G50" s="1"/>
  <c r="H38"/>
  <c r="G40" l="1"/>
  <c r="G38"/>
  <c r="H41"/>
  <c r="D41"/>
  <c r="F41" s="1"/>
  <c r="H42"/>
  <c r="G42" s="1"/>
  <c r="H51"/>
  <c r="G51" s="1"/>
  <c r="H49"/>
  <c r="G49" s="1"/>
  <c r="G41" l="1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B62" i="30" l="1"/>
  <c r="B24" i="31" s="1"/>
  <c r="B37" i="30"/>
  <c r="B23" i="31" s="1"/>
  <c r="I31" i="30"/>
  <c r="I30"/>
  <c r="I29"/>
  <c r="I28"/>
  <c r="D31"/>
  <c r="D28"/>
  <c r="C31"/>
  <c r="E31" s="1"/>
  <c r="C30"/>
  <c r="E30" s="1"/>
  <c r="C29"/>
  <c r="E29" s="1"/>
  <c r="C28"/>
  <c r="A31"/>
  <c r="A30"/>
  <c r="A29"/>
  <c r="A28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31" i="30" l="1"/>
  <c r="F28"/>
  <c r="E28"/>
  <c r="F21"/>
  <c r="E21"/>
  <c r="K69" i="29" l="1"/>
  <c r="A22"/>
  <c r="H53" i="30" l="1"/>
  <c r="G53" s="1"/>
  <c r="H52"/>
  <c r="G52" s="1"/>
  <c r="H31" l="1"/>
  <c r="G31" s="1"/>
  <c r="D30" l="1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K34"/>
  <c r="K33"/>
  <c r="K32"/>
  <c r="K31"/>
  <c r="K30"/>
  <c r="K29"/>
  <c r="K28"/>
  <c r="K27"/>
  <c r="K26"/>
  <c r="K25"/>
  <c r="H45" i="30" s="1"/>
  <c r="K24" i="29"/>
  <c r="K23"/>
  <c r="K22"/>
  <c r="K21"/>
  <c r="A3"/>
  <c r="G45" i="30" l="1"/>
  <c r="A7" i="29"/>
  <c r="H44" i="30" l="1"/>
  <c r="G44" s="1"/>
  <c r="H78"/>
  <c r="H79" s="1"/>
  <c r="H80" s="1"/>
  <c r="H81" s="1"/>
  <c r="H82" s="1"/>
  <c r="D24" i="31" s="1"/>
  <c r="H47" i="30"/>
  <c r="H48"/>
  <c r="G48" s="1"/>
  <c r="G47" l="1"/>
  <c r="H57"/>
  <c r="H58" s="1"/>
  <c r="H59" s="1"/>
  <c r="H60" s="1"/>
  <c r="H61" s="1"/>
  <c r="D23" i="31" s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2"/>
  <c r="H33" s="1"/>
  <c r="H34" s="1"/>
  <c r="H35" s="1"/>
  <c r="H36" s="1"/>
  <c r="D21" i="31" s="1"/>
  <c r="D28" l="1"/>
  <c r="D29" s="1"/>
  <c r="D30" s="1"/>
  <c r="D31" s="1"/>
  <c r="D32" s="1"/>
</calcChain>
</file>

<file path=xl/sharedStrings.xml><?xml version="1.0" encoding="utf-8"?>
<sst xmlns="http://schemas.openxmlformats.org/spreadsheetml/2006/main" count="1696" uniqueCount="442">
  <si>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</si>
  <si>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</si>
  <si>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</si>
  <si>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</si>
  <si>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</si>
  <si>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</si>
  <si>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</si>
  <si>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</si>
  <si>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</si>
  <si>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</si>
  <si>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</si>
  <si>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</si>
  <si>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</si>
  <si>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</si>
  <si>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</si>
  <si>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</si>
  <si>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</si>
  <si>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</si>
  <si>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</si>
  <si>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</si>
  <si>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</si>
  <si>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</si>
  <si>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</si>
  <si>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</si>
  <si>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</si>
  <si>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</si>
  <si>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</si>
  <si>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</si>
  <si>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</si>
  <si>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</si>
  <si>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</si>
  <si>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</si>
  <si>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</si>
  <si>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</si>
  <si>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</si>
  <si>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</si>
  <si>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</si>
  <si>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</si>
  <si>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</si>
  <si>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</si>
  <si>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</si>
  <si>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</si>
  <si>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</si>
  <si>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</si>
  <si>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</si>
  <si>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</si>
  <si>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</si>
  <si>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</si>
  <si>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</si>
  <si>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</si>
  <si>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</si>
  <si>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</si>
  <si>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</si>
  <si>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</si>
  <si>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</si>
  <si>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</si>
  <si>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</si>
  <si>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მიწის ვაკისი</t>
  </si>
  <si>
    <t xml:space="preserve">ხარჯთაღმრიცხველი: 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</si>
  <si>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</si>
  <si>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</si>
  <si>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</si>
  <si>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</si>
  <si>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</si>
  <si>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</si>
  <si>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</si>
  <si>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</si>
  <si>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</si>
  <si>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</si>
  <si>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</si>
  <si>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</si>
  <si>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</si>
  <si>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</si>
  <si>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</si>
  <si>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</si>
  <si>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>1.15.1</t>
  </si>
  <si>
    <t>1.15.2</t>
  </si>
  <si>
    <t>1.15.3</t>
  </si>
  <si>
    <t>1.15.4</t>
  </si>
  <si>
    <t>1.16.1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</si>
  <si>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</si>
  <si>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</si>
  <si>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</si>
  <si>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</si>
  <si>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</si>
  <si>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თვითმავალი სატკეპნი საგზაო, პნევმოსვლით 18 ტ</t>
  </si>
  <si>
    <t>ბიტუმის ემულსია</t>
  </si>
  <si>
    <t>ბეტონი B25 F200 W6</t>
  </si>
  <si>
    <t>ხის ფიცარი ყალიბის 25-40 მმ</t>
  </si>
  <si>
    <r>
      <t>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</si>
  <si>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ფიცარი ჩამოგანილი სისქით 40-60 მმ, III ხარისხის</t>
  </si>
  <si>
    <t>საპრ.</t>
  </si>
  <si>
    <t>შრომითი დანახარჯი</t>
  </si>
  <si>
    <t>საბაზრო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</si>
  <si>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</si>
  <si>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</si>
  <si>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</si>
  <si>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</si>
  <si>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</si>
  <si>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</si>
  <si>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</si>
  <si>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</si>
  <si>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</si>
  <si>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</si>
  <si>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</si>
  <si>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</si>
  <si>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</si>
  <si>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</si>
  <si>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</si>
  <si>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</si>
  <si>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</si>
  <si>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ავტოგრეიდერი 79 კვტ (108 ც.ძ.)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</si>
  <si>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</si>
  <si>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</si>
  <si>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</si>
  <si>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</si>
  <si>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</si>
  <si>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</si>
  <si>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</si>
  <si>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</si>
  <si>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</si>
  <si>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</si>
  <si>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</si>
  <si>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</si>
  <si>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ამწე მუხლუხა სვლაზე 10 ტ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</si>
  <si>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</si>
  <si>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</si>
  <si>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</si>
  <si>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</si>
  <si>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</si>
  <si>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</si>
  <si>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</si>
  <si>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</si>
  <si>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</si>
  <si>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</si>
  <si>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</si>
  <si>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</si>
  <si>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</si>
  <si>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</si>
  <si>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</si>
  <si>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</si>
  <si>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</si>
  <si>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</si>
  <si>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</si>
  <si>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</si>
  <si>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</si>
  <si>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</si>
  <si>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</si>
  <si>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</si>
  <si>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</si>
  <si>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</si>
  <si>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</si>
  <si>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</si>
  <si>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</si>
  <si>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</si>
  <si>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</si>
  <si>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</si>
  <si>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</si>
  <si>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</si>
  <si>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</si>
  <si>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</si>
  <si>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</si>
  <si>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</si>
  <si>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</si>
  <si>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</si>
  <si>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</si>
  <si>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</si>
  <si>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</si>
  <si>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</si>
  <si>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</si>
  <si>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</si>
  <si>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</si>
  <si>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</si>
  <si>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</si>
  <si>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</si>
  <si>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</si>
  <si>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</si>
  <si>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</si>
  <si>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</si>
  <si>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</si>
  <si>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</si>
  <si>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</si>
  <si>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</si>
  <si>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1-22-14</t>
  </si>
  <si>
    <t>1.16.2</t>
  </si>
  <si>
    <t>1.16.3</t>
  </si>
  <si>
    <t>1.17.1</t>
  </si>
  <si>
    <t>3-1</t>
  </si>
  <si>
    <t>3-2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</si>
  <si>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</si>
  <si>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</si>
  <si>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</si>
  <si>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</si>
  <si>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</si>
  <si>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</si>
  <si>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</si>
  <si>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</si>
  <si>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</si>
  <si>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1.11.2</t>
  </si>
  <si>
    <t>1.14.1</t>
  </si>
  <si>
    <t>1.5.5</t>
  </si>
  <si>
    <t>1.6.3</t>
  </si>
  <si>
    <t>1.6.4</t>
  </si>
  <si>
    <t>1.6.5</t>
  </si>
  <si>
    <t>1.6.6</t>
  </si>
  <si>
    <t>1.6.7</t>
  </si>
  <si>
    <t>1.8.3</t>
  </si>
  <si>
    <t>1.8.4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</si>
  <si>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</si>
  <si>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</si>
  <si>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</si>
  <si>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</si>
  <si>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</si>
  <si>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</si>
  <si>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</si>
  <si>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</si>
  <si>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</si>
  <si>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</si>
  <si>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</si>
  <si>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</si>
  <si>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1.14.3</t>
  </si>
  <si>
    <t>1.14.4</t>
  </si>
  <si>
    <t>1.2.7</t>
  </si>
  <si>
    <t>1.4.5</t>
  </si>
  <si>
    <t>1.4.6</t>
  </si>
  <si>
    <t>1.4.7</t>
  </si>
  <si>
    <t>1.9.7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</si>
  <si>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</si>
  <si>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</si>
  <si>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</si>
  <si>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</si>
  <si>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</si>
  <si>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</si>
  <si>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</si>
  <si>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</si>
  <si>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</si>
  <si>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</si>
  <si>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</si>
  <si>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</si>
  <si>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</si>
  <si>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</si>
  <si>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</si>
  <si>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</si>
  <si>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</si>
  <si>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1.9.8</t>
  </si>
  <si>
    <t>1.9.9</t>
  </si>
  <si>
    <t>რკინაბეტონის ანაკრები მილი d-1500 მმ L-1000 მმ</t>
  </si>
  <si>
    <t>1-22-16</t>
  </si>
  <si>
    <t>ერთ. ფასი</t>
  </si>
  <si>
    <t>სულ</t>
  </si>
  <si>
    <t>ქარხანა</t>
  </si>
  <si>
    <t>ქუთაისი</t>
  </si>
  <si>
    <t>რ/ბ კედლის მოწყობის სამუშაოები</t>
  </si>
  <si>
    <t xml:space="preserve">მე-4 კატეგორიის გრუნტის დამუშავება და დატვირთვა ექსკავატორით ავტოთვითმცლელზე </t>
  </si>
  <si>
    <t xml:space="preserve">მე-4 კატეგორიის გრუნტის ფენის დამუშავება ხელით სიღრმით 2 მ-მდე </t>
  </si>
  <si>
    <t>1-64-8</t>
  </si>
  <si>
    <t>1.10.5</t>
  </si>
  <si>
    <t>კედლის უკანა ზედაპირზე ბიტუმის წასმა 2 ჯერ</t>
  </si>
  <si>
    <t>გეოტექსტილი</t>
  </si>
  <si>
    <t>გეოტექსტილის ჰიდროიზოლაციის მოწყობა</t>
  </si>
  <si>
    <t>გეომემბრანის ჰიდროიზოლაციის მოწყობა</t>
  </si>
  <si>
    <t>გეომემბრანა 2 მმ</t>
  </si>
  <si>
    <t>1.12.3</t>
  </si>
  <si>
    <t>1.12.4</t>
  </si>
  <si>
    <t>1.11.3</t>
  </si>
  <si>
    <t>1.11.4</t>
  </si>
  <si>
    <t>სადრენაჟო ფენის მოწყობა ფრაქციული ღორღისგან</t>
  </si>
  <si>
    <t>1-118-11</t>
  </si>
  <si>
    <t>პნევმატური დამტკეპნი მომუშავე მოძრავ კომპრესორზე</t>
  </si>
  <si>
    <t>გრუნტის დატკეპნა ფენებად</t>
  </si>
  <si>
    <t>პენოპლასტი 2 სმ</t>
  </si>
  <si>
    <t>სადეფორმაციო ნაკერების მოწყობა პენოპლასტით</t>
  </si>
  <si>
    <t>27-19-2</t>
  </si>
  <si>
    <t>ბეტონი M200</t>
  </si>
  <si>
    <t>რ/ბ  სარტყელის  მოწყობა</t>
  </si>
  <si>
    <t>რ/ბ სარტყელის   მონტაჟი</t>
  </si>
  <si>
    <t>საფუძვლის ფენის მოწყობა ქვიშა-ცემენტის 5% ნარევით</t>
  </si>
  <si>
    <t>ცემენტი მ400</t>
  </si>
  <si>
    <t>27-20-3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</si>
  <si>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</si>
  <si>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</si>
  <si>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</si>
  <si>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ქვიშა-ცემენტის 5% ნარევის მოყრა და ჩასოლვა ქვაფენილის ზედაპირზე</t>
  </si>
  <si>
    <t>ქვიშა შავი</t>
  </si>
  <si>
    <t>მე-4 კატეგორიის გრუნტის ფერდობების მოშანდაკება ხელით</t>
  </si>
  <si>
    <t xml:space="preserve">ქვესაგები ფენის მოწყობა ქვიშახრეშოვანი ნარევით </t>
  </si>
  <si>
    <t>არსებული ღობის დემონტაჟი</t>
  </si>
  <si>
    <t>ავტოამწე საბურღი მოწყობილობით</t>
  </si>
  <si>
    <t>ამწე საავტომობილო სვლაზე 6,3ტ</t>
  </si>
  <si>
    <t xml:space="preserve">მე-3 კატეგორიის გრუნტის ფენის დამუშავება ხელით 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</si>
  <si>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</si>
  <si>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</si>
  <si>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</si>
  <si>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>1.13.3</t>
  </si>
  <si>
    <t>1.13.4</t>
  </si>
  <si>
    <t xml:space="preserve"> წასაცხები ჰიდროიზოლაციის მოწყობა, 2 ფენა</t>
  </si>
  <si>
    <t>1.14.5</t>
  </si>
  <si>
    <t>1.16.4</t>
  </si>
  <si>
    <t>ღობის მოწყობის სამუშაოები</t>
  </si>
  <si>
    <t>რ/ბ კედლის ფუნდამენტის მოწყობა</t>
  </si>
  <si>
    <t>1.10.6</t>
  </si>
  <si>
    <t>1.10.7</t>
  </si>
  <si>
    <t>1.10.8</t>
  </si>
  <si>
    <t>1.10.9</t>
  </si>
  <si>
    <t>1.11.5</t>
  </si>
  <si>
    <t>1.17.2</t>
  </si>
  <si>
    <t>1.17.3</t>
  </si>
  <si>
    <t>1.18.1</t>
  </si>
  <si>
    <t>1.18.2</t>
  </si>
  <si>
    <t>დაბა მესტიაში ბ.ხერგიანის ქუჩის სარეაბილიტაციო სამუშაოების ლოკალურ-რესურსული ხარჯთაღრიცხვა</t>
  </si>
  <si>
    <t>კედლის ფასადის მოპირკეთება ქვის წყობით</t>
  </si>
  <si>
    <t>დეკორატიული ფლეთილი ქვა</t>
  </si>
  <si>
    <t>1.19.1</t>
  </si>
  <si>
    <t>1.19.2</t>
  </si>
  <si>
    <t>სახლის გასამაგრებელი კედელის მოწყობა</t>
  </si>
  <si>
    <t>3-3</t>
  </si>
  <si>
    <t>შესრულების თარიღი: 13/06/2018</t>
  </si>
  <si>
    <t>ვალუტა: ლარი ₾</t>
  </si>
  <si>
    <t xml:space="preserve">ფასთა კრებული: 2018 წლის II კვარტალი 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</si>
  <si>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</si>
  <si>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</si>
  <si>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</si>
  <si>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</si>
  <si>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</si>
  <si>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</si>
  <si>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</si>
  <si>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</si>
  <si>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</si>
  <si>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პროექტის კოდი: BKHER-BoQ</t>
  </si>
  <si>
    <t>მ3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</si>
  <si>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</si>
  <si>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</si>
  <si>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</si>
  <si>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</si>
  <si>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</si>
  <si>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15-ტრ-3</t>
  </si>
  <si>
    <t>14-1-142</t>
  </si>
  <si>
    <t>მ2</t>
  </si>
  <si>
    <t>10000 მ2</t>
  </si>
  <si>
    <t>14-1-200</t>
  </si>
  <si>
    <t xml:space="preserve">საგზაო სამოსი </t>
  </si>
  <si>
    <t>27-7-2.</t>
  </si>
  <si>
    <t>100 მ3</t>
  </si>
  <si>
    <t>14-1-222</t>
  </si>
  <si>
    <t>14-1-228</t>
  </si>
  <si>
    <t>4-1-228</t>
  </si>
  <si>
    <t>6-15-9.</t>
  </si>
  <si>
    <t>4-1-355</t>
  </si>
  <si>
    <t>1-1-010</t>
  </si>
  <si>
    <t>არმატურა A-I კლასი</t>
  </si>
  <si>
    <t>1-1-012</t>
  </si>
  <si>
    <t>5-1-132</t>
  </si>
  <si>
    <t>ფარი ყალიბის სისქით 18 მმ</t>
  </si>
  <si>
    <t>5-1-022</t>
  </si>
  <si>
    <t>1.10.10</t>
  </si>
  <si>
    <t>1-10-014</t>
  </si>
  <si>
    <t>ელექტროდი შედუღების</t>
  </si>
  <si>
    <t>კგ</t>
  </si>
  <si>
    <t>4-1-226</t>
  </si>
  <si>
    <t>4-1-177</t>
  </si>
  <si>
    <t>1000 მ2</t>
  </si>
  <si>
    <t>4-1-071</t>
  </si>
  <si>
    <t>ბეტონის ქვაფენილი 20x10x5.5 სმ</t>
  </si>
  <si>
    <t>4-1-378</t>
  </si>
  <si>
    <t>1.5.6</t>
  </si>
  <si>
    <t>ქვიშა</t>
  </si>
  <si>
    <t>1-80-4</t>
  </si>
  <si>
    <t>Е1-22/1-а</t>
  </si>
  <si>
    <t>ЕНиР</t>
  </si>
  <si>
    <t>8-3-2.</t>
  </si>
  <si>
    <t>1 მ3</t>
  </si>
  <si>
    <t>1.7.3</t>
  </si>
  <si>
    <t>1.7.4</t>
  </si>
  <si>
    <t>6-1-1.</t>
  </si>
  <si>
    <t>4-1-341</t>
  </si>
  <si>
    <t>6-1-16.</t>
  </si>
  <si>
    <t>4-1-357</t>
  </si>
  <si>
    <t>6-11-7.</t>
  </si>
  <si>
    <t>1.10.11</t>
  </si>
  <si>
    <t>1-10-017</t>
  </si>
  <si>
    <t>სამშენებლო ჭანჭიკი</t>
  </si>
  <si>
    <t>1.10.12</t>
  </si>
  <si>
    <t>1.10.13</t>
  </si>
  <si>
    <t>8-4-7.</t>
  </si>
  <si>
    <t>100 მ2</t>
  </si>
  <si>
    <t>4-1-539</t>
  </si>
  <si>
    <t>მასტიკა ბიტუმ-ზეთოვანი</t>
  </si>
  <si>
    <t>26-01-055-01;-02</t>
  </si>
  <si>
    <t>ГЭСН</t>
  </si>
  <si>
    <t>4-1-429</t>
  </si>
  <si>
    <t>Е3-2/1 ЕНиР</t>
  </si>
  <si>
    <t>4-1-441</t>
  </si>
  <si>
    <t>1.13.5</t>
  </si>
  <si>
    <t>4-1-442</t>
  </si>
  <si>
    <t>გამაგრების დიუბელი</t>
  </si>
  <si>
    <t>ც</t>
  </si>
  <si>
    <t>23-1-2.</t>
  </si>
  <si>
    <t>10 მ3</t>
  </si>
  <si>
    <t>27-5-3.</t>
  </si>
  <si>
    <t>2-11-001</t>
  </si>
  <si>
    <t>გოფრირებული მილი სადრენაჟო Ø150 მმ</t>
  </si>
  <si>
    <t>პროექტი</t>
  </si>
  <si>
    <t>14-1-338</t>
  </si>
  <si>
    <t>14-1-113</t>
  </si>
  <si>
    <t>კომპრესორი მობილური შიდა წვის ძრავაზე,  7 ატმ 9 მ3/წთ</t>
  </si>
  <si>
    <t>4-1-492</t>
  </si>
  <si>
    <t>15-6-8.</t>
  </si>
  <si>
    <t>1.19.3</t>
  </si>
  <si>
    <t>4-1-318</t>
  </si>
  <si>
    <t>1.19.4</t>
  </si>
  <si>
    <t>4-1-379</t>
  </si>
  <si>
    <t>1.19.5</t>
  </si>
  <si>
    <t>27-50-9.</t>
  </si>
  <si>
    <t>ტ.ნ. პ. 2.6</t>
  </si>
  <si>
    <t>კ=0.6</t>
  </si>
  <si>
    <t>14-1-299</t>
  </si>
  <si>
    <t>14-1-043</t>
  </si>
  <si>
    <t>კ=0.7</t>
  </si>
  <si>
    <t>კ=0.5</t>
  </si>
  <si>
    <t>1-80-3</t>
  </si>
  <si>
    <t>პ. 3.105</t>
  </si>
  <si>
    <t>კ=1.2</t>
  </si>
  <si>
    <t>4-1-339</t>
  </si>
  <si>
    <t>ბეტონი B 7.5</t>
  </si>
  <si>
    <t>1-31-6; -16</t>
  </si>
  <si>
    <t>14-1-143</t>
  </si>
  <si>
    <t>ბულდოზერი 96 კვტ (130 ც.ძ.)</t>
  </si>
  <si>
    <t>4-1-232</t>
  </si>
  <si>
    <t>8-4-8.</t>
  </si>
  <si>
    <t>4-1-216</t>
  </si>
  <si>
    <t>1.9.10</t>
  </si>
  <si>
    <t>1.9.11</t>
  </si>
  <si>
    <t>1.9.12</t>
  </si>
  <si>
    <t>1.9.13</t>
  </si>
  <si>
    <t xml:space="preserve">მე-4 კატ გრუნტის ფენის დამუშავება ხელით სიღრმით 2 მ-მდე </t>
  </si>
  <si>
    <r>
      <rPr>
        <b/>
        <sz val="10"/>
        <rFont val="Arial"/>
        <family val="2"/>
        <charset val="204"/>
      </rPr>
      <t>პ.3-107</t>
    </r>
    <r>
      <rPr>
        <sz val="10"/>
        <rFont val="Arial"/>
        <family val="2"/>
        <charset val="204"/>
      </rPr>
      <t>, კ=1.2</t>
    </r>
  </si>
  <si>
    <r>
      <rPr>
        <b/>
        <strike/>
        <sz val="10"/>
        <rFont val="Arial"/>
        <family val="2"/>
        <charset val="204"/>
      </rPr>
      <t>მე-4</t>
    </r>
    <r>
      <rPr>
        <sz val="10"/>
        <rFont val="Arial"/>
        <family val="2"/>
        <charset val="204"/>
      </rPr>
      <t xml:space="preserve">  III კატეგორიის გრუნტის დამუშავება ნაყარში</t>
    </r>
  </si>
  <si>
    <r>
      <t xml:space="preserve">ფიცარი ჩამოგანილი სისქით </t>
    </r>
    <r>
      <rPr>
        <strike/>
        <sz val="10"/>
        <rFont val="Arial"/>
        <family val="2"/>
        <charset val="204"/>
      </rPr>
      <t>25-32</t>
    </r>
    <r>
      <rPr>
        <sz val="10"/>
        <rFont val="Arial"/>
        <family val="2"/>
        <charset val="204"/>
      </rPr>
      <t xml:space="preserve">  40-60 მმ, III ხარისხის</t>
    </r>
  </si>
  <si>
    <r>
      <t xml:space="preserve">რ/ბ </t>
    </r>
    <r>
      <rPr>
        <b/>
        <sz val="10"/>
        <rFont val="Arial"/>
        <family val="2"/>
        <charset val="204"/>
      </rPr>
      <t>საყრდენი</t>
    </r>
    <r>
      <rPr>
        <sz val="10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</si>
  <si>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rFont val="Arial"/>
        <family val="2"/>
        <charset val="204"/>
      </rPr>
      <t>მასალები</t>
    </r>
    <r>
      <rPr>
        <sz val="10"/>
        <rFont val="Arial"/>
        <family val="2"/>
        <charset val="204"/>
      </rPr>
      <t xml:space="preserve"> მანქანები</t>
    </r>
  </si>
  <si>
    <r>
      <t xml:space="preserve">პოლიეთილენის </t>
    </r>
    <r>
      <rPr>
        <b/>
        <sz val="10"/>
        <rFont val="Arial"/>
        <family val="2"/>
        <charset val="204"/>
      </rPr>
      <t>სადრენაჟე</t>
    </r>
    <r>
      <rPr>
        <sz val="10"/>
        <rFont val="Arial"/>
        <family val="2"/>
        <charset val="204"/>
      </rPr>
      <t xml:space="preserve"> მილის მონტაჟი</t>
    </r>
  </si>
  <si>
    <r>
      <t xml:space="preserve">ქვაყრილის მოწყობა </t>
    </r>
    <r>
      <rPr>
        <b/>
        <strike/>
        <sz val="10"/>
        <rFont val="Arial"/>
        <family val="2"/>
        <charset val="204"/>
      </rPr>
      <t>მოყრა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</si>
</sst>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0.000"/>
    <numFmt numFmtId="167" formatCode="#,##0.000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4"/>
      <name val="Sylfae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trike/>
      <sz val="10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0" fontId="10" fillId="0" borderId="0"/>
    <xf numFmtId="0" fontId="11" fillId="0" borderId="0"/>
    <xf numFmtId="43" fontId="8" fillId="0" borderId="0" applyFont="0" applyFill="0" applyBorder="0" applyAlignment="0" applyProtection="0"/>
    <xf numFmtId="0" fontId="13" fillId="0" borderId="0"/>
    <xf numFmtId="0" fontId="14" fillId="0" borderId="0"/>
    <xf numFmtId="164" fontId="8" fillId="0" borderId="0" applyFont="0" applyFill="0" applyBorder="0" applyAlignment="0" applyProtection="0"/>
    <xf numFmtId="0" fontId="14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2" borderId="0" xfId="0" applyNumberFormat="1" applyFill="1" applyBorder="1"/>
    <xf numFmtId="2" fontId="5" fillId="0" borderId="0" xfId="0" applyNumberFormat="1" applyFont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vertic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6" fillId="0" borderId="0" xfId="0" applyFont="1"/>
    <xf numFmtId="0" fontId="16" fillId="4" borderId="0" xfId="0" applyFont="1" applyFill="1"/>
    <xf numFmtId="0" fontId="16" fillId="3" borderId="0" xfId="0" applyFont="1" applyFill="1"/>
    <xf numFmtId="0" fontId="2" fillId="0" borderId="0" xfId="0" applyFont="1"/>
    <xf numFmtId="0" fontId="2" fillId="4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" fillId="2" borderId="0" xfId="0" applyFont="1" applyFill="1" applyBorder="1" applyAlignment="1">
      <alignment vertical="center"/>
    </xf>
    <xf numFmtId="0" fontId="2" fillId="0" borderId="0" xfId="0" applyFont="1" applyBorder="1"/>
    <xf numFmtId="0" fontId="17" fillId="0" borderId="1" xfId="7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2" fillId="0" borderId="0" xfId="0" applyFont="1" applyAlignment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/>
    </xf>
    <xf numFmtId="167" fontId="11" fillId="0" borderId="1" xfId="9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" fillId="0" borderId="0" xfId="0" applyFont="1" applyFill="1"/>
    <xf numFmtId="0" fontId="15" fillId="2" borderId="2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0" borderId="0" xfId="0" applyFont="1" applyFill="1"/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indent="1"/>
    </xf>
    <xf numFmtId="49" fontId="1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2" fontId="11" fillId="0" borderId="0" xfId="0" applyNumberFormat="1" applyFont="1" applyFill="1"/>
    <xf numFmtId="0" fontId="19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2" fontId="21" fillId="0" borderId="0" xfId="0" applyNumberFormat="1" applyFont="1" applyFill="1"/>
    <xf numFmtId="4" fontId="11" fillId="0" borderId="1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167" fontId="11" fillId="0" borderId="1" xfId="2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center" vertical="center" wrapText="1"/>
    </xf>
    <xf numFmtId="4" fontId="11" fillId="0" borderId="3" xfId="6" applyNumberFormat="1" applyFont="1" applyFill="1" applyBorder="1" applyAlignment="1">
      <alignment horizontal="center" vertical="center" wrapText="1"/>
    </xf>
    <xf numFmtId="4" fontId="11" fillId="0" borderId="1" xfId="6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 wrapText="1"/>
    </xf>
    <xf numFmtId="4" fontId="18" fillId="0" borderId="1" xfId="2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67" fontId="11" fillId="0" borderId="1" xfId="3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4" fontId="11" fillId="0" borderId="3" xfId="6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2" fontId="11" fillId="0" borderId="1" xfId="0" applyNumberFormat="1" applyFont="1" applyFill="1" applyBorder="1"/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2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0"/>
  <sheetViews>
    <sheetView tabSelected="1" view="pageBreakPreview" zoomScaleNormal="55" zoomScaleSheetLayoutView="100" workbookViewId="0">
      <selection activeCell="IN76" sqref="IN76"/>
    </sheetView>
  </sheetViews>
  <sheetFormatPr defaultRowHeight="12.75"/>
  <cols>
    <col min="1" max="1" width="5" style="68" customWidth="1"/>
    <col min="2" max="2" width="46.85546875" style="68" bestFit="1" customWidth="1"/>
    <col min="3" max="3" width="5.85546875" style="68" customWidth="1"/>
    <col min="4" max="4" width="26.7109375" style="68" customWidth="1"/>
    <col min="5" max="5" width="23.42578125" style="68" customWidth="1"/>
    <col min="6" max="6" width="22.140625" style="68" customWidth="1"/>
    <col min="7" max="7" width="23.140625" style="68" customWidth="1"/>
    <col min="8" max="10" width="20.7109375" style="68" customWidth="1"/>
    <col min="11" max="16384" width="9.140625" style="68"/>
  </cols>
  <sheetData>
    <row r="1" spans="1:7">
      <c r="A1" s="75"/>
      <c r="B1" s="51" t="s">
        <v>328</v>
      </c>
      <c r="C1" s="74"/>
      <c r="D1" s="74"/>
      <c r="E1" s="75" t="s">
        <v>17</v>
      </c>
      <c r="F1" s="75"/>
      <c r="G1" s="75"/>
    </row>
    <row r="2" spans="1:7">
      <c r="A2" s="75"/>
      <c r="B2" s="51" t="s">
        <v>318</v>
      </c>
      <c r="C2" s="74"/>
      <c r="D2" s="74"/>
      <c r="E2" s="75" t="s">
        <v>18</v>
      </c>
      <c r="F2" s="75"/>
      <c r="G2" s="75"/>
    </row>
    <row r="3" spans="1:7">
      <c r="A3" s="75"/>
      <c r="B3" s="51" t="s">
        <v>316</v>
      </c>
      <c r="C3" s="74"/>
      <c r="D3" s="74"/>
      <c r="E3" s="75" t="s">
        <v>58</v>
      </c>
      <c r="F3" s="75"/>
      <c r="G3" s="75" t="s">
        <v>20</v>
      </c>
    </row>
    <row r="4" spans="1:7">
      <c r="A4" s="75"/>
      <c r="B4" s="51" t="s">
        <v>317</v>
      </c>
      <c r="C4" s="74"/>
      <c r="D4" s="74"/>
      <c r="E4" s="75" t="s">
        <v>19</v>
      </c>
      <c r="F4" s="75"/>
      <c r="G4" s="75"/>
    </row>
    <row r="5" spans="1:7">
      <c r="A5" s="75"/>
      <c r="B5" s="75"/>
      <c r="C5" s="74"/>
      <c r="D5" s="74"/>
      <c r="E5" s="75"/>
      <c r="F5" s="75"/>
      <c r="G5" s="75"/>
    </row>
    <row r="6" spans="1:7" s="76" customFormat="1">
      <c r="A6" s="154" t="s">
        <v>48</v>
      </c>
      <c r="B6" s="154"/>
      <c r="C6" s="154"/>
      <c r="D6" s="154"/>
      <c r="E6" s="154"/>
      <c r="F6" s="154"/>
      <c r="G6" s="154"/>
    </row>
    <row r="7" spans="1:7" s="79" customFormat="1">
      <c r="A7" s="77"/>
      <c r="B7" s="78"/>
      <c r="C7" s="78"/>
      <c r="D7" s="78"/>
      <c r="E7" s="78"/>
      <c r="F7" s="78"/>
      <c r="G7" s="78"/>
    </row>
    <row r="8" spans="1:7" s="79" customFormat="1">
      <c r="A8" s="155" t="s">
        <v>2</v>
      </c>
      <c r="B8" s="155" t="s">
        <v>3</v>
      </c>
      <c r="C8" s="155" t="s">
        <v>12</v>
      </c>
      <c r="D8" s="156" t="s">
        <v>49</v>
      </c>
      <c r="E8" s="156" t="s">
        <v>50</v>
      </c>
      <c r="F8" s="156" t="s">
        <v>51</v>
      </c>
      <c r="G8" s="156" t="s">
        <v>52</v>
      </c>
    </row>
    <row r="9" spans="1:7" s="79" customFormat="1">
      <c r="A9" s="155"/>
      <c r="B9" s="155"/>
      <c r="C9" s="155"/>
      <c r="D9" s="156"/>
      <c r="E9" s="156"/>
      <c r="F9" s="156"/>
      <c r="G9" s="156"/>
    </row>
    <row r="10" spans="1:7" s="79" customFormat="1">
      <c r="A10" s="155"/>
      <c r="B10" s="155"/>
      <c r="C10" s="155"/>
      <c r="D10" s="156"/>
      <c r="E10" s="156"/>
      <c r="F10" s="156"/>
      <c r="G10" s="156"/>
    </row>
    <row r="11" spans="1:7" s="79" customForma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</row>
    <row r="12" spans="1:7" s="79" customFormat="1">
      <c r="A12" s="80"/>
      <c r="B12" s="80" t="s">
        <v>53</v>
      </c>
      <c r="C12" s="81"/>
      <c r="D12" s="81"/>
      <c r="E12" s="81"/>
      <c r="F12" s="81"/>
      <c r="G12" s="81"/>
    </row>
    <row r="13" spans="1:7" s="79" customFormat="1">
      <c r="A13" s="55" t="s">
        <v>147</v>
      </c>
      <c r="B13" s="60" t="s">
        <v>32</v>
      </c>
      <c r="C13" s="49"/>
      <c r="D13" s="54">
        <f>'1-1'!H18</f>
        <v>0</v>
      </c>
      <c r="E13" s="54">
        <f>'1-1'!J18</f>
        <v>0</v>
      </c>
      <c r="F13" s="54">
        <f>'1-1'!L18</f>
        <v>0</v>
      </c>
      <c r="G13" s="54">
        <f>SUM(D13:F13)</f>
        <v>0</v>
      </c>
    </row>
    <row r="14" spans="1:7" s="79" customFormat="1">
      <c r="A14" s="80"/>
      <c r="B14" s="80" t="s">
        <v>54</v>
      </c>
      <c r="C14" s="81"/>
      <c r="D14" s="87"/>
      <c r="E14" s="87"/>
      <c r="F14" s="87"/>
      <c r="G14" s="54"/>
    </row>
    <row r="15" spans="1:7" s="79" customFormat="1">
      <c r="A15" s="55" t="s">
        <v>160</v>
      </c>
      <c r="B15" s="60" t="s">
        <v>57</v>
      </c>
      <c r="C15" s="49"/>
      <c r="D15" s="54">
        <f>'2-1'!H30</f>
        <v>0</v>
      </c>
      <c r="E15" s="54">
        <f>'2-1'!J30</f>
        <v>0</v>
      </c>
      <c r="F15" s="54">
        <f>'2-1'!L30</f>
        <v>0</v>
      </c>
      <c r="G15" s="54">
        <f t="shared" ref="G15:G21" si="0">SUM(D15:F15)</f>
        <v>0</v>
      </c>
    </row>
    <row r="16" spans="1:7" s="79" customFormat="1">
      <c r="A16" s="80"/>
      <c r="B16" s="80" t="s">
        <v>55</v>
      </c>
      <c r="C16" s="81"/>
      <c r="D16" s="87"/>
      <c r="E16" s="87"/>
      <c r="F16" s="87"/>
      <c r="G16" s="54"/>
    </row>
    <row r="17" spans="1:7" s="79" customFormat="1">
      <c r="A17" s="55" t="s">
        <v>187</v>
      </c>
      <c r="B17" s="60" t="s">
        <v>252</v>
      </c>
      <c r="C17" s="49"/>
      <c r="D17" s="54">
        <f>'3-1'!H138</f>
        <v>0</v>
      </c>
      <c r="E17" s="54">
        <f>'3-1'!J138</f>
        <v>0</v>
      </c>
      <c r="F17" s="54">
        <f>'3-1'!L138</f>
        <v>0</v>
      </c>
      <c r="G17" s="54">
        <f t="shared" si="0"/>
        <v>0</v>
      </c>
    </row>
    <row r="18" spans="1:7" s="79" customFormat="1">
      <c r="A18" s="55" t="s">
        <v>188</v>
      </c>
      <c r="B18" s="60" t="s">
        <v>298</v>
      </c>
      <c r="C18" s="49"/>
      <c r="D18" s="54">
        <f>'3-2'!H113</f>
        <v>0</v>
      </c>
      <c r="E18" s="54">
        <f>'3-2'!J113</f>
        <v>0</v>
      </c>
      <c r="F18" s="54">
        <f>'3-2'!L113</f>
        <v>0</v>
      </c>
      <c r="G18" s="54">
        <f t="shared" si="0"/>
        <v>0</v>
      </c>
    </row>
    <row r="19" spans="1:7" s="79" customFormat="1">
      <c r="A19" s="55" t="s">
        <v>315</v>
      </c>
      <c r="B19" s="60" t="s">
        <v>314</v>
      </c>
      <c r="C19" s="49"/>
      <c r="D19" s="54">
        <f>'3-3'!H139</f>
        <v>0</v>
      </c>
      <c r="E19" s="54">
        <f>'3-3'!J139</f>
        <v>0</v>
      </c>
      <c r="F19" s="54">
        <f>'3-3'!L139</f>
        <v>0</v>
      </c>
      <c r="G19" s="54">
        <f t="shared" si="0"/>
        <v>0</v>
      </c>
    </row>
    <row r="20" spans="1:7" s="79" customFormat="1">
      <c r="A20" s="80"/>
      <c r="B20" s="80" t="s">
        <v>56</v>
      </c>
      <c r="C20" s="81"/>
      <c r="D20" s="87"/>
      <c r="E20" s="87"/>
      <c r="F20" s="87"/>
      <c r="G20" s="54"/>
    </row>
    <row r="21" spans="1:7" s="79" customFormat="1">
      <c r="A21" s="55" t="s">
        <v>174</v>
      </c>
      <c r="B21" s="60" t="s">
        <v>340</v>
      </c>
      <c r="C21" s="49"/>
      <c r="D21" s="54">
        <f>'4-1'!H64</f>
        <v>0</v>
      </c>
      <c r="E21" s="54">
        <f>'4-1'!J64</f>
        <v>0</v>
      </c>
      <c r="F21" s="54">
        <f>'4-1'!L64</f>
        <v>0</v>
      </c>
      <c r="G21" s="54">
        <f t="shared" si="0"/>
        <v>0</v>
      </c>
    </row>
    <row r="22" spans="1:7" s="79" customFormat="1">
      <c r="A22" s="55"/>
      <c r="B22" s="60"/>
      <c r="C22" s="49"/>
      <c r="D22" s="54"/>
      <c r="E22" s="54"/>
      <c r="F22" s="54"/>
      <c r="G22" s="54"/>
    </row>
    <row r="23" spans="1:7" s="82" customFormat="1">
      <c r="A23" s="49"/>
      <c r="B23" s="49" t="s">
        <v>4</v>
      </c>
      <c r="C23" s="49"/>
      <c r="D23" s="54">
        <f t="shared" ref="D23:F23" si="1">SUM(D13:D22)</f>
        <v>0</v>
      </c>
      <c r="E23" s="54">
        <f t="shared" si="1"/>
        <v>0</v>
      </c>
      <c r="F23" s="54">
        <f t="shared" si="1"/>
        <v>0</v>
      </c>
      <c r="G23" s="54">
        <f>SUM(G13:G22)</f>
        <v>0</v>
      </c>
    </row>
    <row r="24" spans="1:7" s="79" customFormat="1">
      <c r="A24" s="61"/>
      <c r="B24" s="83"/>
      <c r="C24" s="67"/>
      <c r="D24" s="62"/>
      <c r="E24" s="62"/>
      <c r="F24" s="62"/>
      <c r="G24" s="62"/>
    </row>
    <row r="25" spans="1:7" s="79" customFormat="1">
      <c r="A25" s="61"/>
      <c r="B25" s="83" t="s">
        <v>10</v>
      </c>
      <c r="C25" s="67">
        <v>0.1</v>
      </c>
      <c r="D25" s="62"/>
      <c r="E25" s="62"/>
      <c r="F25" s="62"/>
      <c r="G25" s="62">
        <f>G23*C25</f>
        <v>0</v>
      </c>
    </row>
    <row r="26" spans="1:7" s="79" customFormat="1">
      <c r="A26" s="61"/>
      <c r="B26" s="84" t="s">
        <v>4</v>
      </c>
      <c r="C26" s="67"/>
      <c r="D26" s="62"/>
      <c r="E26" s="62"/>
      <c r="F26" s="62"/>
      <c r="G26" s="62">
        <f>SUM(G23:G25)</f>
        <v>0</v>
      </c>
    </row>
    <row r="27" spans="1:7" s="79" customFormat="1">
      <c r="A27" s="61"/>
      <c r="B27" s="83" t="s">
        <v>11</v>
      </c>
      <c r="C27" s="67">
        <v>0.08</v>
      </c>
      <c r="D27" s="62"/>
      <c r="E27" s="62"/>
      <c r="F27" s="62"/>
      <c r="G27" s="62">
        <f>G26*C27</f>
        <v>0</v>
      </c>
    </row>
    <row r="28" spans="1:7">
      <c r="A28" s="60"/>
      <c r="B28" s="84" t="s">
        <v>4</v>
      </c>
      <c r="C28" s="67"/>
      <c r="D28" s="62"/>
      <c r="E28" s="62"/>
      <c r="F28" s="62"/>
      <c r="G28" s="62">
        <f>SUM(G26:G27)</f>
        <v>0</v>
      </c>
    </row>
    <row r="29" spans="1:7">
      <c r="A29" s="66"/>
      <c r="B29" s="83" t="s">
        <v>26</v>
      </c>
      <c r="C29" s="85">
        <v>0.05</v>
      </c>
      <c r="D29" s="62"/>
      <c r="E29" s="62"/>
      <c r="F29" s="62"/>
      <c r="G29" s="62">
        <f>G28*C29</f>
        <v>0</v>
      </c>
    </row>
    <row r="30" spans="1:7">
      <c r="A30" s="66"/>
      <c r="B30" s="84" t="s">
        <v>4</v>
      </c>
      <c r="C30" s="67"/>
      <c r="D30" s="62"/>
      <c r="E30" s="62"/>
      <c r="F30" s="62"/>
      <c r="G30" s="62">
        <f>SUM(G28:G29)</f>
        <v>0</v>
      </c>
    </row>
    <row r="31" spans="1:7">
      <c r="A31" s="66"/>
      <c r="B31" s="83" t="s">
        <v>27</v>
      </c>
      <c r="C31" s="85">
        <v>0.18</v>
      </c>
      <c r="D31" s="62"/>
      <c r="E31" s="62"/>
      <c r="F31" s="62"/>
      <c r="G31" s="62">
        <f>G30*C31</f>
        <v>0</v>
      </c>
    </row>
    <row r="32" spans="1:7">
      <c r="A32" s="66"/>
      <c r="B32" s="83"/>
      <c r="C32" s="86"/>
      <c r="D32" s="62"/>
      <c r="E32" s="62"/>
      <c r="F32" s="62"/>
      <c r="G32" s="62"/>
    </row>
    <row r="33" spans="1:7">
      <c r="A33" s="49"/>
      <c r="B33" s="49" t="s">
        <v>4</v>
      </c>
      <c r="C33" s="49"/>
      <c r="D33" s="54"/>
      <c r="E33" s="54"/>
      <c r="F33" s="54"/>
      <c r="G33" s="54">
        <f>SUM(G30:G32)</f>
        <v>0</v>
      </c>
    </row>
    <row r="34" spans="1:7">
      <c r="B34" s="72"/>
      <c r="C34" s="70"/>
      <c r="D34" s="70"/>
      <c r="E34" s="70"/>
      <c r="F34" s="70"/>
      <c r="G34" s="70"/>
    </row>
    <row r="35" spans="1:7">
      <c r="B35" s="72"/>
      <c r="C35" s="70"/>
      <c r="D35" s="70"/>
      <c r="E35" s="70"/>
      <c r="F35" s="70"/>
      <c r="G35" s="70"/>
    </row>
    <row r="36" spans="1:7">
      <c r="B36" s="72"/>
      <c r="C36" s="70"/>
      <c r="D36" s="70"/>
      <c r="E36" s="70"/>
      <c r="F36" s="70"/>
      <c r="G36" s="70"/>
    </row>
    <row r="37" spans="1:7">
      <c r="B37" s="72"/>
      <c r="C37" s="70"/>
      <c r="D37" s="70"/>
      <c r="E37" s="70"/>
      <c r="F37" s="70"/>
      <c r="G37" s="70"/>
    </row>
    <row r="38" spans="1:7">
      <c r="B38" s="72"/>
      <c r="C38" s="70"/>
      <c r="D38" s="70"/>
      <c r="E38" s="70"/>
      <c r="F38" s="70"/>
      <c r="G38" s="70"/>
    </row>
    <row r="39" spans="1:7">
      <c r="B39" s="72"/>
      <c r="C39" s="70"/>
      <c r="D39" s="70"/>
      <c r="E39" s="70"/>
      <c r="F39" s="70"/>
      <c r="G39" s="70"/>
    </row>
    <row r="40" spans="1:7">
      <c r="B40" s="72"/>
      <c r="C40" s="70"/>
      <c r="D40" s="70"/>
      <c r="E40" s="70"/>
      <c r="F40" s="70"/>
      <c r="G40" s="70"/>
    </row>
    <row r="41" spans="1:7">
      <c r="B41" s="72"/>
      <c r="C41" s="70"/>
      <c r="D41" s="70"/>
      <c r="E41" s="70"/>
      <c r="F41" s="70"/>
      <c r="G41" s="70"/>
    </row>
    <row r="42" spans="1:7">
      <c r="B42" s="72"/>
      <c r="C42" s="70"/>
      <c r="D42" s="70"/>
      <c r="E42" s="70"/>
      <c r="F42" s="70"/>
      <c r="G42" s="70"/>
    </row>
    <row r="43" spans="1:7">
      <c r="B43" s="72"/>
      <c r="C43" s="70"/>
      <c r="D43" s="70"/>
      <c r="E43" s="70"/>
      <c r="F43" s="70"/>
      <c r="G43" s="70"/>
    </row>
    <row r="44" spans="1:7">
      <c r="B44" s="72"/>
      <c r="C44" s="70"/>
      <c r="D44" s="70"/>
      <c r="E44" s="70"/>
      <c r="F44" s="70"/>
      <c r="G44" s="70"/>
    </row>
    <row r="45" spans="1:7">
      <c r="B45" s="72"/>
      <c r="C45" s="70"/>
      <c r="D45" s="70"/>
      <c r="E45" s="70"/>
      <c r="F45" s="70"/>
      <c r="G45" s="70"/>
    </row>
    <row r="46" spans="1:7">
      <c r="B46" s="72"/>
      <c r="C46" s="70"/>
      <c r="D46" s="70"/>
      <c r="E46" s="70"/>
      <c r="F46" s="70"/>
      <c r="G46" s="70"/>
    </row>
    <row r="47" spans="1:7">
      <c r="B47" s="72"/>
      <c r="C47" s="70"/>
      <c r="D47" s="70"/>
      <c r="E47" s="70"/>
      <c r="F47" s="70"/>
      <c r="G47" s="70"/>
    </row>
    <row r="48" spans="1:7">
      <c r="B48" s="72"/>
      <c r="C48" s="70"/>
      <c r="D48" s="70"/>
      <c r="E48" s="70"/>
      <c r="F48" s="70"/>
      <c r="G48" s="70"/>
    </row>
    <row r="49" spans="2:7">
      <c r="B49" s="72"/>
      <c r="C49" s="70"/>
      <c r="D49" s="70"/>
      <c r="E49" s="70"/>
      <c r="F49" s="70"/>
      <c r="G49" s="70"/>
    </row>
    <row r="50" spans="2:7">
      <c r="B50" s="72"/>
      <c r="C50" s="70"/>
      <c r="D50" s="70"/>
      <c r="E50" s="70"/>
      <c r="F50" s="70"/>
      <c r="G50" s="70"/>
    </row>
    <row r="51" spans="2:7">
      <c r="B51" s="72"/>
      <c r="C51" s="70"/>
      <c r="D51" s="70"/>
      <c r="E51" s="70"/>
      <c r="F51" s="70"/>
      <c r="G51" s="70"/>
    </row>
    <row r="52" spans="2:7">
      <c r="B52" s="72"/>
      <c r="C52" s="70"/>
      <c r="D52" s="70"/>
      <c r="E52" s="70"/>
      <c r="F52" s="70"/>
      <c r="G52" s="70"/>
    </row>
    <row r="53" spans="2:7">
      <c r="B53" s="72"/>
      <c r="C53" s="70"/>
      <c r="D53" s="70"/>
      <c r="E53" s="70"/>
      <c r="F53" s="70"/>
      <c r="G53" s="70"/>
    </row>
    <row r="54" spans="2:7">
      <c r="B54" s="72"/>
      <c r="C54" s="70"/>
      <c r="D54" s="70"/>
      <c r="E54" s="70"/>
      <c r="F54" s="70"/>
      <c r="G54" s="70"/>
    </row>
    <row r="55" spans="2:7">
      <c r="B55" s="72"/>
      <c r="C55" s="70"/>
      <c r="D55" s="70"/>
      <c r="E55" s="70"/>
      <c r="F55" s="70"/>
      <c r="G55" s="70"/>
    </row>
    <row r="56" spans="2:7">
      <c r="B56" s="72"/>
      <c r="C56" s="70"/>
      <c r="D56" s="70"/>
      <c r="E56" s="70"/>
      <c r="F56" s="70"/>
      <c r="G56" s="70"/>
    </row>
    <row r="57" spans="2:7">
      <c r="B57" s="72"/>
      <c r="C57" s="70"/>
      <c r="D57" s="70"/>
      <c r="E57" s="70"/>
      <c r="F57" s="70"/>
      <c r="G57" s="70"/>
    </row>
    <row r="58" spans="2:7">
      <c r="B58" s="72"/>
      <c r="C58" s="70"/>
      <c r="D58" s="70"/>
      <c r="E58" s="70"/>
      <c r="F58" s="70"/>
      <c r="G58" s="70"/>
    </row>
    <row r="59" spans="2:7">
      <c r="B59" s="72"/>
      <c r="C59" s="70"/>
      <c r="D59" s="70"/>
      <c r="E59" s="70"/>
      <c r="F59" s="70"/>
      <c r="G59" s="70"/>
    </row>
    <row r="60" spans="2:7">
      <c r="B60" s="72"/>
      <c r="C60" s="70"/>
      <c r="D60" s="70"/>
      <c r="E60" s="70"/>
      <c r="F60" s="70"/>
      <c r="G60" s="70"/>
    </row>
    <row r="61" spans="2:7">
      <c r="B61" s="72"/>
      <c r="C61" s="70"/>
      <c r="D61" s="70"/>
      <c r="E61" s="70"/>
      <c r="F61" s="70"/>
      <c r="G61" s="70"/>
    </row>
    <row r="62" spans="2:7">
      <c r="B62" s="72"/>
      <c r="C62" s="70"/>
      <c r="D62" s="70"/>
      <c r="E62" s="70"/>
      <c r="F62" s="70"/>
      <c r="G62" s="70"/>
    </row>
    <row r="63" spans="2:7">
      <c r="B63" s="72"/>
      <c r="C63" s="70"/>
      <c r="D63" s="70"/>
      <c r="E63" s="70"/>
      <c r="F63" s="70"/>
      <c r="G63" s="70"/>
    </row>
    <row r="64" spans="2:7">
      <c r="B64" s="72"/>
      <c r="C64" s="70"/>
      <c r="D64" s="70"/>
      <c r="E64" s="70"/>
      <c r="F64" s="70"/>
      <c r="G64" s="70"/>
    </row>
    <row r="65" spans="2:7">
      <c r="B65" s="72"/>
      <c r="C65" s="70"/>
      <c r="D65" s="70"/>
      <c r="E65" s="70"/>
      <c r="F65" s="70"/>
      <c r="G65" s="70"/>
    </row>
    <row r="66" spans="2:7">
      <c r="B66" s="72"/>
      <c r="C66" s="70"/>
      <c r="D66" s="70"/>
      <c r="E66" s="70"/>
      <c r="F66" s="70"/>
      <c r="G66" s="70"/>
    </row>
    <row r="67" spans="2:7">
      <c r="B67" s="72"/>
      <c r="C67" s="70"/>
      <c r="D67" s="70"/>
      <c r="E67" s="70"/>
      <c r="F67" s="70"/>
      <c r="G67" s="70"/>
    </row>
    <row r="68" spans="2:7">
      <c r="B68" s="72"/>
      <c r="C68" s="72"/>
      <c r="D68" s="72"/>
      <c r="E68" s="72"/>
      <c r="F68" s="72"/>
      <c r="G68" s="72"/>
    </row>
    <row r="69" spans="2:7">
      <c r="B69" s="72"/>
      <c r="C69" s="72"/>
      <c r="D69" s="72"/>
      <c r="E69" s="72"/>
      <c r="F69" s="72"/>
      <c r="G69" s="72"/>
    </row>
    <row r="70" spans="2:7">
      <c r="B70" s="72"/>
      <c r="C70" s="72"/>
      <c r="D70" s="72"/>
      <c r="E70" s="72"/>
      <c r="F70" s="72"/>
      <c r="G70" s="72"/>
    </row>
    <row r="71" spans="2:7">
      <c r="B71" s="72"/>
      <c r="C71" s="72"/>
      <c r="D71" s="72"/>
      <c r="E71" s="72"/>
      <c r="F71" s="72"/>
      <c r="G71" s="72"/>
    </row>
    <row r="72" spans="2:7">
      <c r="B72" s="72"/>
      <c r="C72" s="72"/>
      <c r="D72" s="72"/>
      <c r="E72" s="72"/>
      <c r="F72" s="72"/>
      <c r="G72" s="72"/>
    </row>
    <row r="73" spans="2:7">
      <c r="B73" s="72"/>
      <c r="C73" s="72"/>
      <c r="D73" s="72"/>
      <c r="E73" s="72"/>
      <c r="F73" s="72"/>
      <c r="G73" s="72"/>
    </row>
    <row r="74" spans="2:7">
      <c r="B74" s="72"/>
      <c r="C74" s="72"/>
      <c r="D74" s="72"/>
      <c r="E74" s="72"/>
      <c r="F74" s="72"/>
      <c r="G74" s="72"/>
    </row>
    <row r="75" spans="2:7">
      <c r="B75" s="72"/>
      <c r="C75" s="72"/>
      <c r="D75" s="72"/>
      <c r="E75" s="72"/>
      <c r="F75" s="72"/>
      <c r="G75" s="72"/>
    </row>
    <row r="76" spans="2:7">
      <c r="B76" s="72"/>
      <c r="C76" s="72"/>
      <c r="D76" s="72"/>
      <c r="E76" s="72"/>
      <c r="F76" s="72"/>
      <c r="G76" s="72"/>
    </row>
    <row r="77" spans="2:7">
      <c r="B77" s="72"/>
      <c r="C77" s="72"/>
      <c r="D77" s="72"/>
      <c r="E77" s="72"/>
      <c r="F77" s="72"/>
      <c r="G77" s="72"/>
    </row>
    <row r="78" spans="2:7">
      <c r="B78" s="72"/>
      <c r="C78" s="72"/>
      <c r="D78" s="72"/>
      <c r="E78" s="72"/>
      <c r="F78" s="72"/>
      <c r="G78" s="72"/>
    </row>
    <row r="79" spans="2:7">
      <c r="B79" s="72"/>
      <c r="C79" s="72"/>
      <c r="D79" s="72"/>
      <c r="E79" s="72"/>
      <c r="F79" s="72"/>
      <c r="G79" s="72"/>
    </row>
    <row r="80" spans="2:7">
      <c r="B80" s="72"/>
      <c r="C80" s="72"/>
      <c r="D80" s="72"/>
      <c r="E80" s="72"/>
      <c r="F80" s="72"/>
      <c r="G80" s="72"/>
    </row>
  </sheetData>
  <mergeCells count="8">
    <mergeCell ref="A6:G6"/>
    <mergeCell ref="A8:A10"/>
    <mergeCell ref="B8:B10"/>
    <mergeCell ref="C8:C10"/>
    <mergeCell ref="D8:D10"/>
    <mergeCell ref="E8:E10"/>
    <mergeCell ref="F8:F10"/>
    <mergeCell ref="G8:G10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HD49" zoomScale="40" zoomScaleNormal="55" zoomScaleSheetLayoutView="40" workbookViewId="0">
      <selection activeCell="IN76" sqref="IN76"/>
    </sheetView>
  </sheetViews>
  <sheetFormatPr defaultRowHeight="19.5"/>
  <cols>
    <col min="1" max="1" width="15.7109375" customWidth="1"/>
    <col min="2" max="2" width="105.7109375" customWidth="1"/>
    <col min="3" max="4" width="12.7109375" customWidth="1"/>
    <col min="5" max="5" width="25.7109375" customWidth="1"/>
    <col min="6" max="7" width="20.7109375" customWidth="1"/>
    <col min="8" max="9" width="13.28515625" customWidth="1"/>
    <col min="10" max="15" width="20.7109375" customWidth="1"/>
    <col min="19" max="20" width="20.7109375" style="16" customWidth="1"/>
  </cols>
  <sheetData>
    <row r="1" spans="1:220">
      <c r="A1" s="173"/>
      <c r="B1" s="173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20">
      <c r="A2" s="173"/>
      <c r="B2" s="173"/>
      <c r="C2" s="5"/>
      <c r="D2" s="5"/>
      <c r="E2" s="5"/>
      <c r="F2" s="5"/>
      <c r="G2" s="5"/>
      <c r="H2" s="5"/>
      <c r="I2" s="5"/>
      <c r="J2" s="5"/>
      <c r="K2" s="5"/>
      <c r="L2" s="5"/>
      <c r="S2" s="184" t="s">
        <v>129</v>
      </c>
      <c r="T2" s="184"/>
      <c r="U2" s="16">
        <v>1</v>
      </c>
      <c r="V2" s="16">
        <v>2</v>
      </c>
      <c r="W2" s="16">
        <v>3</v>
      </c>
      <c r="X2" s="16">
        <v>4</v>
      </c>
      <c r="Y2" s="16">
        <v>5</v>
      </c>
      <c r="Z2" s="16">
        <v>6</v>
      </c>
      <c r="AA2" s="16">
        <v>7</v>
      </c>
      <c r="AB2" s="16">
        <v>8</v>
      </c>
      <c r="AC2" s="16">
        <v>9</v>
      </c>
      <c r="AD2" s="16">
        <v>10</v>
      </c>
      <c r="AE2" s="16">
        <v>11</v>
      </c>
      <c r="AF2" s="16">
        <v>12</v>
      </c>
      <c r="AG2" s="16">
        <v>13</v>
      </c>
      <c r="AH2" s="16">
        <v>14</v>
      </c>
      <c r="AI2" s="16">
        <v>15</v>
      </c>
      <c r="AJ2" s="16">
        <v>16</v>
      </c>
      <c r="AK2" s="16">
        <v>17</v>
      </c>
      <c r="AL2" s="16">
        <v>18</v>
      </c>
      <c r="AM2" s="16">
        <v>19</v>
      </c>
      <c r="AN2" s="16">
        <v>20</v>
      </c>
      <c r="AO2" s="16">
        <v>21</v>
      </c>
      <c r="AP2" s="16">
        <v>22</v>
      </c>
      <c r="AQ2" s="16">
        <v>23</v>
      </c>
      <c r="AR2" s="16">
        <v>24</v>
      </c>
      <c r="AS2" s="16">
        <v>25</v>
      </c>
      <c r="AT2" s="16">
        <v>26</v>
      </c>
      <c r="AU2" s="16">
        <v>27</v>
      </c>
      <c r="AV2" s="16">
        <v>28</v>
      </c>
      <c r="AW2" s="16">
        <v>29</v>
      </c>
      <c r="AX2" s="16">
        <v>30</v>
      </c>
      <c r="AY2" s="16">
        <v>31</v>
      </c>
      <c r="AZ2" s="16">
        <v>32</v>
      </c>
      <c r="BA2" s="16">
        <v>33</v>
      </c>
      <c r="BB2" s="16">
        <v>34</v>
      </c>
      <c r="BC2" s="16">
        <v>35</v>
      </c>
      <c r="BD2" s="16">
        <v>36</v>
      </c>
      <c r="BE2" s="16">
        <v>37</v>
      </c>
      <c r="BF2" s="16">
        <v>38</v>
      </c>
      <c r="BG2" s="16">
        <v>39</v>
      </c>
      <c r="BH2" s="16">
        <v>40</v>
      </c>
      <c r="BI2" s="16">
        <v>41</v>
      </c>
      <c r="BJ2" s="16">
        <v>42</v>
      </c>
      <c r="BK2" s="16">
        <v>43</v>
      </c>
      <c r="BL2" s="16">
        <v>44</v>
      </c>
      <c r="BM2" s="16">
        <v>45</v>
      </c>
      <c r="BN2" s="16">
        <v>46</v>
      </c>
      <c r="BO2" s="16">
        <v>47</v>
      </c>
      <c r="BP2" s="16">
        <v>48</v>
      </c>
      <c r="BQ2" s="16">
        <v>49</v>
      </c>
      <c r="BR2" s="16">
        <v>50</v>
      </c>
      <c r="BS2" s="16">
        <v>51</v>
      </c>
      <c r="BT2" s="16">
        <v>52</v>
      </c>
      <c r="BU2" s="16">
        <v>53</v>
      </c>
      <c r="BV2" s="16">
        <v>54</v>
      </c>
      <c r="BW2" s="16">
        <v>55</v>
      </c>
      <c r="BX2" s="16">
        <v>56</v>
      </c>
      <c r="BY2" s="16">
        <v>57</v>
      </c>
      <c r="BZ2" s="16">
        <v>58</v>
      </c>
      <c r="CA2" s="16">
        <v>59</v>
      </c>
      <c r="CB2" s="16">
        <v>60</v>
      </c>
      <c r="CC2" s="16">
        <v>61</v>
      </c>
      <c r="CD2" s="16">
        <v>62</v>
      </c>
      <c r="CE2" s="16">
        <v>63</v>
      </c>
      <c r="CF2" s="16">
        <v>64</v>
      </c>
      <c r="CG2" s="16">
        <v>65</v>
      </c>
      <c r="CH2" s="16">
        <v>66</v>
      </c>
      <c r="CI2" s="16">
        <v>67</v>
      </c>
      <c r="CJ2" s="16">
        <v>68</v>
      </c>
      <c r="CK2" s="16">
        <v>69</v>
      </c>
      <c r="CL2" s="16">
        <v>70</v>
      </c>
      <c r="CM2" s="16">
        <v>71</v>
      </c>
      <c r="CN2" s="16">
        <v>72</v>
      </c>
      <c r="CO2" s="16">
        <v>73</v>
      </c>
      <c r="CP2" s="16">
        <v>74</v>
      </c>
      <c r="CQ2" s="16">
        <v>75</v>
      </c>
      <c r="CR2" s="16">
        <v>76</v>
      </c>
      <c r="CS2" s="16">
        <v>77</v>
      </c>
      <c r="CT2" s="16">
        <v>78</v>
      </c>
      <c r="CU2" s="16">
        <v>79</v>
      </c>
      <c r="CV2" s="16">
        <v>80</v>
      </c>
      <c r="CW2" s="16">
        <v>81</v>
      </c>
      <c r="CX2" s="16">
        <v>82</v>
      </c>
      <c r="CY2" s="16">
        <v>83</v>
      </c>
      <c r="CZ2" s="16">
        <v>84</v>
      </c>
      <c r="DA2" s="16">
        <v>85</v>
      </c>
      <c r="DB2" s="16">
        <v>86</v>
      </c>
      <c r="DC2" s="16">
        <v>87</v>
      </c>
      <c r="DD2" s="16">
        <v>88</v>
      </c>
      <c r="DE2" s="16">
        <v>89</v>
      </c>
      <c r="DF2" s="16">
        <v>90</v>
      </c>
      <c r="DG2" s="16">
        <v>91</v>
      </c>
      <c r="DH2" s="16">
        <v>92</v>
      </c>
      <c r="DI2" s="16">
        <v>93</v>
      </c>
      <c r="DJ2" s="16">
        <v>94</v>
      </c>
      <c r="DK2" s="16">
        <v>95</v>
      </c>
      <c r="DL2" s="16">
        <v>96</v>
      </c>
      <c r="DM2" s="16">
        <v>97</v>
      </c>
      <c r="DN2" s="16">
        <v>98</v>
      </c>
      <c r="DO2" s="16">
        <v>99</v>
      </c>
      <c r="DP2" s="16">
        <v>100</v>
      </c>
      <c r="DQ2" s="16">
        <v>101</v>
      </c>
      <c r="DR2" s="16">
        <v>102</v>
      </c>
      <c r="DS2" s="16">
        <v>103</v>
      </c>
      <c r="DT2" s="16">
        <v>104</v>
      </c>
      <c r="DU2" s="16">
        <v>105</v>
      </c>
      <c r="DV2" s="16">
        <v>106</v>
      </c>
      <c r="DW2" s="16">
        <v>107</v>
      </c>
      <c r="DX2" s="16">
        <v>108</v>
      </c>
      <c r="DY2" s="16">
        <v>109</v>
      </c>
      <c r="DZ2" s="16">
        <v>110</v>
      </c>
      <c r="EA2" s="16">
        <v>111</v>
      </c>
      <c r="EB2" s="16">
        <v>112</v>
      </c>
      <c r="EC2" s="16">
        <v>113</v>
      </c>
      <c r="ED2" s="16">
        <v>114</v>
      </c>
      <c r="EE2" s="16">
        <v>115</v>
      </c>
      <c r="EF2" s="16">
        <v>116</v>
      </c>
      <c r="EG2" s="16">
        <v>117</v>
      </c>
      <c r="EH2" s="16">
        <v>118</v>
      </c>
      <c r="EI2" s="16">
        <v>119</v>
      </c>
      <c r="EJ2" s="16">
        <v>120</v>
      </c>
      <c r="EK2" s="16">
        <v>121</v>
      </c>
      <c r="EL2" s="16">
        <v>122</v>
      </c>
      <c r="EM2" s="16">
        <v>123</v>
      </c>
      <c r="EN2" s="16">
        <v>124</v>
      </c>
      <c r="EO2" s="16">
        <v>125</v>
      </c>
      <c r="EP2" s="16">
        <v>126</v>
      </c>
      <c r="EQ2" s="16">
        <v>127</v>
      </c>
      <c r="ER2" s="16">
        <v>128</v>
      </c>
      <c r="ES2" s="16">
        <v>129</v>
      </c>
      <c r="ET2" s="16">
        <v>130</v>
      </c>
      <c r="EU2" s="16">
        <v>131</v>
      </c>
      <c r="EV2" s="16">
        <v>132</v>
      </c>
      <c r="EW2" s="16">
        <v>133</v>
      </c>
      <c r="EX2" s="16">
        <v>134</v>
      </c>
      <c r="EY2" s="16">
        <v>135</v>
      </c>
      <c r="EZ2" s="16">
        <v>136</v>
      </c>
      <c r="FA2" s="16">
        <v>137</v>
      </c>
      <c r="FB2" s="16">
        <v>138</v>
      </c>
      <c r="FC2" s="16">
        <v>139</v>
      </c>
      <c r="FD2" s="16">
        <v>140</v>
      </c>
      <c r="FE2" s="16">
        <v>141</v>
      </c>
      <c r="FF2" s="16">
        <v>142</v>
      </c>
      <c r="FG2" s="16">
        <v>143</v>
      </c>
      <c r="FH2" s="16">
        <v>144</v>
      </c>
      <c r="FI2" s="16">
        <v>145</v>
      </c>
      <c r="FJ2" s="16">
        <v>146</v>
      </c>
      <c r="FK2" s="16">
        <v>147</v>
      </c>
      <c r="FL2" s="16">
        <v>148</v>
      </c>
      <c r="FM2" s="16">
        <v>149</v>
      </c>
      <c r="FN2" s="16">
        <v>150</v>
      </c>
      <c r="FO2" s="16">
        <v>151</v>
      </c>
      <c r="FP2" s="16">
        <v>152</v>
      </c>
      <c r="FQ2" s="16">
        <v>153</v>
      </c>
      <c r="FR2" s="16">
        <v>154</v>
      </c>
      <c r="FS2" s="16">
        <v>155</v>
      </c>
      <c r="FT2" s="16">
        <v>156</v>
      </c>
      <c r="FU2" s="16">
        <v>157</v>
      </c>
      <c r="FV2" s="16">
        <v>158</v>
      </c>
      <c r="FW2" s="16">
        <v>159</v>
      </c>
      <c r="FX2" s="16">
        <v>160</v>
      </c>
      <c r="FY2" s="16">
        <v>161</v>
      </c>
      <c r="FZ2" s="16">
        <v>162</v>
      </c>
      <c r="GA2" s="16">
        <v>163</v>
      </c>
      <c r="GB2" s="16">
        <v>164</v>
      </c>
      <c r="GC2" s="16">
        <v>165</v>
      </c>
      <c r="GD2" s="16">
        <v>166</v>
      </c>
      <c r="GE2" s="16">
        <v>167</v>
      </c>
      <c r="GF2" s="16">
        <v>168</v>
      </c>
      <c r="GG2" s="16">
        <v>169</v>
      </c>
      <c r="GH2" s="16">
        <v>170</v>
      </c>
      <c r="GI2" s="16">
        <v>171</v>
      </c>
      <c r="GJ2" s="16">
        <v>172</v>
      </c>
      <c r="GK2" s="16">
        <v>173</v>
      </c>
      <c r="GL2" s="16">
        <v>174</v>
      </c>
      <c r="GM2" s="16">
        <v>175</v>
      </c>
      <c r="GN2" s="16">
        <v>176</v>
      </c>
      <c r="GO2" s="16">
        <v>177</v>
      </c>
      <c r="GP2" s="16">
        <v>178</v>
      </c>
      <c r="GQ2" s="16">
        <v>179</v>
      </c>
      <c r="GR2" s="16">
        <v>180</v>
      </c>
      <c r="GS2" s="16">
        <v>181</v>
      </c>
      <c r="GT2" s="16">
        <v>182</v>
      </c>
      <c r="GU2" s="16">
        <v>183</v>
      </c>
      <c r="GV2" s="16">
        <v>184</v>
      </c>
      <c r="GW2" s="16">
        <v>185</v>
      </c>
      <c r="GX2" s="16">
        <v>186</v>
      </c>
      <c r="GY2" s="16">
        <v>187</v>
      </c>
      <c r="GZ2" s="16">
        <v>188</v>
      </c>
      <c r="HA2" s="16">
        <v>189</v>
      </c>
      <c r="HB2" s="16">
        <v>190</v>
      </c>
      <c r="HC2" s="16">
        <v>191</v>
      </c>
      <c r="HD2" s="16">
        <v>192</v>
      </c>
      <c r="HE2" s="16">
        <v>193</v>
      </c>
      <c r="HF2" s="16">
        <v>194</v>
      </c>
      <c r="HG2" s="16">
        <v>195</v>
      </c>
      <c r="HH2" s="16">
        <v>196</v>
      </c>
      <c r="HI2" s="16">
        <v>197</v>
      </c>
      <c r="HJ2" s="16">
        <v>198</v>
      </c>
      <c r="HK2" s="16">
        <v>199</v>
      </c>
      <c r="HL2" s="16">
        <v>200</v>
      </c>
    </row>
    <row r="3" spans="1:220" ht="15" customHeight="1">
      <c r="A3" s="165">
        <f>კრებსითი!A1</f>
        <v>0</v>
      </c>
      <c r="B3" s="165"/>
      <c r="C3" s="5"/>
      <c r="D3" s="5"/>
      <c r="E3" s="5"/>
      <c r="F3" s="5"/>
      <c r="G3" s="5"/>
      <c r="H3" s="5"/>
      <c r="I3" s="5"/>
      <c r="J3" s="5"/>
      <c r="K3" s="165"/>
      <c r="L3" s="165"/>
      <c r="S3" s="184" t="s">
        <v>130</v>
      </c>
      <c r="T3" s="184"/>
      <c r="U3" s="16">
        <v>1.55</v>
      </c>
      <c r="V3" s="16">
        <v>1.93</v>
      </c>
      <c r="W3" s="16">
        <v>2.42</v>
      </c>
      <c r="X3" s="16">
        <v>2.84</v>
      </c>
      <c r="Y3" s="16">
        <v>3.32</v>
      </c>
      <c r="Z3" s="16">
        <v>3.8</v>
      </c>
      <c r="AA3" s="16">
        <v>4.26</v>
      </c>
      <c r="AB3" s="16">
        <v>4.7</v>
      </c>
      <c r="AC3" s="16">
        <v>5.17</v>
      </c>
      <c r="AD3" s="16">
        <v>5.63</v>
      </c>
      <c r="AE3" s="16">
        <v>6.27</v>
      </c>
      <c r="AF3" s="16">
        <v>6.73</v>
      </c>
      <c r="AG3" s="16">
        <v>7.24</v>
      </c>
      <c r="AH3" s="16">
        <v>7.54</v>
      </c>
      <c r="AI3" s="16">
        <v>7.82</v>
      </c>
      <c r="AJ3" s="16">
        <v>8.18</v>
      </c>
      <c r="AK3" s="16">
        <v>8.5399999999999991</v>
      </c>
      <c r="AL3" s="16">
        <v>8.94</v>
      </c>
      <c r="AM3" s="16">
        <v>9.31</v>
      </c>
      <c r="AN3" s="16">
        <v>9.75</v>
      </c>
      <c r="AO3" s="16">
        <v>10.79</v>
      </c>
      <c r="AP3" s="16">
        <v>10.79</v>
      </c>
      <c r="AQ3" s="16">
        <v>10.79</v>
      </c>
      <c r="AR3" s="16">
        <v>10.79</v>
      </c>
      <c r="AS3" s="16">
        <v>10.79</v>
      </c>
      <c r="AT3" s="16">
        <v>12.31</v>
      </c>
      <c r="AU3" s="16">
        <v>12.31</v>
      </c>
      <c r="AV3" s="16">
        <v>12.31</v>
      </c>
      <c r="AW3" s="16">
        <v>12.31</v>
      </c>
      <c r="AX3" s="16">
        <v>12.31</v>
      </c>
      <c r="AY3" s="16">
        <v>13.26</v>
      </c>
      <c r="AZ3" s="16">
        <v>13.26</v>
      </c>
      <c r="BA3" s="16">
        <v>13.26</v>
      </c>
      <c r="BB3" s="16">
        <v>13.26</v>
      </c>
      <c r="BC3" s="16">
        <v>13.26</v>
      </c>
      <c r="BD3" s="16">
        <v>14.94</v>
      </c>
      <c r="BE3" s="16">
        <v>14.94</v>
      </c>
      <c r="BF3" s="16">
        <v>14.94</v>
      </c>
      <c r="BG3" s="16">
        <v>14.94</v>
      </c>
      <c r="BH3" s="16">
        <v>14.94</v>
      </c>
      <c r="BI3" s="16">
        <v>16.41</v>
      </c>
      <c r="BJ3" s="16">
        <v>16.41</v>
      </c>
      <c r="BK3" s="16">
        <v>16.41</v>
      </c>
      <c r="BL3" s="16">
        <v>16.41</v>
      </c>
      <c r="BM3" s="16">
        <v>16.41</v>
      </c>
      <c r="BN3" s="16">
        <v>18.14</v>
      </c>
      <c r="BO3" s="16">
        <v>18.14</v>
      </c>
      <c r="BP3" s="16">
        <v>18.14</v>
      </c>
      <c r="BQ3" s="16">
        <v>18.14</v>
      </c>
      <c r="BR3" s="16">
        <v>18.14</v>
      </c>
      <c r="BS3" s="16">
        <v>19.64</v>
      </c>
      <c r="BT3" s="16">
        <v>19.64</v>
      </c>
      <c r="BU3" s="16">
        <v>19.64</v>
      </c>
      <c r="BV3" s="16">
        <v>19.64</v>
      </c>
      <c r="BW3" s="16">
        <v>19.64</v>
      </c>
      <c r="BX3" s="16">
        <v>21.44</v>
      </c>
      <c r="BY3" s="16">
        <v>21.44</v>
      </c>
      <c r="BZ3" s="16">
        <v>21.44</v>
      </c>
      <c r="CA3" s="16">
        <v>21.44</v>
      </c>
      <c r="CB3" s="16">
        <v>21.44</v>
      </c>
      <c r="CC3" s="16">
        <v>22.41</v>
      </c>
      <c r="CD3" s="16">
        <v>22.41</v>
      </c>
      <c r="CE3" s="16">
        <v>22.41</v>
      </c>
      <c r="CF3" s="16">
        <v>22.41</v>
      </c>
      <c r="CG3" s="16">
        <v>22.41</v>
      </c>
      <c r="CH3" s="16">
        <v>23.66</v>
      </c>
      <c r="CI3" s="16">
        <v>23.66</v>
      </c>
      <c r="CJ3" s="16">
        <v>23.66</v>
      </c>
      <c r="CK3" s="16">
        <v>23.66</v>
      </c>
      <c r="CL3" s="16">
        <v>23.66</v>
      </c>
      <c r="CM3" s="16">
        <v>25.25</v>
      </c>
      <c r="CN3" s="16">
        <v>25.25</v>
      </c>
      <c r="CO3" s="16">
        <v>25.25</v>
      </c>
      <c r="CP3" s="16">
        <v>25.25</v>
      </c>
      <c r="CQ3" s="16">
        <v>25.25</v>
      </c>
      <c r="CR3" s="16">
        <v>26.59</v>
      </c>
      <c r="CS3" s="16">
        <v>26.59</v>
      </c>
      <c r="CT3" s="16">
        <v>26.59</v>
      </c>
      <c r="CU3" s="16">
        <v>26.59</v>
      </c>
      <c r="CV3" s="16">
        <v>26.59</v>
      </c>
      <c r="CW3" s="16">
        <v>27.25</v>
      </c>
      <c r="CX3" s="16">
        <v>27.25</v>
      </c>
      <c r="CY3" s="16">
        <v>27.25</v>
      </c>
      <c r="CZ3" s="16">
        <v>27.25</v>
      </c>
      <c r="DA3" s="16">
        <v>27.25</v>
      </c>
      <c r="DB3" s="16">
        <v>28.38</v>
      </c>
      <c r="DC3" s="16">
        <v>28.38</v>
      </c>
      <c r="DD3" s="16">
        <v>28.38</v>
      </c>
      <c r="DE3" s="16">
        <v>28.38</v>
      </c>
      <c r="DF3" s="16">
        <v>28.38</v>
      </c>
      <c r="DG3" s="16">
        <v>29.93</v>
      </c>
      <c r="DH3" s="16">
        <v>29.93</v>
      </c>
      <c r="DI3" s="16">
        <v>29.93</v>
      </c>
      <c r="DJ3" s="16">
        <v>29.93</v>
      </c>
      <c r="DK3" s="16">
        <v>29.93</v>
      </c>
      <c r="DL3" s="16">
        <v>31.25</v>
      </c>
      <c r="DM3" s="16">
        <v>31.25</v>
      </c>
      <c r="DN3" s="16">
        <v>31.25</v>
      </c>
      <c r="DO3" s="16">
        <v>31.25</v>
      </c>
      <c r="DP3" s="16">
        <v>31.25</v>
      </c>
      <c r="DQ3" s="16">
        <v>32.340000000000003</v>
      </c>
      <c r="DR3" s="16">
        <v>32.340000000000003</v>
      </c>
      <c r="DS3" s="16">
        <v>32.340000000000003</v>
      </c>
      <c r="DT3" s="16">
        <v>32.340000000000003</v>
      </c>
      <c r="DU3" s="16">
        <v>32.340000000000003</v>
      </c>
      <c r="DV3" s="16">
        <v>33.64</v>
      </c>
      <c r="DW3" s="16">
        <v>33.64</v>
      </c>
      <c r="DX3" s="16">
        <v>33.64</v>
      </c>
      <c r="DY3" s="16">
        <v>33.64</v>
      </c>
      <c r="DZ3" s="16">
        <v>33.64</v>
      </c>
      <c r="EA3" s="16">
        <v>34.840000000000003</v>
      </c>
      <c r="EB3" s="16">
        <v>34.840000000000003</v>
      </c>
      <c r="EC3" s="16">
        <v>34.840000000000003</v>
      </c>
      <c r="ED3" s="16">
        <v>34.840000000000003</v>
      </c>
      <c r="EE3" s="16">
        <v>34.840000000000003</v>
      </c>
      <c r="EF3" s="16">
        <v>36.14</v>
      </c>
      <c r="EG3" s="16">
        <v>36.14</v>
      </c>
      <c r="EH3" s="16">
        <v>36.14</v>
      </c>
      <c r="EI3" s="16">
        <v>36.14</v>
      </c>
      <c r="EJ3" s="16">
        <v>36.14</v>
      </c>
      <c r="EK3" s="16">
        <v>36.56</v>
      </c>
      <c r="EL3" s="16">
        <v>36.56</v>
      </c>
      <c r="EM3" s="16">
        <v>36.56</v>
      </c>
      <c r="EN3" s="16">
        <v>36.56</v>
      </c>
      <c r="EO3" s="16">
        <v>36.56</v>
      </c>
      <c r="EP3" s="16">
        <v>38.54</v>
      </c>
      <c r="EQ3" s="16">
        <v>38.54</v>
      </c>
      <c r="ER3" s="16">
        <v>38.54</v>
      </c>
      <c r="ES3" s="16">
        <v>38.54</v>
      </c>
      <c r="ET3" s="16">
        <v>38.54</v>
      </c>
      <c r="EU3" s="16">
        <v>39.47</v>
      </c>
      <c r="EV3" s="16">
        <v>39.47</v>
      </c>
      <c r="EW3" s="16">
        <v>39.47</v>
      </c>
      <c r="EX3" s="16">
        <v>39.47</v>
      </c>
      <c r="EY3" s="16">
        <v>39.47</v>
      </c>
      <c r="EZ3" s="16">
        <v>40.69</v>
      </c>
      <c r="FA3" s="16">
        <v>40.69</v>
      </c>
      <c r="FB3" s="16">
        <v>40.69</v>
      </c>
      <c r="FC3" s="16">
        <v>40.69</v>
      </c>
      <c r="FD3" s="16">
        <v>40.69</v>
      </c>
      <c r="FE3" s="16">
        <v>41.88</v>
      </c>
      <c r="FF3" s="16">
        <v>41.88</v>
      </c>
      <c r="FG3" s="16">
        <v>41.88</v>
      </c>
      <c r="FH3" s="16">
        <v>41.88</v>
      </c>
      <c r="FI3" s="16">
        <v>41.88</v>
      </c>
      <c r="FJ3" s="16">
        <v>43.37</v>
      </c>
      <c r="FK3" s="16">
        <v>43.37</v>
      </c>
      <c r="FL3" s="16">
        <v>43.37</v>
      </c>
      <c r="FM3" s="16">
        <v>43.37</v>
      </c>
      <c r="FN3" s="16">
        <v>43.37</v>
      </c>
      <c r="FO3" s="16">
        <v>44.39</v>
      </c>
      <c r="FP3" s="16">
        <v>44.39</v>
      </c>
      <c r="FQ3" s="16">
        <v>44.39</v>
      </c>
      <c r="FR3" s="16">
        <v>44.39</v>
      </c>
      <c r="FS3" s="16">
        <v>44.39</v>
      </c>
      <c r="FT3" s="16">
        <v>45.49</v>
      </c>
      <c r="FU3" s="16">
        <v>45.49</v>
      </c>
      <c r="FV3" s="16">
        <v>45.49</v>
      </c>
      <c r="FW3" s="16">
        <v>45.49</v>
      </c>
      <c r="FX3" s="16">
        <v>45.49</v>
      </c>
      <c r="FY3" s="16">
        <v>46.79</v>
      </c>
      <c r="FZ3" s="16">
        <v>46.79</v>
      </c>
      <c r="GA3" s="16">
        <v>46.79</v>
      </c>
      <c r="GB3" s="16">
        <v>46.79</v>
      </c>
      <c r="GC3" s="16">
        <v>46.79</v>
      </c>
      <c r="GD3" s="16">
        <v>48.52</v>
      </c>
      <c r="GE3" s="16">
        <v>48.52</v>
      </c>
      <c r="GF3" s="16">
        <v>48.52</v>
      </c>
      <c r="GG3" s="16">
        <v>48.52</v>
      </c>
      <c r="GH3" s="16">
        <v>48.52</v>
      </c>
      <c r="GI3" s="16">
        <v>49.72</v>
      </c>
      <c r="GJ3" s="16">
        <v>49.72</v>
      </c>
      <c r="GK3" s="16">
        <v>49.72</v>
      </c>
      <c r="GL3" s="16">
        <v>49.72</v>
      </c>
      <c r="GM3" s="16">
        <v>49.72</v>
      </c>
      <c r="GN3" s="16">
        <v>50.9</v>
      </c>
      <c r="GO3" s="16">
        <v>50.9</v>
      </c>
      <c r="GP3" s="16">
        <v>50.9</v>
      </c>
      <c r="GQ3" s="16">
        <v>50.9</v>
      </c>
      <c r="GR3" s="16">
        <v>50.9</v>
      </c>
      <c r="GS3" s="16">
        <v>52.22</v>
      </c>
      <c r="GT3" s="16">
        <v>52.22</v>
      </c>
      <c r="GU3" s="16">
        <v>52.22</v>
      </c>
      <c r="GV3" s="16">
        <v>52.22</v>
      </c>
      <c r="GW3" s="16">
        <v>52.22</v>
      </c>
      <c r="GX3" s="16">
        <v>53.42</v>
      </c>
      <c r="GY3" s="16">
        <v>53.42</v>
      </c>
      <c r="GZ3" s="16">
        <v>53.42</v>
      </c>
      <c r="HA3" s="16">
        <v>53.42</v>
      </c>
      <c r="HB3" s="16">
        <v>53.42</v>
      </c>
      <c r="HC3" s="16">
        <v>54.07</v>
      </c>
      <c r="HD3" s="16">
        <v>54.07</v>
      </c>
      <c r="HE3" s="16">
        <v>54.07</v>
      </c>
      <c r="HF3" s="16">
        <v>54.07</v>
      </c>
      <c r="HG3" s="16">
        <v>54.07</v>
      </c>
      <c r="HH3" s="16">
        <v>54.71</v>
      </c>
      <c r="HI3" s="16">
        <v>54.71</v>
      </c>
      <c r="HJ3" s="16">
        <v>54.71</v>
      </c>
      <c r="HK3" s="16">
        <v>54.71</v>
      </c>
      <c r="HL3" s="16">
        <v>54.71</v>
      </c>
    </row>
    <row r="4" spans="1:220" ht="15" customHeight="1">
      <c r="A4" s="165"/>
      <c r="B4" s="165"/>
      <c r="C4" s="5"/>
      <c r="D4" s="5"/>
      <c r="E4" s="5"/>
      <c r="F4" s="5"/>
      <c r="G4" s="5"/>
      <c r="H4" s="5"/>
      <c r="I4" s="5"/>
      <c r="J4" s="5"/>
      <c r="K4" s="165"/>
      <c r="L4" s="165"/>
    </row>
    <row r="5" spans="1:220" ht="15" customHeight="1">
      <c r="A5" s="165" t="s">
        <v>28</v>
      </c>
      <c r="B5" s="165"/>
      <c r="C5" s="5"/>
      <c r="D5" s="5"/>
      <c r="E5" s="5"/>
      <c r="F5" s="5"/>
      <c r="G5" s="5"/>
      <c r="H5" s="5"/>
      <c r="I5" s="5"/>
      <c r="J5" s="5"/>
      <c r="K5" s="165"/>
      <c r="L5" s="165"/>
    </row>
    <row r="6" spans="1:220" ht="15" customHeight="1">
      <c r="A6" s="165"/>
      <c r="B6" s="165"/>
      <c r="C6" s="5"/>
      <c r="D6" s="5"/>
      <c r="E6" s="5"/>
      <c r="F6" s="5"/>
      <c r="G6" s="5"/>
      <c r="H6" s="5"/>
      <c r="I6" s="5"/>
      <c r="J6" s="5"/>
      <c r="K6" s="165"/>
      <c r="L6" s="165"/>
    </row>
    <row r="7" spans="1:220" ht="15" customHeight="1">
      <c r="A7" s="165">
        <f>კრებსითი!A3</f>
        <v>0</v>
      </c>
      <c r="B7" s="165"/>
      <c r="C7" s="5"/>
      <c r="D7" s="5"/>
      <c r="E7" s="5"/>
      <c r="F7" s="5"/>
      <c r="G7" s="5"/>
      <c r="H7" s="5"/>
      <c r="I7" s="5"/>
      <c r="J7" s="5"/>
      <c r="K7" s="165"/>
      <c r="L7" s="165"/>
      <c r="S7" s="185"/>
      <c r="T7" s="185"/>
    </row>
    <row r="8" spans="1:220" ht="15" customHeight="1">
      <c r="A8" s="165"/>
      <c r="B8" s="165"/>
      <c r="C8" s="5"/>
      <c r="D8" s="5"/>
      <c r="E8" s="5"/>
      <c r="F8" s="5"/>
      <c r="G8" s="5"/>
      <c r="H8" s="5"/>
      <c r="I8" s="5"/>
      <c r="J8" s="5"/>
      <c r="K8" s="165"/>
      <c r="L8" s="165"/>
      <c r="S8" s="185"/>
      <c r="T8" s="185"/>
    </row>
    <row r="9" spans="1:220" ht="15" customHeight="1">
      <c r="A9" s="165" t="s">
        <v>29</v>
      </c>
      <c r="B9" s="165"/>
      <c r="C9" s="5"/>
      <c r="D9" s="5"/>
      <c r="E9" s="5"/>
      <c r="F9" s="5"/>
      <c r="G9" s="5"/>
      <c r="H9" s="5"/>
      <c r="I9" s="5"/>
      <c r="J9" s="5"/>
      <c r="K9" s="165"/>
      <c r="L9" s="165"/>
      <c r="S9" s="185"/>
      <c r="T9" s="185"/>
    </row>
    <row r="10" spans="1:220" ht="15" customHeight="1">
      <c r="A10" s="165"/>
      <c r="B10" s="165"/>
      <c r="C10" s="6"/>
      <c r="D10" s="6"/>
      <c r="E10" s="6"/>
      <c r="F10" s="6"/>
      <c r="G10" s="5"/>
      <c r="H10" s="5"/>
      <c r="I10" s="5"/>
      <c r="J10" s="5"/>
      <c r="K10" s="165"/>
      <c r="L10" s="165"/>
      <c r="S10" s="185"/>
      <c r="T10" s="185"/>
    </row>
    <row r="11" spans="1:220" ht="15" customHeight="1">
      <c r="A11" s="165"/>
      <c r="B11" s="165"/>
      <c r="C11" s="5"/>
      <c r="D11" s="5"/>
      <c r="E11" s="5"/>
      <c r="F11" s="5"/>
      <c r="G11" s="5"/>
      <c r="H11" s="172"/>
      <c r="I11" s="22"/>
      <c r="J11" s="165"/>
      <c r="K11" s="165"/>
      <c r="L11" s="21"/>
      <c r="S11" s="185"/>
      <c r="T11" s="185"/>
    </row>
    <row r="12" spans="1:220" ht="15" customHeight="1">
      <c r="A12" s="165"/>
      <c r="B12" s="165"/>
      <c r="C12" s="5"/>
      <c r="D12" s="5"/>
      <c r="E12" s="5"/>
      <c r="F12" s="5"/>
      <c r="G12" s="5"/>
      <c r="H12" s="172"/>
      <c r="I12" s="22"/>
      <c r="J12" s="165"/>
      <c r="K12" s="165"/>
      <c r="L12" s="21"/>
      <c r="S12" s="185"/>
      <c r="T12" s="185"/>
    </row>
    <row r="13" spans="1:220" ht="15" customHeight="1">
      <c r="A13" s="186" t="s">
        <v>41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S13" s="185"/>
      <c r="T13" s="185"/>
    </row>
    <row r="14" spans="1:220" ht="1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S14" s="185"/>
      <c r="T14" s="185"/>
    </row>
    <row r="15" spans="1:220" ht="1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S15" s="185"/>
      <c r="T15" s="185"/>
    </row>
    <row r="16" spans="1:220" s="14" customFormat="1" ht="39.950000000000003" customHeight="1">
      <c r="A16" s="170" t="s">
        <v>2</v>
      </c>
      <c r="B16" s="170" t="s">
        <v>42</v>
      </c>
      <c r="C16" s="171" t="s">
        <v>7</v>
      </c>
      <c r="D16" s="171" t="s">
        <v>117</v>
      </c>
      <c r="E16" s="171" t="s">
        <v>118</v>
      </c>
      <c r="F16" s="171" t="s">
        <v>44</v>
      </c>
      <c r="G16" s="171" t="s">
        <v>131</v>
      </c>
      <c r="H16" s="171" t="s">
        <v>119</v>
      </c>
      <c r="I16" s="171"/>
      <c r="J16" s="171" t="s">
        <v>132</v>
      </c>
      <c r="K16" s="171" t="s">
        <v>139</v>
      </c>
      <c r="L16" s="181" t="s">
        <v>134</v>
      </c>
      <c r="S16" s="15"/>
      <c r="T16" s="15"/>
    </row>
    <row r="17" spans="1:20" s="14" customFormat="1" ht="39.950000000000003" customHeight="1">
      <c r="A17" s="170"/>
      <c r="B17" s="170"/>
      <c r="C17" s="171"/>
      <c r="D17" s="171"/>
      <c r="E17" s="171"/>
      <c r="F17" s="171"/>
      <c r="G17" s="171"/>
      <c r="H17" s="171" t="s">
        <v>120</v>
      </c>
      <c r="I17" s="171" t="s">
        <v>121</v>
      </c>
      <c r="J17" s="171"/>
      <c r="K17" s="171"/>
      <c r="L17" s="182"/>
      <c r="S17" s="15"/>
      <c r="T17" s="15"/>
    </row>
    <row r="18" spans="1:20" s="14" customFormat="1" ht="39.950000000000003" customHeight="1">
      <c r="A18" s="170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83"/>
      <c r="S18" s="15"/>
      <c r="T18" s="15"/>
    </row>
    <row r="19" spans="1:20" s="14" customFormat="1" ht="39.950000000000003" customHeight="1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  <c r="L19" s="23">
        <v>12</v>
      </c>
      <c r="S19" s="15"/>
      <c r="T19" s="15"/>
    </row>
    <row r="20" spans="1:20" s="14" customFormat="1" ht="80.099999999999994" customHeight="1">
      <c r="A20" s="23" t="s">
        <v>9</v>
      </c>
      <c r="B20" s="25" t="s">
        <v>43</v>
      </c>
      <c r="C20" s="27"/>
      <c r="D20" s="27"/>
      <c r="E20" s="27"/>
      <c r="F20" s="27"/>
      <c r="G20" s="40"/>
      <c r="H20" s="27"/>
      <c r="I20" s="27"/>
      <c r="J20" s="27"/>
      <c r="K20" s="27"/>
      <c r="L20" s="27"/>
      <c r="S20" s="15"/>
      <c r="T20" s="15"/>
    </row>
    <row r="21" spans="1:20" ht="39.950000000000003" customHeight="1">
      <c r="A21" s="32">
        <v>1.1000000000000001</v>
      </c>
      <c r="B21" s="33" t="s">
        <v>116</v>
      </c>
      <c r="C21" s="27" t="s">
        <v>102</v>
      </c>
      <c r="D21" s="28">
        <v>1.2</v>
      </c>
      <c r="E21" s="27" t="s">
        <v>161</v>
      </c>
      <c r="F21" s="27">
        <v>15</v>
      </c>
      <c r="G21" s="40">
        <f>IF(F21&lt;=200,HLOOKUP(F21,$U$2:$HL$3,2,TRUE),(((F21-200)*0.24)+54.71))</f>
        <v>7.82</v>
      </c>
      <c r="H21" s="32" t="s">
        <v>9</v>
      </c>
      <c r="I21" s="28">
        <v>1</v>
      </c>
      <c r="J21" s="27">
        <v>162</v>
      </c>
      <c r="K21" s="39">
        <f t="shared" ref="K21:K26" si="0">ROUND(D21*G21*I21,2)</f>
        <v>9.3800000000000008</v>
      </c>
      <c r="L21" s="34" t="s">
        <v>156</v>
      </c>
    </row>
    <row r="22" spans="1:20" ht="39.950000000000003" customHeight="1">
      <c r="A22" s="32">
        <f>A21+0.1</f>
        <v>1.2000000000000002</v>
      </c>
      <c r="B22" s="33" t="s">
        <v>104</v>
      </c>
      <c r="C22" s="27" t="s">
        <v>128</v>
      </c>
      <c r="D22" s="27">
        <v>2.2000000000000002</v>
      </c>
      <c r="E22" s="27" t="s">
        <v>161</v>
      </c>
      <c r="F22" s="27">
        <v>15</v>
      </c>
      <c r="G22" s="40">
        <f t="shared" ref="G22:G69" si="1">IF(F22&lt;=200,HLOOKUP(F22,$U$2:$HL$3,2,TRUE),(((F22-200)*0.24)+54.71))</f>
        <v>7.82</v>
      </c>
      <c r="H22" s="32" t="s">
        <v>9</v>
      </c>
      <c r="I22" s="32">
        <v>1</v>
      </c>
      <c r="J22" s="27">
        <v>95</v>
      </c>
      <c r="K22" s="39">
        <f t="shared" si="0"/>
        <v>17.2</v>
      </c>
      <c r="L22" s="27" t="s">
        <v>143</v>
      </c>
    </row>
    <row r="23" spans="1:20" ht="39.950000000000003" customHeight="1">
      <c r="A23" s="32">
        <v>1.3</v>
      </c>
      <c r="B23" s="33" t="s">
        <v>169</v>
      </c>
      <c r="C23" s="27" t="s">
        <v>128</v>
      </c>
      <c r="D23" s="27">
        <v>2.2000000000000002</v>
      </c>
      <c r="E23" s="27" t="s">
        <v>161</v>
      </c>
      <c r="F23" s="27">
        <v>15</v>
      </c>
      <c r="G23" s="40">
        <f t="shared" si="1"/>
        <v>7.82</v>
      </c>
      <c r="H23" s="32" t="s">
        <v>9</v>
      </c>
      <c r="I23" s="28">
        <v>1</v>
      </c>
      <c r="J23" s="27">
        <v>103</v>
      </c>
      <c r="K23" s="39">
        <f t="shared" si="0"/>
        <v>17.2</v>
      </c>
      <c r="L23" s="34" t="s">
        <v>172</v>
      </c>
    </row>
    <row r="24" spans="1:20" ht="39.950000000000003" customHeight="1">
      <c r="A24" s="27">
        <v>1.4</v>
      </c>
      <c r="B24" s="33" t="s">
        <v>105</v>
      </c>
      <c r="C24" s="27" t="s">
        <v>128</v>
      </c>
      <c r="D24" s="27">
        <v>2.2000000000000002</v>
      </c>
      <c r="E24" s="27" t="s">
        <v>161</v>
      </c>
      <c r="F24" s="27">
        <v>15</v>
      </c>
      <c r="G24" s="40">
        <f t="shared" si="1"/>
        <v>7.82</v>
      </c>
      <c r="H24" s="32" t="s">
        <v>9</v>
      </c>
      <c r="I24" s="28">
        <v>1</v>
      </c>
      <c r="J24" s="27">
        <v>92</v>
      </c>
      <c r="K24" s="39">
        <f t="shared" si="0"/>
        <v>17.2</v>
      </c>
      <c r="L24" s="34" t="s">
        <v>165</v>
      </c>
    </row>
    <row r="25" spans="1:20" ht="39.950000000000003" customHeight="1">
      <c r="A25" s="32">
        <v>1.5</v>
      </c>
      <c r="B25" s="33" t="s">
        <v>141</v>
      </c>
      <c r="C25" s="27" t="s">
        <v>128</v>
      </c>
      <c r="D25" s="27">
        <v>2.4</v>
      </c>
      <c r="E25" s="27" t="s">
        <v>161</v>
      </c>
      <c r="F25" s="27">
        <v>15</v>
      </c>
      <c r="G25" s="40">
        <f t="shared" si="1"/>
        <v>7.82</v>
      </c>
      <c r="H25" s="32" t="s">
        <v>9</v>
      </c>
      <c r="I25" s="32">
        <v>1</v>
      </c>
      <c r="J25" s="41">
        <v>89</v>
      </c>
      <c r="K25" s="39">
        <f t="shared" si="0"/>
        <v>18.77</v>
      </c>
      <c r="L25" s="39" t="s">
        <v>142</v>
      </c>
    </row>
    <row r="26" spans="1:20" ht="39.950000000000003" customHeight="1">
      <c r="A26" s="27">
        <v>1.6</v>
      </c>
      <c r="B26" s="33" t="s">
        <v>166</v>
      </c>
      <c r="C26" s="27" t="s">
        <v>128</v>
      </c>
      <c r="D26" s="27">
        <v>2.4</v>
      </c>
      <c r="E26" s="27" t="s">
        <v>161</v>
      </c>
      <c r="F26" s="27">
        <v>15</v>
      </c>
      <c r="G26" s="40">
        <f t="shared" si="1"/>
        <v>7.82</v>
      </c>
      <c r="H26" s="32" t="s">
        <v>9</v>
      </c>
      <c r="I26" s="28">
        <v>1</v>
      </c>
      <c r="J26" s="27">
        <v>97</v>
      </c>
      <c r="K26" s="39">
        <f t="shared" si="0"/>
        <v>18.77</v>
      </c>
      <c r="L26" s="34" t="s">
        <v>167</v>
      </c>
    </row>
    <row r="27" spans="1:20" ht="39.950000000000003" customHeight="1">
      <c r="A27" s="27">
        <v>1.8</v>
      </c>
      <c r="B27" s="33" t="s">
        <v>109</v>
      </c>
      <c r="C27" s="27" t="s">
        <v>128</v>
      </c>
      <c r="D27" s="27">
        <v>2.4</v>
      </c>
      <c r="E27" s="27" t="s">
        <v>161</v>
      </c>
      <c r="F27" s="27">
        <v>15</v>
      </c>
      <c r="G27" s="40">
        <f t="shared" si="1"/>
        <v>7.82</v>
      </c>
      <c r="H27" s="32" t="s">
        <v>9</v>
      </c>
      <c r="I27" s="32">
        <v>1</v>
      </c>
      <c r="J27" s="41">
        <f>106+13</f>
        <v>119</v>
      </c>
      <c r="K27" s="39">
        <f>ROUND(D27*G27*I27,2)</f>
        <v>18.77</v>
      </c>
      <c r="L27" s="39" t="s">
        <v>135</v>
      </c>
    </row>
    <row r="28" spans="1:20" ht="39.950000000000003" customHeight="1">
      <c r="A28" s="32">
        <v>1.7</v>
      </c>
      <c r="B28" s="33" t="s">
        <v>168</v>
      </c>
      <c r="C28" s="27" t="s">
        <v>128</v>
      </c>
      <c r="D28" s="27">
        <v>2.4</v>
      </c>
      <c r="E28" s="27" t="s">
        <v>161</v>
      </c>
      <c r="F28" s="27">
        <v>15</v>
      </c>
      <c r="G28" s="40">
        <f t="shared" si="1"/>
        <v>7.82</v>
      </c>
      <c r="H28" s="32" t="s">
        <v>9</v>
      </c>
      <c r="I28" s="32">
        <v>1</v>
      </c>
      <c r="J28" s="41">
        <f>108</f>
        <v>108</v>
      </c>
      <c r="K28" s="39">
        <f>ROUND(D28*G28*I28,2)</f>
        <v>18.77</v>
      </c>
      <c r="L28" s="39" t="s">
        <v>135</v>
      </c>
    </row>
    <row r="29" spans="1:20" ht="39.950000000000003" customHeight="1">
      <c r="A29" s="27">
        <v>1.8</v>
      </c>
      <c r="B29" s="33" t="s">
        <v>87</v>
      </c>
      <c r="C29" s="27" t="s">
        <v>128</v>
      </c>
      <c r="D29" s="27">
        <v>2.4</v>
      </c>
      <c r="E29" s="27" t="s">
        <v>161</v>
      </c>
      <c r="F29" s="27">
        <v>15</v>
      </c>
      <c r="G29" s="40">
        <f t="shared" si="1"/>
        <v>7.82</v>
      </c>
      <c r="H29" s="32" t="s">
        <v>9</v>
      </c>
      <c r="I29" s="32">
        <v>1</v>
      </c>
      <c r="J29" s="41">
        <f>108+13</f>
        <v>121</v>
      </c>
      <c r="K29" s="39">
        <f>ROUND(D29*G29*I29,2)</f>
        <v>18.77</v>
      </c>
      <c r="L29" s="39" t="s">
        <v>135</v>
      </c>
    </row>
    <row r="30" spans="1:20" ht="39.950000000000003" customHeight="1">
      <c r="A30" s="32">
        <v>1.9</v>
      </c>
      <c r="B30" s="33" t="s">
        <v>178</v>
      </c>
      <c r="C30" s="27" t="s">
        <v>128</v>
      </c>
      <c r="D30" s="27">
        <v>2.4</v>
      </c>
      <c r="E30" s="27" t="s">
        <v>161</v>
      </c>
      <c r="F30" s="27">
        <v>15</v>
      </c>
      <c r="G30" s="40">
        <f t="shared" si="1"/>
        <v>7.82</v>
      </c>
      <c r="H30" s="32" t="s">
        <v>9</v>
      </c>
      <c r="I30" s="32">
        <v>1</v>
      </c>
      <c r="J30" s="41">
        <v>113</v>
      </c>
      <c r="K30" s="39">
        <f>ROUND(D30*G30*I30,2)</f>
        <v>18.77</v>
      </c>
      <c r="L30" s="39" t="s">
        <v>135</v>
      </c>
    </row>
    <row r="31" spans="1:20" ht="39.950000000000003" customHeight="1">
      <c r="A31" s="28">
        <v>1.1000000000000001</v>
      </c>
      <c r="B31" s="33" t="s">
        <v>177</v>
      </c>
      <c r="C31" s="27" t="s">
        <v>128</v>
      </c>
      <c r="D31" s="27">
        <v>2.4</v>
      </c>
      <c r="E31" s="27" t="s">
        <v>161</v>
      </c>
      <c r="F31" s="27">
        <v>15</v>
      </c>
      <c r="G31" s="40">
        <f t="shared" si="1"/>
        <v>7.82</v>
      </c>
      <c r="H31" s="32" t="s">
        <v>9</v>
      </c>
      <c r="I31" s="32">
        <v>1</v>
      </c>
      <c r="J31" s="41">
        <f>113+13</f>
        <v>126</v>
      </c>
      <c r="K31" s="39">
        <f t="shared" ref="K31:K40" si="2">ROUND(D31*G31*I31,2)</f>
        <v>18.77</v>
      </c>
      <c r="L31" s="39" t="s">
        <v>135</v>
      </c>
    </row>
    <row r="32" spans="1:20" ht="39.950000000000003" customHeight="1">
      <c r="A32" s="28">
        <v>1.1100000000000001</v>
      </c>
      <c r="B32" s="33" t="s">
        <v>108</v>
      </c>
      <c r="C32" s="27" t="s">
        <v>146</v>
      </c>
      <c r="D32" s="27">
        <v>1</v>
      </c>
      <c r="E32" s="27" t="s">
        <v>251</v>
      </c>
      <c r="F32" s="27">
        <v>240</v>
      </c>
      <c r="G32" s="40">
        <f t="shared" si="1"/>
        <v>64.31</v>
      </c>
      <c r="H32" s="32" t="s">
        <v>9</v>
      </c>
      <c r="I32" s="32">
        <v>1</v>
      </c>
      <c r="J32" s="27">
        <v>1600</v>
      </c>
      <c r="K32" s="39">
        <f t="shared" si="2"/>
        <v>64.31</v>
      </c>
      <c r="L32" s="34" t="s">
        <v>162</v>
      </c>
    </row>
    <row r="33" spans="1:12" ht="39.950000000000003" customHeight="1">
      <c r="A33" s="28">
        <v>1.1200000000000001</v>
      </c>
      <c r="B33" s="33" t="s">
        <v>127</v>
      </c>
      <c r="C33" s="27" t="s">
        <v>146</v>
      </c>
      <c r="D33" s="27">
        <v>1</v>
      </c>
      <c r="E33" s="27" t="s">
        <v>251</v>
      </c>
      <c r="F33" s="27">
        <v>240</v>
      </c>
      <c r="G33" s="40">
        <f t="shared" si="1"/>
        <v>64.31</v>
      </c>
      <c r="H33" s="32" t="s">
        <v>9</v>
      </c>
      <c r="I33" s="32">
        <v>1</v>
      </c>
      <c r="J33" s="27">
        <v>1520</v>
      </c>
      <c r="K33" s="39">
        <f t="shared" si="2"/>
        <v>64.31</v>
      </c>
      <c r="L33" s="34" t="s">
        <v>147</v>
      </c>
    </row>
    <row r="34" spans="1:12" ht="39.950000000000003" customHeight="1">
      <c r="A34" s="28">
        <v>1.1299999999999999</v>
      </c>
      <c r="B34" s="33" t="s">
        <v>113</v>
      </c>
      <c r="C34" s="27" t="s">
        <v>102</v>
      </c>
      <c r="D34" s="27">
        <v>1</v>
      </c>
      <c r="E34" s="27" t="s">
        <v>250</v>
      </c>
      <c r="F34" s="27">
        <v>110</v>
      </c>
      <c r="G34" s="40">
        <f t="shared" si="1"/>
        <v>33.64</v>
      </c>
      <c r="H34" s="32" t="s">
        <v>9</v>
      </c>
      <c r="I34" s="28">
        <v>1</v>
      </c>
      <c r="J34" s="27">
        <v>101.7</v>
      </c>
      <c r="K34" s="39">
        <f t="shared" si="2"/>
        <v>33.64</v>
      </c>
      <c r="L34" s="34" t="s">
        <v>158</v>
      </c>
    </row>
    <row r="35" spans="1:12" ht="39.950000000000003" customHeight="1">
      <c r="A35" s="28">
        <v>1.1399999999999999</v>
      </c>
      <c r="B35" s="33" t="s">
        <v>114</v>
      </c>
      <c r="C35" s="27" t="s">
        <v>102</v>
      </c>
      <c r="D35" s="27">
        <v>1</v>
      </c>
      <c r="E35" s="27" t="s">
        <v>250</v>
      </c>
      <c r="F35" s="27">
        <v>110</v>
      </c>
      <c r="G35" s="40">
        <f t="shared" si="1"/>
        <v>33.64</v>
      </c>
      <c r="H35" s="32" t="s">
        <v>9</v>
      </c>
      <c r="I35" s="28">
        <v>1</v>
      </c>
      <c r="J35" s="27">
        <v>110.2</v>
      </c>
      <c r="K35" s="39">
        <f t="shared" si="2"/>
        <v>33.64</v>
      </c>
      <c r="L35" s="34" t="s">
        <v>159</v>
      </c>
    </row>
    <row r="36" spans="1:12" ht="39.950000000000003" customHeight="1">
      <c r="A36" s="28">
        <v>1.1499999999999999</v>
      </c>
      <c r="B36" s="33" t="s">
        <v>122</v>
      </c>
      <c r="C36" s="27" t="s">
        <v>128</v>
      </c>
      <c r="D36" s="27">
        <v>1.6</v>
      </c>
      <c r="E36" s="27" t="s">
        <v>152</v>
      </c>
      <c r="F36" s="27">
        <v>20</v>
      </c>
      <c r="G36" s="40">
        <f t="shared" si="1"/>
        <v>9.75</v>
      </c>
      <c r="H36" s="32" t="s">
        <v>9</v>
      </c>
      <c r="I36" s="32">
        <v>1</v>
      </c>
      <c r="J36" s="41">
        <v>17</v>
      </c>
      <c r="K36" s="39">
        <f t="shared" si="2"/>
        <v>15.6</v>
      </c>
      <c r="L36" s="39" t="s">
        <v>136</v>
      </c>
    </row>
    <row r="37" spans="1:12" ht="39.950000000000003" customHeight="1">
      <c r="A37" s="28">
        <v>1.1599999999999999</v>
      </c>
      <c r="B37" s="33" t="s">
        <v>96</v>
      </c>
      <c r="C37" s="27" t="s">
        <v>128</v>
      </c>
      <c r="D37" s="27">
        <v>1.55</v>
      </c>
      <c r="E37" s="27" t="s">
        <v>152</v>
      </c>
      <c r="F37" s="27">
        <v>20</v>
      </c>
      <c r="G37" s="40">
        <f t="shared" si="1"/>
        <v>9.75</v>
      </c>
      <c r="H37" s="32" t="s">
        <v>9</v>
      </c>
      <c r="I37" s="32">
        <v>1</v>
      </c>
      <c r="J37" s="27">
        <v>12.7</v>
      </c>
      <c r="K37" s="39">
        <f t="shared" si="2"/>
        <v>15.11</v>
      </c>
      <c r="L37" s="34" t="s">
        <v>149</v>
      </c>
    </row>
    <row r="38" spans="1:12" ht="39.950000000000003" customHeight="1">
      <c r="A38" s="28">
        <v>1.17</v>
      </c>
      <c r="B38" s="33" t="s">
        <v>123</v>
      </c>
      <c r="C38" s="27" t="s">
        <v>128</v>
      </c>
      <c r="D38" s="27">
        <v>1.5</v>
      </c>
      <c r="E38" s="27" t="s">
        <v>161</v>
      </c>
      <c r="F38" s="27">
        <v>15</v>
      </c>
      <c r="G38" s="40">
        <f t="shared" si="1"/>
        <v>7.82</v>
      </c>
      <c r="H38" s="32" t="s">
        <v>9</v>
      </c>
      <c r="I38" s="32">
        <v>1</v>
      </c>
      <c r="J38" s="27">
        <v>28</v>
      </c>
      <c r="K38" s="39">
        <f t="shared" si="2"/>
        <v>11.73</v>
      </c>
      <c r="L38" s="27" t="s">
        <v>140</v>
      </c>
    </row>
    <row r="39" spans="1:12" ht="39.950000000000003" customHeight="1">
      <c r="A39" s="28">
        <v>1.18</v>
      </c>
      <c r="B39" s="33" t="s">
        <v>170</v>
      </c>
      <c r="C39" s="27" t="s">
        <v>128</v>
      </c>
      <c r="D39" s="27">
        <v>1.5</v>
      </c>
      <c r="E39" s="27" t="s">
        <v>161</v>
      </c>
      <c r="F39" s="27">
        <v>15</v>
      </c>
      <c r="G39" s="40">
        <f t="shared" si="1"/>
        <v>7.82</v>
      </c>
      <c r="H39" s="32" t="s">
        <v>9</v>
      </c>
      <c r="I39" s="28">
        <v>1</v>
      </c>
      <c r="J39" s="27">
        <v>38</v>
      </c>
      <c r="K39" s="39">
        <f t="shared" si="2"/>
        <v>11.73</v>
      </c>
      <c r="L39" s="34" t="s">
        <v>171</v>
      </c>
    </row>
    <row r="40" spans="1:12" ht="39.950000000000003" customHeight="1">
      <c r="A40" s="28">
        <v>1.19</v>
      </c>
      <c r="B40" s="27" t="s">
        <v>150</v>
      </c>
      <c r="C40" s="27" t="s">
        <v>128</v>
      </c>
      <c r="D40" s="27">
        <v>2</v>
      </c>
      <c r="E40" s="27" t="s">
        <v>152</v>
      </c>
      <c r="F40" s="27">
        <v>20</v>
      </c>
      <c r="G40" s="40">
        <f t="shared" si="1"/>
        <v>9.75</v>
      </c>
      <c r="H40" s="32" t="s">
        <v>9</v>
      </c>
      <c r="I40" s="32">
        <v>1</v>
      </c>
      <c r="J40" s="27">
        <v>15</v>
      </c>
      <c r="K40" s="39">
        <f t="shared" si="2"/>
        <v>19.5</v>
      </c>
      <c r="L40" s="34" t="s">
        <v>151</v>
      </c>
    </row>
    <row r="41" spans="1:12" ht="39.950000000000003" customHeight="1">
      <c r="A41" s="28">
        <v>1.2</v>
      </c>
      <c r="B41" s="27" t="s">
        <v>228</v>
      </c>
      <c r="C41" s="27" t="s">
        <v>128</v>
      </c>
      <c r="D41" s="27">
        <v>2</v>
      </c>
      <c r="E41" s="27" t="s">
        <v>152</v>
      </c>
      <c r="F41" s="27">
        <v>20</v>
      </c>
      <c r="G41" s="40">
        <f t="shared" si="1"/>
        <v>9.75</v>
      </c>
      <c r="H41" s="32" t="s">
        <v>9</v>
      </c>
      <c r="I41" s="32">
        <v>1</v>
      </c>
      <c r="J41" s="27">
        <v>18</v>
      </c>
      <c r="K41" s="39">
        <f>ROUND(D41*G41*I41,2)</f>
        <v>19.5</v>
      </c>
      <c r="L41" s="34" t="s">
        <v>151</v>
      </c>
    </row>
    <row r="42" spans="1:12" ht="39.950000000000003" customHeight="1">
      <c r="A42" s="28">
        <v>1.21</v>
      </c>
      <c r="B42" s="33" t="s">
        <v>88</v>
      </c>
      <c r="C42" s="27" t="s">
        <v>133</v>
      </c>
      <c r="D42" s="27">
        <f>0.4*1*0.6</f>
        <v>0.24</v>
      </c>
      <c r="E42" s="27" t="s">
        <v>227</v>
      </c>
      <c r="F42" s="27">
        <v>130</v>
      </c>
      <c r="G42" s="40">
        <f t="shared" si="1"/>
        <v>38.54</v>
      </c>
      <c r="H42" s="32" t="s">
        <v>9</v>
      </c>
      <c r="I42" s="32">
        <v>1</v>
      </c>
      <c r="J42" s="41">
        <v>16</v>
      </c>
      <c r="K42" s="39">
        <f t="shared" ref="K42:K68" si="3">ROUND(D42*G42*I42,2)</f>
        <v>9.25</v>
      </c>
      <c r="L42" s="39" t="s">
        <v>137</v>
      </c>
    </row>
    <row r="43" spans="1:12" ht="39.950000000000003" customHeight="1">
      <c r="A43" s="28">
        <v>1.22</v>
      </c>
      <c r="B43" s="33" t="s">
        <v>126</v>
      </c>
      <c r="C43" s="27" t="s">
        <v>128</v>
      </c>
      <c r="D43" s="27">
        <v>0.6</v>
      </c>
      <c r="E43" s="27" t="s">
        <v>227</v>
      </c>
      <c r="F43" s="27">
        <v>130</v>
      </c>
      <c r="G43" s="40">
        <f t="shared" si="1"/>
        <v>38.54</v>
      </c>
      <c r="H43" s="32" t="s">
        <v>9</v>
      </c>
      <c r="I43" s="32">
        <v>1</v>
      </c>
      <c r="J43" s="41">
        <v>443</v>
      </c>
      <c r="K43" s="39">
        <f t="shared" si="3"/>
        <v>23.12</v>
      </c>
      <c r="L43" s="42" t="s">
        <v>145</v>
      </c>
    </row>
    <row r="44" spans="1:12" ht="39.950000000000003" customHeight="1">
      <c r="A44" s="28">
        <v>1.23</v>
      </c>
      <c r="B44" s="33" t="s">
        <v>90</v>
      </c>
      <c r="C44" s="27" t="s">
        <v>128</v>
      </c>
      <c r="D44" s="27">
        <v>0.6</v>
      </c>
      <c r="E44" s="27" t="s">
        <v>227</v>
      </c>
      <c r="F44" s="27">
        <v>130</v>
      </c>
      <c r="G44" s="40">
        <f t="shared" si="1"/>
        <v>38.54</v>
      </c>
      <c r="H44" s="32" t="s">
        <v>9</v>
      </c>
      <c r="I44" s="32">
        <v>1</v>
      </c>
      <c r="J44" s="41">
        <v>475</v>
      </c>
      <c r="K44" s="39">
        <f t="shared" si="3"/>
        <v>23.12</v>
      </c>
      <c r="L44" s="42" t="s">
        <v>138</v>
      </c>
    </row>
    <row r="45" spans="1:12" ht="39.950000000000003" customHeight="1">
      <c r="A45" s="28">
        <v>1.24</v>
      </c>
      <c r="B45" s="33" t="s">
        <v>176</v>
      </c>
      <c r="C45" s="27" t="s">
        <v>128</v>
      </c>
      <c r="D45" s="27">
        <v>0.6</v>
      </c>
      <c r="E45" s="27" t="s">
        <v>227</v>
      </c>
      <c r="F45" s="27">
        <v>130</v>
      </c>
      <c r="G45" s="40">
        <f t="shared" si="1"/>
        <v>38.54</v>
      </c>
      <c r="H45" s="32" t="s">
        <v>9</v>
      </c>
      <c r="I45" s="32">
        <v>1</v>
      </c>
      <c r="J45" s="32">
        <v>521</v>
      </c>
      <c r="K45" s="39">
        <f>ROUND(D45*G45*I45,2)</f>
        <v>23.12</v>
      </c>
      <c r="L45" s="42" t="s">
        <v>138</v>
      </c>
    </row>
    <row r="46" spans="1:12" ht="39.950000000000003" customHeight="1">
      <c r="A46" s="28">
        <v>1.25</v>
      </c>
      <c r="B46" s="27" t="s">
        <v>125</v>
      </c>
      <c r="C46" s="27" t="s">
        <v>128</v>
      </c>
      <c r="D46" s="27">
        <v>0.7</v>
      </c>
      <c r="E46" s="27" t="s">
        <v>227</v>
      </c>
      <c r="F46" s="27">
        <v>130</v>
      </c>
      <c r="G46" s="40">
        <f t="shared" si="1"/>
        <v>38.54</v>
      </c>
      <c r="H46" s="32" t="s">
        <v>9</v>
      </c>
      <c r="I46" s="32">
        <v>1</v>
      </c>
      <c r="J46" s="27">
        <v>280</v>
      </c>
      <c r="K46" s="39">
        <f t="shared" si="3"/>
        <v>26.98</v>
      </c>
      <c r="L46" s="34" t="s">
        <v>144</v>
      </c>
    </row>
    <row r="47" spans="1:12" ht="39.950000000000003" customHeight="1">
      <c r="A47" s="28">
        <v>1.26</v>
      </c>
      <c r="B47" s="33" t="s">
        <v>100</v>
      </c>
      <c r="C47" s="27" t="s">
        <v>146</v>
      </c>
      <c r="D47" s="27">
        <v>1</v>
      </c>
      <c r="E47" s="27" t="s">
        <v>161</v>
      </c>
      <c r="F47" s="27">
        <v>15</v>
      </c>
      <c r="G47" s="40">
        <f t="shared" si="1"/>
        <v>7.82</v>
      </c>
      <c r="H47" s="32" t="s">
        <v>9</v>
      </c>
      <c r="I47" s="32">
        <v>1</v>
      </c>
      <c r="J47" s="27">
        <v>995</v>
      </c>
      <c r="K47" s="39">
        <f>ROUND(D47*G47*I47,2)</f>
        <v>7.82</v>
      </c>
      <c r="L47" s="34" t="s">
        <v>148</v>
      </c>
    </row>
    <row r="48" spans="1:12" ht="39.950000000000003" customHeight="1">
      <c r="A48" s="28">
        <v>1.27</v>
      </c>
      <c r="B48" s="33" t="s">
        <v>86</v>
      </c>
      <c r="C48" s="27" t="s">
        <v>102</v>
      </c>
      <c r="D48" s="27">
        <v>1</v>
      </c>
      <c r="E48" s="27" t="s">
        <v>161</v>
      </c>
      <c r="F48" s="27">
        <v>15</v>
      </c>
      <c r="G48" s="40">
        <f t="shared" si="1"/>
        <v>7.82</v>
      </c>
      <c r="H48" s="32" t="s">
        <v>9</v>
      </c>
      <c r="I48" s="28">
        <v>1</v>
      </c>
      <c r="J48" s="27">
        <v>1250</v>
      </c>
      <c r="K48" s="39">
        <f>ROUND(D48*G48*I48,2)</f>
        <v>7.82</v>
      </c>
      <c r="L48" s="34" t="s">
        <v>157</v>
      </c>
    </row>
    <row r="49" spans="1:12" ht="39.950000000000003" customHeight="1">
      <c r="A49" s="28">
        <v>1.28</v>
      </c>
      <c r="B49" s="43" t="s">
        <v>115</v>
      </c>
      <c r="C49" s="27" t="s">
        <v>173</v>
      </c>
      <c r="D49" s="27">
        <v>3.5999999999999999E-3</v>
      </c>
      <c r="E49" s="27" t="s">
        <v>161</v>
      </c>
      <c r="F49" s="27">
        <v>15</v>
      </c>
      <c r="G49" s="40">
        <f t="shared" si="1"/>
        <v>7.82</v>
      </c>
      <c r="H49" s="32" t="s">
        <v>9</v>
      </c>
      <c r="I49" s="28">
        <v>1</v>
      </c>
      <c r="J49" s="27">
        <v>0.41</v>
      </c>
      <c r="K49" s="39">
        <f>ROUND(D49*G49*I49,2)</f>
        <v>0.03</v>
      </c>
      <c r="L49" s="34" t="s">
        <v>174</v>
      </c>
    </row>
    <row r="50" spans="1:12" ht="39.950000000000003" customHeight="1">
      <c r="A50" s="28">
        <v>1.29</v>
      </c>
      <c r="B50" s="33" t="s">
        <v>99</v>
      </c>
      <c r="C50" s="27" t="s">
        <v>102</v>
      </c>
      <c r="D50" s="27">
        <v>1</v>
      </c>
      <c r="E50" s="27" t="s">
        <v>251</v>
      </c>
      <c r="F50" s="27">
        <v>240</v>
      </c>
      <c r="G50" s="40">
        <f t="shared" si="1"/>
        <v>64.31</v>
      </c>
      <c r="H50" s="32" t="s">
        <v>9</v>
      </c>
      <c r="I50" s="28">
        <v>1</v>
      </c>
      <c r="J50" s="27">
        <v>1810</v>
      </c>
      <c r="K50" s="39">
        <f t="shared" si="3"/>
        <v>64.31</v>
      </c>
      <c r="L50" s="34" t="s">
        <v>160</v>
      </c>
    </row>
    <row r="51" spans="1:12" ht="39.950000000000003" customHeight="1">
      <c r="A51" s="28">
        <v>1.3</v>
      </c>
      <c r="B51" s="33" t="s">
        <v>103</v>
      </c>
      <c r="C51" s="27" t="s">
        <v>102</v>
      </c>
      <c r="D51" s="27">
        <v>1</v>
      </c>
      <c r="E51" s="27" t="s">
        <v>251</v>
      </c>
      <c r="F51" s="27">
        <v>240</v>
      </c>
      <c r="G51" s="40">
        <f t="shared" si="1"/>
        <v>64.31</v>
      </c>
      <c r="H51" s="32" t="s">
        <v>9</v>
      </c>
      <c r="I51" s="28">
        <v>1</v>
      </c>
      <c r="J51" s="27">
        <v>1830</v>
      </c>
      <c r="K51" s="39">
        <f t="shared" si="3"/>
        <v>64.31</v>
      </c>
      <c r="L51" s="34" t="s">
        <v>163</v>
      </c>
    </row>
    <row r="52" spans="1:12" ht="39.950000000000003" customHeight="1">
      <c r="A52" s="28">
        <v>1.31</v>
      </c>
      <c r="B52" s="33" t="s">
        <v>106</v>
      </c>
      <c r="C52" s="27" t="s">
        <v>102</v>
      </c>
      <c r="D52" s="27">
        <v>1</v>
      </c>
      <c r="E52" s="27" t="s">
        <v>251</v>
      </c>
      <c r="F52" s="27">
        <v>240</v>
      </c>
      <c r="G52" s="40">
        <f t="shared" si="1"/>
        <v>64.31</v>
      </c>
      <c r="H52" s="32" t="s">
        <v>9</v>
      </c>
      <c r="I52" s="28">
        <v>1</v>
      </c>
      <c r="J52" s="27">
        <v>2087</v>
      </c>
      <c r="K52" s="39">
        <f t="shared" si="3"/>
        <v>64.31</v>
      </c>
      <c r="L52" s="34" t="s">
        <v>160</v>
      </c>
    </row>
    <row r="53" spans="1:12" ht="39.950000000000003" customHeight="1">
      <c r="A53" s="28">
        <v>1.32</v>
      </c>
      <c r="B53" s="33" t="s">
        <v>107</v>
      </c>
      <c r="C53" s="27" t="s">
        <v>102</v>
      </c>
      <c r="D53" s="27">
        <v>1</v>
      </c>
      <c r="E53" s="27" t="s">
        <v>251</v>
      </c>
      <c r="F53" s="27">
        <v>240</v>
      </c>
      <c r="G53" s="40">
        <f t="shared" si="1"/>
        <v>64.31</v>
      </c>
      <c r="H53" s="32" t="s">
        <v>9</v>
      </c>
      <c r="I53" s="28">
        <v>1</v>
      </c>
      <c r="J53" s="27">
        <v>1920</v>
      </c>
      <c r="K53" s="39">
        <f t="shared" si="3"/>
        <v>64.31</v>
      </c>
      <c r="L53" s="34" t="s">
        <v>164</v>
      </c>
    </row>
    <row r="54" spans="1:12" ht="39.950000000000003" customHeight="1">
      <c r="A54" s="28">
        <v>1.33</v>
      </c>
      <c r="B54" s="33" t="s">
        <v>229</v>
      </c>
      <c r="C54" s="27" t="s">
        <v>173</v>
      </c>
      <c r="D54" s="27">
        <f>2.5*6.26/1000</f>
        <v>1.5649999999999997E-2</v>
      </c>
      <c r="E54" s="27" t="s">
        <v>251</v>
      </c>
      <c r="F54" s="27">
        <v>240</v>
      </c>
      <c r="G54" s="40">
        <f t="shared" si="1"/>
        <v>64.31</v>
      </c>
      <c r="H54" s="32" t="s">
        <v>9</v>
      </c>
      <c r="I54" s="28">
        <v>1</v>
      </c>
      <c r="J54" s="27">
        <f>11.6*2.5</f>
        <v>29</v>
      </c>
      <c r="K54" s="39">
        <f t="shared" si="3"/>
        <v>1.01</v>
      </c>
      <c r="L54" s="34" t="s">
        <v>175</v>
      </c>
    </row>
    <row r="55" spans="1:12" ht="39.950000000000003" customHeight="1">
      <c r="A55" s="28">
        <v>1.34</v>
      </c>
      <c r="B55" s="33" t="s">
        <v>230</v>
      </c>
      <c r="C55" s="27" t="s">
        <v>173</v>
      </c>
      <c r="D55" s="27">
        <f>3.5*9.77/1000</f>
        <v>3.4195000000000003E-2</v>
      </c>
      <c r="E55" s="27" t="s">
        <v>251</v>
      </c>
      <c r="F55" s="27">
        <v>240</v>
      </c>
      <c r="G55" s="40">
        <f t="shared" si="1"/>
        <v>64.31</v>
      </c>
      <c r="H55" s="32" t="s">
        <v>9</v>
      </c>
      <c r="I55" s="28">
        <v>1</v>
      </c>
      <c r="J55" s="27">
        <f>17.3*3.5</f>
        <v>60.550000000000004</v>
      </c>
      <c r="K55" s="39">
        <f t="shared" si="3"/>
        <v>2.2000000000000002</v>
      </c>
      <c r="L55" s="34" t="s">
        <v>175</v>
      </c>
    </row>
    <row r="56" spans="1:12" ht="39.950000000000003" customHeight="1">
      <c r="A56" s="28">
        <v>1.35</v>
      </c>
      <c r="B56" s="33" t="s">
        <v>231</v>
      </c>
      <c r="C56" s="27" t="s">
        <v>173</v>
      </c>
      <c r="D56" s="27">
        <f>4*10.85/1000</f>
        <v>4.3400000000000001E-2</v>
      </c>
      <c r="E56" s="27" t="s">
        <v>251</v>
      </c>
      <c r="F56" s="27">
        <v>240</v>
      </c>
      <c r="G56" s="40">
        <f t="shared" si="1"/>
        <v>64.31</v>
      </c>
      <c r="H56" s="32" t="s">
        <v>9</v>
      </c>
      <c r="I56" s="28">
        <v>1</v>
      </c>
      <c r="J56" s="27">
        <f>18.3*4</f>
        <v>73.2</v>
      </c>
      <c r="K56" s="39">
        <f t="shared" si="3"/>
        <v>2.79</v>
      </c>
      <c r="L56" s="34" t="s">
        <v>175</v>
      </c>
    </row>
    <row r="57" spans="1:12" ht="39.950000000000003" customHeight="1">
      <c r="A57" s="28">
        <v>1.36</v>
      </c>
      <c r="B57" s="33" t="s">
        <v>182</v>
      </c>
      <c r="C57" s="27" t="s">
        <v>102</v>
      </c>
      <c r="D57" s="27">
        <v>1</v>
      </c>
      <c r="E57" s="27" t="s">
        <v>251</v>
      </c>
      <c r="F57" s="27">
        <v>240</v>
      </c>
      <c r="G57" s="40">
        <f t="shared" si="1"/>
        <v>64.31</v>
      </c>
      <c r="H57" s="32" t="s">
        <v>9</v>
      </c>
      <c r="I57" s="28">
        <v>1</v>
      </c>
      <c r="J57" s="32">
        <v>1851</v>
      </c>
      <c r="K57" s="39">
        <f t="shared" si="3"/>
        <v>64.31</v>
      </c>
      <c r="L57" s="34" t="s">
        <v>175</v>
      </c>
    </row>
    <row r="58" spans="1:12" ht="39.950000000000003" customHeight="1">
      <c r="A58" s="28">
        <v>1.37</v>
      </c>
      <c r="B58" s="33" t="s">
        <v>232</v>
      </c>
      <c r="C58" s="27" t="s">
        <v>102</v>
      </c>
      <c r="D58" s="27">
        <v>1</v>
      </c>
      <c r="E58" s="27" t="s">
        <v>251</v>
      </c>
      <c r="F58" s="27">
        <v>240</v>
      </c>
      <c r="G58" s="40">
        <f t="shared" si="1"/>
        <v>64.31</v>
      </c>
      <c r="H58" s="32" t="s">
        <v>9</v>
      </c>
      <c r="I58" s="28">
        <v>1</v>
      </c>
      <c r="J58" s="32">
        <v>1870</v>
      </c>
      <c r="K58" s="39">
        <f t="shared" si="3"/>
        <v>64.31</v>
      </c>
      <c r="L58" s="34" t="s">
        <v>175</v>
      </c>
    </row>
    <row r="59" spans="1:12" ht="39.950000000000003" customHeight="1">
      <c r="A59" s="28">
        <v>1.38</v>
      </c>
      <c r="B59" s="33" t="s">
        <v>233</v>
      </c>
      <c r="C59" s="27" t="s">
        <v>102</v>
      </c>
      <c r="D59" s="27">
        <v>1</v>
      </c>
      <c r="E59" s="27" t="s">
        <v>251</v>
      </c>
      <c r="F59" s="27">
        <v>240</v>
      </c>
      <c r="G59" s="40">
        <f t="shared" si="1"/>
        <v>64.31</v>
      </c>
      <c r="H59" s="32" t="s">
        <v>9</v>
      </c>
      <c r="I59" s="28">
        <v>1</v>
      </c>
      <c r="J59" s="32">
        <v>1920</v>
      </c>
      <c r="K59" s="39">
        <f t="shared" si="3"/>
        <v>64.31</v>
      </c>
      <c r="L59" s="34" t="s">
        <v>175</v>
      </c>
    </row>
    <row r="60" spans="1:12" ht="39.950000000000003" customHeight="1">
      <c r="A60" s="28">
        <v>1.39</v>
      </c>
      <c r="B60" s="33" t="s">
        <v>234</v>
      </c>
      <c r="C60" s="27" t="s">
        <v>153</v>
      </c>
      <c r="D60" s="27">
        <v>1.41E-3</v>
      </c>
      <c r="E60" s="27" t="s">
        <v>251</v>
      </c>
      <c r="F60" s="27">
        <v>240</v>
      </c>
      <c r="G60" s="40">
        <f t="shared" si="1"/>
        <v>64.31</v>
      </c>
      <c r="H60" s="32" t="s">
        <v>9</v>
      </c>
      <c r="I60" s="28">
        <v>1</v>
      </c>
      <c r="J60" s="32">
        <v>4</v>
      </c>
      <c r="K60" s="39">
        <f t="shared" si="3"/>
        <v>0.09</v>
      </c>
      <c r="L60" s="34" t="s">
        <v>175</v>
      </c>
    </row>
    <row r="61" spans="1:12" ht="39.950000000000003" customHeight="1">
      <c r="A61" s="28">
        <v>1.4</v>
      </c>
      <c r="B61" s="33" t="s">
        <v>235</v>
      </c>
      <c r="C61" s="27" t="s">
        <v>173</v>
      </c>
      <c r="D61" s="27">
        <v>1.7500000000000002E-2</v>
      </c>
      <c r="E61" s="27" t="s">
        <v>251</v>
      </c>
      <c r="F61" s="27">
        <v>240</v>
      </c>
      <c r="G61" s="40">
        <f t="shared" si="1"/>
        <v>64.31</v>
      </c>
      <c r="H61" s="32" t="s">
        <v>9</v>
      </c>
      <c r="I61" s="28">
        <v>1</v>
      </c>
      <c r="J61" s="32">
        <v>72.900000000000006</v>
      </c>
      <c r="K61" s="39">
        <f t="shared" si="3"/>
        <v>1.1299999999999999</v>
      </c>
      <c r="L61" s="34" t="s">
        <v>236</v>
      </c>
    </row>
    <row r="62" spans="1:12" ht="39.950000000000003" customHeight="1">
      <c r="A62" s="28">
        <v>1.41</v>
      </c>
      <c r="B62" s="33" t="s">
        <v>237</v>
      </c>
      <c r="C62" s="27" t="s">
        <v>173</v>
      </c>
      <c r="D62" s="27">
        <v>1.32E-2</v>
      </c>
      <c r="E62" s="27" t="s">
        <v>251</v>
      </c>
      <c r="F62" s="27">
        <v>240</v>
      </c>
      <c r="G62" s="40">
        <f t="shared" si="1"/>
        <v>64.31</v>
      </c>
      <c r="H62" s="32" t="s">
        <v>9</v>
      </c>
      <c r="I62" s="28">
        <v>1</v>
      </c>
      <c r="J62" s="32">
        <v>56.8</v>
      </c>
      <c r="K62" s="39">
        <f t="shared" si="3"/>
        <v>0.85</v>
      </c>
      <c r="L62" s="34" t="s">
        <v>238</v>
      </c>
    </row>
    <row r="63" spans="1:12" ht="39.950000000000003" customHeight="1">
      <c r="A63" s="28">
        <v>1.42</v>
      </c>
      <c r="B63" s="33" t="s">
        <v>179</v>
      </c>
      <c r="C63" s="27" t="s">
        <v>102</v>
      </c>
      <c r="D63" s="27">
        <v>1</v>
      </c>
      <c r="E63" s="27" t="s">
        <v>251</v>
      </c>
      <c r="F63" s="27">
        <v>240</v>
      </c>
      <c r="G63" s="40">
        <f t="shared" si="1"/>
        <v>64.31</v>
      </c>
      <c r="H63" s="32" t="s">
        <v>9</v>
      </c>
      <c r="I63" s="28">
        <v>1</v>
      </c>
      <c r="J63" s="27">
        <v>3200</v>
      </c>
      <c r="K63" s="39">
        <f t="shared" si="3"/>
        <v>64.31</v>
      </c>
      <c r="L63" s="34" t="s">
        <v>175</v>
      </c>
    </row>
    <row r="64" spans="1:12" ht="39.950000000000003" customHeight="1">
      <c r="A64" s="28">
        <v>1.43</v>
      </c>
      <c r="B64" s="33" t="s">
        <v>180</v>
      </c>
      <c r="C64" s="27" t="s">
        <v>153</v>
      </c>
      <c r="D64" s="27">
        <f>(0.3*0.3*2400)/1000</f>
        <v>0.216</v>
      </c>
      <c r="E64" s="27" t="s">
        <v>251</v>
      </c>
      <c r="F64" s="27">
        <v>240</v>
      </c>
      <c r="G64" s="40">
        <f t="shared" si="1"/>
        <v>64.31</v>
      </c>
      <c r="H64" s="32" t="s">
        <v>9</v>
      </c>
      <c r="I64" s="28">
        <v>1</v>
      </c>
      <c r="J64" s="32">
        <v>97</v>
      </c>
      <c r="K64" s="39">
        <f t="shared" si="3"/>
        <v>13.89</v>
      </c>
      <c r="L64" s="34" t="s">
        <v>175</v>
      </c>
    </row>
    <row r="65" spans="1:20" ht="39.950000000000003" customHeight="1">
      <c r="A65" s="28">
        <v>1.44</v>
      </c>
      <c r="B65" s="33" t="s">
        <v>181</v>
      </c>
      <c r="C65" s="27" t="s">
        <v>128</v>
      </c>
      <c r="D65" s="27">
        <v>2.4</v>
      </c>
      <c r="E65" s="27" t="s">
        <v>161</v>
      </c>
      <c r="F65" s="27">
        <v>15</v>
      </c>
      <c r="G65" s="40">
        <f t="shared" si="1"/>
        <v>7.82</v>
      </c>
      <c r="H65" s="32" t="s">
        <v>9</v>
      </c>
      <c r="I65" s="28">
        <v>1</v>
      </c>
      <c r="J65" s="32">
        <v>308.8</v>
      </c>
      <c r="K65" s="39">
        <f t="shared" si="3"/>
        <v>18.77</v>
      </c>
      <c r="L65" s="34" t="s">
        <v>175</v>
      </c>
    </row>
    <row r="66" spans="1:20" ht="39.950000000000003" customHeight="1">
      <c r="A66" s="28">
        <v>1.45</v>
      </c>
      <c r="B66" s="33" t="s">
        <v>97</v>
      </c>
      <c r="C66" s="27" t="s">
        <v>153</v>
      </c>
      <c r="D66" s="28">
        <f>0.1*2.5</f>
        <v>0.25</v>
      </c>
      <c r="E66" s="27" t="s">
        <v>227</v>
      </c>
      <c r="F66" s="27">
        <v>130</v>
      </c>
      <c r="G66" s="40">
        <f t="shared" si="1"/>
        <v>38.54</v>
      </c>
      <c r="H66" s="32" t="s">
        <v>16</v>
      </c>
      <c r="I66" s="28">
        <v>1.25</v>
      </c>
      <c r="J66" s="27">
        <v>78.900000000000006</v>
      </c>
      <c r="K66" s="39">
        <f t="shared" si="3"/>
        <v>12.04</v>
      </c>
      <c r="L66" s="34" t="s">
        <v>154</v>
      </c>
    </row>
    <row r="67" spans="1:20" ht="39.950000000000003" customHeight="1">
      <c r="A67" s="28">
        <v>1.46</v>
      </c>
      <c r="B67" s="33" t="s">
        <v>239</v>
      </c>
      <c r="C67" s="27" t="s">
        <v>173</v>
      </c>
      <c r="D67" s="28">
        <f>1.75*2</f>
        <v>3.5</v>
      </c>
      <c r="E67" s="27" t="s">
        <v>227</v>
      </c>
      <c r="F67" s="27">
        <v>130</v>
      </c>
      <c r="G67" s="40">
        <f t="shared" si="1"/>
        <v>38.54</v>
      </c>
      <c r="H67" s="32" t="s">
        <v>16</v>
      </c>
      <c r="I67" s="28">
        <v>1.25</v>
      </c>
      <c r="J67" s="27">
        <f>136*2</f>
        <v>272</v>
      </c>
      <c r="K67" s="39">
        <f t="shared" si="3"/>
        <v>168.61</v>
      </c>
      <c r="L67" s="34" t="s">
        <v>154</v>
      </c>
    </row>
    <row r="68" spans="1:20" ht="39.950000000000003" customHeight="1">
      <c r="A68" s="28">
        <v>1.47</v>
      </c>
      <c r="B68" s="33" t="s">
        <v>240</v>
      </c>
      <c r="C68" s="27" t="s">
        <v>173</v>
      </c>
      <c r="D68" s="28">
        <v>1.75</v>
      </c>
      <c r="E68" s="27" t="s">
        <v>227</v>
      </c>
      <c r="F68" s="27">
        <v>130</v>
      </c>
      <c r="G68" s="40">
        <f t="shared" si="1"/>
        <v>38.54</v>
      </c>
      <c r="H68" s="32" t="s">
        <v>16</v>
      </c>
      <c r="I68" s="28">
        <v>1.25</v>
      </c>
      <c r="J68" s="27">
        <f>136</f>
        <v>136</v>
      </c>
      <c r="K68" s="39">
        <f t="shared" si="3"/>
        <v>84.31</v>
      </c>
      <c r="L68" s="34" t="s">
        <v>154</v>
      </c>
    </row>
    <row r="69" spans="1:20" ht="39.950000000000003" customHeight="1">
      <c r="A69" s="28">
        <v>1.48</v>
      </c>
      <c r="B69" s="33" t="s">
        <v>246</v>
      </c>
      <c r="C69" s="27" t="s">
        <v>173</v>
      </c>
      <c r="D69" s="32">
        <v>2.5</v>
      </c>
      <c r="E69" s="27" t="s">
        <v>227</v>
      </c>
      <c r="F69" s="27">
        <v>130</v>
      </c>
      <c r="G69" s="40">
        <f t="shared" si="1"/>
        <v>38.54</v>
      </c>
      <c r="H69" s="32" t="s">
        <v>16</v>
      </c>
      <c r="I69" s="28">
        <v>1.25</v>
      </c>
      <c r="J69" s="27">
        <v>153</v>
      </c>
      <c r="K69" s="39">
        <f t="shared" ref="K69" si="4">ROUND(D69*G69*I69,2)</f>
        <v>120.44</v>
      </c>
      <c r="L69" s="34" t="s">
        <v>154</v>
      </c>
    </row>
    <row r="70" spans="1:20" ht="39.950000000000003" customHeight="1">
      <c r="A70" s="28">
        <v>1.49</v>
      </c>
      <c r="B70" s="33" t="s">
        <v>281</v>
      </c>
      <c r="C70" s="27" t="s">
        <v>173</v>
      </c>
      <c r="D70" s="35">
        <v>5.0000000000000001E-3</v>
      </c>
      <c r="E70" s="27" t="s">
        <v>227</v>
      </c>
      <c r="F70" s="27">
        <v>130</v>
      </c>
      <c r="G70" s="40">
        <f t="shared" ref="G70" si="5">IF(F70&lt;=200,HLOOKUP(F70,$U$2:$HL$3,2,TRUE),(((F70-200)*0.24)+54.71))</f>
        <v>38.54</v>
      </c>
      <c r="H70" s="32" t="s">
        <v>9</v>
      </c>
      <c r="I70" s="28">
        <v>1</v>
      </c>
      <c r="J70" s="27">
        <v>17</v>
      </c>
      <c r="K70" s="39">
        <f t="shared" ref="K70" si="6">ROUND(D70*G70*I70,2)</f>
        <v>0.19</v>
      </c>
      <c r="L70" s="34" t="s">
        <v>154</v>
      </c>
      <c r="S70" s="19"/>
      <c r="T70" s="19"/>
    </row>
    <row r="71" spans="1:20" ht="39.950000000000003" customHeight="1">
      <c r="A71" s="28">
        <v>1.5</v>
      </c>
      <c r="B71" s="36" t="s">
        <v>311</v>
      </c>
      <c r="C71" s="27" t="s">
        <v>89</v>
      </c>
      <c r="D71" s="35">
        <v>2.5000000000000001E-2</v>
      </c>
      <c r="E71" s="27" t="s">
        <v>227</v>
      </c>
      <c r="F71" s="27">
        <v>130</v>
      </c>
      <c r="G71" s="40">
        <f t="shared" ref="G71" si="7">IF(F71&lt;=200,HLOOKUP(F71,$U$2:$HL$3,2,TRUE),(((F71-200)*0.24)+54.71))</f>
        <v>38.54</v>
      </c>
      <c r="H71" s="32" t="s">
        <v>9</v>
      </c>
      <c r="I71" s="28">
        <v>1</v>
      </c>
      <c r="J71" s="27">
        <v>27</v>
      </c>
      <c r="K71" s="39">
        <f t="shared" ref="K71" si="8">ROUND(D71*G71*I71,2)</f>
        <v>0.96</v>
      </c>
      <c r="L71" s="34" t="s">
        <v>154</v>
      </c>
      <c r="S71" s="20"/>
      <c r="T71" s="20"/>
    </row>
    <row r="72" spans="1:20" ht="39.950000000000003" customHeight="1">
      <c r="A72" s="3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20" ht="39.950000000000003" customHeight="1">
      <c r="A73" s="3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20" ht="39.950000000000003" customHeight="1">
      <c r="A74" s="3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20" ht="39.950000000000003" customHeight="1">
      <c r="A75" s="3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20" ht="39.950000000000003" customHeight="1">
      <c r="A76" s="3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20" ht="39.950000000000003" customHeight="1">
      <c r="A77" s="3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20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241" spans="3:211" ht="19.5" customHeight="1">
      <c r="C241" s="11"/>
      <c r="D241" s="11"/>
      <c r="E241" s="11"/>
      <c r="F241" s="11"/>
      <c r="G241" s="11"/>
      <c r="H241" s="11"/>
      <c r="I241" s="11"/>
      <c r="J241" s="11"/>
      <c r="K241" s="11"/>
      <c r="L241" s="16"/>
      <c r="M241" s="16"/>
      <c r="N241" s="16"/>
      <c r="O241" s="16"/>
      <c r="P241" s="16"/>
      <c r="Q241" s="16"/>
      <c r="R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</row>
    <row r="242" spans="3:211" ht="19.5" customHeight="1">
      <c r="C242" s="11"/>
      <c r="D242" s="11"/>
      <c r="E242" s="11"/>
      <c r="F242" s="11"/>
      <c r="G242" s="11"/>
      <c r="H242" s="11"/>
      <c r="I242" s="11"/>
      <c r="J242" s="11"/>
      <c r="K242" s="11"/>
      <c r="L242" s="16"/>
      <c r="M242" s="16"/>
      <c r="N242" s="16"/>
      <c r="O242" s="16"/>
      <c r="P242" s="16"/>
      <c r="Q242" s="16"/>
      <c r="R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view="pageBreakPreview" zoomScaleNormal="60" zoomScaleSheetLayoutView="100" workbookViewId="0">
      <selection activeCell="G11" sqref="G11:M24"/>
    </sheetView>
  </sheetViews>
  <sheetFormatPr defaultRowHeight="12.75"/>
  <cols>
    <col min="1" max="1" width="5.28515625" style="100" bestFit="1" customWidth="1"/>
    <col min="2" max="2" width="12.7109375" style="100" customWidth="1"/>
    <col min="3" max="3" width="45.5703125" style="100" bestFit="1" customWidth="1"/>
    <col min="4" max="4" width="9.28515625" style="100" customWidth="1"/>
    <col min="5" max="12" width="9.42578125" style="100" customWidth="1"/>
    <col min="13" max="13" width="11.140625" style="105" customWidth="1"/>
    <col min="14" max="16" width="20.7109375" style="47" customWidth="1"/>
    <col min="17" max="16384" width="9.140625" style="47"/>
  </cols>
  <sheetData>
    <row r="1" spans="1:13">
      <c r="A1" s="88"/>
      <c r="B1" s="88" t="s">
        <v>328</v>
      </c>
      <c r="C1" s="88"/>
      <c r="D1" s="88"/>
      <c r="E1" s="88"/>
      <c r="F1" s="88"/>
      <c r="G1" s="88"/>
      <c r="H1" s="88" t="s">
        <v>17</v>
      </c>
      <c r="I1" s="88"/>
      <c r="J1" s="88"/>
      <c r="K1" s="88"/>
      <c r="L1" s="88"/>
      <c r="M1" s="88"/>
    </row>
    <row r="2" spans="1:13">
      <c r="A2" s="88"/>
      <c r="B2" s="88" t="s">
        <v>318</v>
      </c>
      <c r="C2" s="88"/>
      <c r="D2" s="88"/>
      <c r="E2" s="88"/>
      <c r="F2" s="88"/>
      <c r="G2" s="88"/>
      <c r="H2" s="88" t="s">
        <v>18</v>
      </c>
      <c r="I2" s="88"/>
      <c r="J2" s="88"/>
      <c r="K2" s="88"/>
      <c r="L2" s="88"/>
      <c r="M2" s="88"/>
    </row>
    <row r="3" spans="1:13">
      <c r="A3" s="88"/>
      <c r="B3" s="88" t="s">
        <v>316</v>
      </c>
      <c r="C3" s="88"/>
      <c r="D3" s="88"/>
      <c r="E3" s="88"/>
      <c r="F3" s="88"/>
      <c r="G3" s="88"/>
      <c r="H3" s="88" t="s">
        <v>58</v>
      </c>
      <c r="I3" s="88"/>
      <c r="J3" s="88"/>
      <c r="K3" s="89" t="s">
        <v>20</v>
      </c>
      <c r="L3" s="88"/>
      <c r="M3" s="88"/>
    </row>
    <row r="4" spans="1:13">
      <c r="A4" s="88"/>
      <c r="B4" s="88" t="s">
        <v>317</v>
      </c>
      <c r="C4" s="88"/>
      <c r="D4" s="88"/>
      <c r="E4" s="88"/>
      <c r="F4" s="88"/>
      <c r="G4" s="88"/>
      <c r="H4" s="88" t="s">
        <v>19</v>
      </c>
      <c r="I4" s="88"/>
      <c r="J4" s="88"/>
      <c r="K4" s="88"/>
      <c r="L4" s="88"/>
      <c r="M4" s="88"/>
    </row>
    <row r="5" spans="1:1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52" customFormat="1">
      <c r="A6" s="162" t="s">
        <v>309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s="52" customForma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48" customFormat="1" ht="25.5" customHeight="1">
      <c r="A8" s="160" t="s">
        <v>319</v>
      </c>
      <c r="B8" s="161" t="s">
        <v>320</v>
      </c>
      <c r="C8" s="161" t="s">
        <v>321</v>
      </c>
      <c r="D8" s="161" t="s">
        <v>322</v>
      </c>
      <c r="E8" s="160" t="s">
        <v>323</v>
      </c>
      <c r="F8" s="160"/>
      <c r="G8" s="161" t="s">
        <v>324</v>
      </c>
      <c r="H8" s="161"/>
      <c r="I8" s="161" t="s">
        <v>6</v>
      </c>
      <c r="J8" s="161"/>
      <c r="K8" s="160" t="s">
        <v>325</v>
      </c>
      <c r="L8" s="160"/>
      <c r="M8" s="160" t="s">
        <v>4</v>
      </c>
    </row>
    <row r="9" spans="1:13" s="48" customFormat="1">
      <c r="A9" s="160"/>
      <c r="B9" s="161"/>
      <c r="C9" s="161"/>
      <c r="D9" s="161"/>
      <c r="E9" s="59" t="s">
        <v>326</v>
      </c>
      <c r="F9" s="59" t="s">
        <v>249</v>
      </c>
      <c r="G9" s="59" t="s">
        <v>326</v>
      </c>
      <c r="H9" s="59" t="s">
        <v>249</v>
      </c>
      <c r="I9" s="59" t="s">
        <v>326</v>
      </c>
      <c r="J9" s="59" t="s">
        <v>249</v>
      </c>
      <c r="K9" s="59" t="s">
        <v>326</v>
      </c>
      <c r="L9" s="59" t="s">
        <v>249</v>
      </c>
      <c r="M9" s="160"/>
    </row>
    <row r="10" spans="1:13" s="48" customFormat="1">
      <c r="A10" s="59">
        <v>1</v>
      </c>
      <c r="B10" s="59">
        <v>2</v>
      </c>
      <c r="C10" s="58">
        <v>3</v>
      </c>
      <c r="D10" s="59">
        <v>4</v>
      </c>
      <c r="E10" s="59">
        <v>5</v>
      </c>
      <c r="F10" s="59">
        <v>6</v>
      </c>
      <c r="G10" s="59">
        <v>7</v>
      </c>
      <c r="H10" s="53">
        <v>8</v>
      </c>
      <c r="I10" s="59">
        <v>9</v>
      </c>
      <c r="J10" s="53">
        <v>10</v>
      </c>
      <c r="K10" s="59">
        <v>11</v>
      </c>
      <c r="L10" s="53">
        <v>12</v>
      </c>
      <c r="M10" s="53">
        <v>13</v>
      </c>
    </row>
    <row r="11" spans="1:13" s="48" customFormat="1">
      <c r="A11" s="59"/>
      <c r="B11" s="59"/>
      <c r="C11" s="59"/>
      <c r="D11" s="59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48" customFormat="1">
      <c r="A12" s="59"/>
      <c r="B12" s="92"/>
      <c r="C12" s="58" t="s">
        <v>32</v>
      </c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12.75" customHeight="1">
      <c r="A13" s="59"/>
      <c r="B13" s="92"/>
      <c r="C13" s="58"/>
      <c r="D13" s="92"/>
      <c r="E13" s="94"/>
      <c r="F13" s="94"/>
      <c r="G13" s="94"/>
      <c r="H13" s="94"/>
      <c r="I13" s="94"/>
      <c r="J13" s="94"/>
      <c r="K13" s="94"/>
      <c r="L13" s="94"/>
      <c r="M13" s="94"/>
    </row>
    <row r="14" spans="1:13">
      <c r="A14" s="92">
        <v>1.1000000000000001</v>
      </c>
      <c r="B14" s="157" t="s">
        <v>327</v>
      </c>
      <c r="C14" s="95" t="s">
        <v>33</v>
      </c>
      <c r="D14" s="92" t="s">
        <v>34</v>
      </c>
      <c r="E14" s="94"/>
      <c r="F14" s="94">
        <v>0.26</v>
      </c>
      <c r="G14" s="94"/>
      <c r="H14" s="94"/>
      <c r="I14" s="94"/>
      <c r="J14" s="94"/>
      <c r="K14" s="94"/>
      <c r="L14" s="94"/>
      <c r="M14" s="94"/>
    </row>
    <row r="15" spans="1:13" s="50" customFormat="1">
      <c r="A15" s="92"/>
      <c r="B15" s="158"/>
      <c r="C15" s="95"/>
      <c r="D15" s="92"/>
      <c r="E15" s="94"/>
      <c r="F15" s="94"/>
      <c r="G15" s="94"/>
      <c r="H15" s="94"/>
      <c r="I15" s="94"/>
      <c r="J15" s="94"/>
      <c r="K15" s="94"/>
      <c r="L15" s="94"/>
      <c r="M15" s="94"/>
    </row>
    <row r="16" spans="1:13" s="50" customFormat="1">
      <c r="A16" s="92" t="s">
        <v>0</v>
      </c>
      <c r="B16" s="158"/>
      <c r="C16" s="96" t="s">
        <v>15</v>
      </c>
      <c r="D16" s="92" t="s">
        <v>1</v>
      </c>
      <c r="E16" s="94">
        <f>1.1*1.13*(127+67)</f>
        <v>241.14199999999997</v>
      </c>
      <c r="F16" s="94">
        <f>E16*F14</f>
        <v>62.696919999999992</v>
      </c>
      <c r="G16" s="94"/>
      <c r="H16" s="94"/>
      <c r="I16" s="94"/>
      <c r="J16" s="94"/>
      <c r="K16" s="94"/>
      <c r="L16" s="94"/>
      <c r="M16" s="94"/>
    </row>
    <row r="17" spans="1:13" s="50" customFormat="1">
      <c r="A17" s="92"/>
      <c r="B17" s="159"/>
      <c r="C17" s="95"/>
      <c r="D17" s="92"/>
      <c r="E17" s="94"/>
      <c r="F17" s="94"/>
      <c r="G17" s="94"/>
      <c r="H17" s="94"/>
      <c r="I17" s="94"/>
      <c r="J17" s="94"/>
      <c r="K17" s="94"/>
      <c r="L17" s="94"/>
      <c r="M17" s="94"/>
    </row>
    <row r="18" spans="1:13" s="50" customFormat="1">
      <c r="A18" s="59"/>
      <c r="B18" s="97"/>
      <c r="C18" s="59" t="s">
        <v>4</v>
      </c>
      <c r="D18" s="59"/>
      <c r="E18" s="91"/>
      <c r="F18" s="91"/>
      <c r="G18" s="91"/>
      <c r="H18" s="91"/>
      <c r="I18" s="91"/>
      <c r="J18" s="91"/>
      <c r="K18" s="91"/>
      <c r="L18" s="91"/>
      <c r="M18" s="91"/>
    </row>
    <row r="19" spans="1:13" s="50" customFormat="1">
      <c r="A19" s="92"/>
      <c r="B19" s="98"/>
      <c r="C19" s="92"/>
      <c r="D19" s="92"/>
      <c r="E19" s="94"/>
      <c r="F19" s="94"/>
      <c r="G19" s="94"/>
      <c r="H19" s="94"/>
      <c r="I19" s="94"/>
      <c r="J19" s="94"/>
      <c r="K19" s="94"/>
      <c r="L19" s="94"/>
      <c r="M19" s="94"/>
    </row>
    <row r="20" spans="1:13">
      <c r="A20" s="92"/>
      <c r="B20" s="98"/>
      <c r="C20" s="92" t="s">
        <v>10</v>
      </c>
      <c r="D20" s="99">
        <v>0.1</v>
      </c>
      <c r="E20" s="94"/>
      <c r="F20" s="94"/>
      <c r="G20" s="94"/>
      <c r="H20" s="94"/>
      <c r="I20" s="94"/>
      <c r="J20" s="94"/>
      <c r="K20" s="94"/>
      <c r="L20" s="94"/>
      <c r="M20" s="94"/>
    </row>
    <row r="21" spans="1:13">
      <c r="A21" s="92"/>
      <c r="B21" s="98"/>
      <c r="C21" s="92" t="s">
        <v>4</v>
      </c>
      <c r="D21" s="99"/>
      <c r="E21" s="94"/>
      <c r="F21" s="94"/>
      <c r="G21" s="94"/>
      <c r="H21" s="94"/>
      <c r="I21" s="94"/>
      <c r="J21" s="94"/>
      <c r="K21" s="94"/>
      <c r="L21" s="94"/>
      <c r="M21" s="94"/>
    </row>
    <row r="22" spans="1:13">
      <c r="A22" s="92"/>
      <c r="B22" s="98"/>
      <c r="C22" s="92" t="s">
        <v>11</v>
      </c>
      <c r="D22" s="99">
        <v>0.08</v>
      </c>
      <c r="E22" s="94"/>
      <c r="F22" s="94"/>
      <c r="G22" s="94"/>
      <c r="H22" s="94"/>
      <c r="I22" s="94"/>
      <c r="J22" s="94"/>
      <c r="K22" s="94"/>
      <c r="L22" s="94"/>
      <c r="M22" s="94"/>
    </row>
    <row r="23" spans="1:13">
      <c r="A23" s="92"/>
      <c r="B23" s="98"/>
      <c r="C23" s="92"/>
      <c r="D23" s="99"/>
      <c r="E23" s="94"/>
      <c r="F23" s="94"/>
      <c r="G23" s="94"/>
      <c r="H23" s="94"/>
      <c r="I23" s="94"/>
      <c r="J23" s="94"/>
      <c r="K23" s="94"/>
      <c r="L23" s="94"/>
      <c r="M23" s="94"/>
    </row>
    <row r="24" spans="1:13">
      <c r="A24" s="59"/>
      <c r="B24" s="97"/>
      <c r="C24" s="59" t="s">
        <v>4</v>
      </c>
      <c r="D24" s="59"/>
      <c r="E24" s="91"/>
      <c r="F24" s="91"/>
      <c r="G24" s="91"/>
      <c r="H24" s="91"/>
      <c r="I24" s="91"/>
      <c r="J24" s="91"/>
      <c r="K24" s="91"/>
      <c r="L24" s="91"/>
      <c r="M24" s="91"/>
    </row>
    <row r="25" spans="1:13">
      <c r="B25" s="101"/>
      <c r="C25" s="102"/>
      <c r="D25" s="101"/>
      <c r="E25" s="101"/>
      <c r="F25" s="101"/>
      <c r="G25" s="101"/>
      <c r="H25" s="101"/>
      <c r="I25" s="101"/>
      <c r="J25" s="101"/>
      <c r="K25" s="101"/>
      <c r="L25" s="101"/>
      <c r="M25" s="103"/>
    </row>
    <row r="26" spans="1:13"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M26" s="103"/>
    </row>
    <row r="27" spans="1:13"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M27" s="103"/>
    </row>
    <row r="28" spans="1:13">
      <c r="B28" s="101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M28" s="103"/>
    </row>
    <row r="29" spans="1:13">
      <c r="B29" s="101"/>
      <c r="C29" s="102"/>
      <c r="D29" s="101"/>
      <c r="E29" s="101"/>
      <c r="F29" s="101"/>
      <c r="G29" s="101"/>
      <c r="H29" s="101"/>
      <c r="I29" s="101"/>
      <c r="J29" s="101"/>
      <c r="K29" s="101"/>
      <c r="L29" s="101"/>
      <c r="M29" s="103"/>
    </row>
    <row r="30" spans="1:13">
      <c r="B30" s="101"/>
      <c r="C30" s="102"/>
      <c r="D30" s="101"/>
      <c r="E30" s="101"/>
      <c r="F30" s="101"/>
      <c r="G30" s="101"/>
      <c r="H30" s="101"/>
      <c r="I30" s="101"/>
      <c r="J30" s="101"/>
      <c r="K30" s="101"/>
      <c r="L30" s="101"/>
      <c r="M30" s="103"/>
    </row>
    <row r="31" spans="1:13">
      <c r="B31" s="101"/>
      <c r="C31" s="102"/>
      <c r="D31" s="101"/>
      <c r="E31" s="101"/>
      <c r="F31" s="101"/>
      <c r="G31" s="101"/>
      <c r="H31" s="101"/>
      <c r="I31" s="101"/>
      <c r="J31" s="101"/>
      <c r="K31" s="101"/>
      <c r="L31" s="101"/>
      <c r="M31" s="103"/>
    </row>
    <row r="32" spans="1:13">
      <c r="B32" s="101"/>
      <c r="C32" s="102"/>
      <c r="D32" s="101"/>
      <c r="E32" s="101"/>
      <c r="F32" s="101"/>
      <c r="G32" s="101"/>
      <c r="H32" s="101"/>
      <c r="I32" s="101"/>
      <c r="J32" s="101"/>
      <c r="K32" s="101"/>
      <c r="L32" s="101"/>
      <c r="M32" s="103"/>
    </row>
    <row r="33" spans="2:13">
      <c r="B33" s="101"/>
      <c r="C33" s="102"/>
      <c r="D33" s="101"/>
      <c r="E33" s="101"/>
      <c r="F33" s="101"/>
      <c r="G33" s="101"/>
      <c r="H33" s="101"/>
      <c r="I33" s="101"/>
      <c r="J33" s="101"/>
      <c r="K33" s="101"/>
      <c r="L33" s="101"/>
      <c r="M33" s="103"/>
    </row>
    <row r="34" spans="2:13">
      <c r="B34" s="101"/>
      <c r="C34" s="102"/>
      <c r="D34" s="101"/>
      <c r="E34" s="101"/>
      <c r="F34" s="101"/>
      <c r="G34" s="101"/>
      <c r="H34" s="101"/>
      <c r="I34" s="101"/>
      <c r="J34" s="101"/>
      <c r="K34" s="101"/>
      <c r="L34" s="101"/>
      <c r="M34" s="103"/>
    </row>
    <row r="35" spans="2:13">
      <c r="B35" s="101"/>
      <c r="C35" s="102"/>
      <c r="D35" s="101"/>
      <c r="E35" s="101"/>
      <c r="F35" s="101"/>
      <c r="G35" s="101"/>
      <c r="H35" s="101"/>
      <c r="I35" s="101"/>
      <c r="J35" s="101"/>
      <c r="K35" s="101"/>
      <c r="L35" s="101"/>
      <c r="M35" s="103"/>
    </row>
    <row r="36" spans="2:13">
      <c r="B36" s="101"/>
      <c r="C36" s="102"/>
      <c r="D36" s="101"/>
      <c r="E36" s="101"/>
      <c r="F36" s="101"/>
      <c r="G36" s="101"/>
      <c r="H36" s="101"/>
      <c r="I36" s="101"/>
      <c r="J36" s="101"/>
      <c r="K36" s="101"/>
      <c r="L36" s="101"/>
      <c r="M36" s="103"/>
    </row>
    <row r="37" spans="2:13">
      <c r="B37" s="101"/>
      <c r="C37" s="102"/>
      <c r="D37" s="101"/>
      <c r="E37" s="101"/>
      <c r="F37" s="101"/>
      <c r="G37" s="101"/>
      <c r="H37" s="101"/>
      <c r="I37" s="101"/>
      <c r="J37" s="101"/>
      <c r="K37" s="101"/>
      <c r="L37" s="101"/>
      <c r="M37" s="103"/>
    </row>
    <row r="38" spans="2:13">
      <c r="B38" s="101"/>
      <c r="C38" s="102"/>
      <c r="D38" s="101"/>
      <c r="E38" s="101"/>
      <c r="F38" s="101"/>
      <c r="G38" s="101"/>
      <c r="H38" s="101"/>
      <c r="I38" s="101"/>
      <c r="J38" s="101"/>
      <c r="K38" s="101"/>
      <c r="L38" s="101"/>
      <c r="M38" s="103"/>
    </row>
    <row r="39" spans="2:13">
      <c r="B39" s="101"/>
      <c r="C39" s="102"/>
      <c r="D39" s="101"/>
      <c r="E39" s="101"/>
      <c r="F39" s="101"/>
      <c r="G39" s="101"/>
      <c r="H39" s="101"/>
      <c r="I39" s="101"/>
      <c r="J39" s="101"/>
      <c r="K39" s="101"/>
      <c r="L39" s="101"/>
      <c r="M39" s="103"/>
    </row>
    <row r="40" spans="2:13">
      <c r="B40" s="101"/>
      <c r="C40" s="102"/>
      <c r="D40" s="101"/>
      <c r="E40" s="101"/>
      <c r="F40" s="101"/>
      <c r="G40" s="101"/>
      <c r="H40" s="101"/>
      <c r="I40" s="101"/>
      <c r="J40" s="101"/>
      <c r="K40" s="101"/>
      <c r="L40" s="101"/>
      <c r="M40" s="103"/>
    </row>
    <row r="41" spans="2:13">
      <c r="B41" s="101"/>
      <c r="C41" s="102"/>
      <c r="D41" s="101"/>
      <c r="E41" s="101"/>
      <c r="F41" s="101"/>
      <c r="G41" s="101"/>
      <c r="H41" s="101"/>
      <c r="I41" s="101"/>
      <c r="J41" s="101"/>
      <c r="K41" s="101"/>
      <c r="L41" s="101"/>
      <c r="M41" s="103"/>
    </row>
    <row r="42" spans="2:13">
      <c r="B42" s="101"/>
      <c r="C42" s="102"/>
      <c r="D42" s="101"/>
      <c r="E42" s="101"/>
      <c r="F42" s="101"/>
      <c r="G42" s="101"/>
      <c r="H42" s="101"/>
      <c r="I42" s="101"/>
      <c r="J42" s="101"/>
      <c r="K42" s="101"/>
      <c r="L42" s="101"/>
      <c r="M42" s="103"/>
    </row>
    <row r="43" spans="2:13">
      <c r="B43" s="101"/>
      <c r="C43" s="102"/>
      <c r="D43" s="101"/>
      <c r="E43" s="101"/>
      <c r="F43" s="101"/>
      <c r="G43" s="101"/>
      <c r="H43" s="101"/>
      <c r="I43" s="101"/>
      <c r="J43" s="101"/>
      <c r="K43" s="101"/>
      <c r="L43" s="101"/>
      <c r="M43" s="103"/>
    </row>
    <row r="44" spans="2:13">
      <c r="B44" s="101"/>
      <c r="C44" s="102"/>
      <c r="D44" s="101"/>
      <c r="E44" s="101"/>
      <c r="F44" s="101"/>
      <c r="G44" s="101"/>
      <c r="H44" s="101"/>
      <c r="I44" s="101"/>
      <c r="J44" s="101"/>
      <c r="K44" s="101"/>
      <c r="L44" s="101"/>
      <c r="M44" s="103"/>
    </row>
    <row r="45" spans="2:13">
      <c r="B45" s="101"/>
      <c r="C45" s="102"/>
      <c r="D45" s="101"/>
      <c r="E45" s="101"/>
      <c r="F45" s="101"/>
      <c r="G45" s="101"/>
      <c r="H45" s="101"/>
      <c r="I45" s="101"/>
      <c r="J45" s="101"/>
      <c r="K45" s="101"/>
      <c r="L45" s="101"/>
      <c r="M45" s="103"/>
    </row>
    <row r="46" spans="2:13">
      <c r="B46" s="101"/>
      <c r="C46" s="102"/>
      <c r="D46" s="101"/>
      <c r="E46" s="101"/>
      <c r="F46" s="101"/>
      <c r="G46" s="101"/>
      <c r="H46" s="101"/>
      <c r="I46" s="101"/>
      <c r="J46" s="101"/>
      <c r="K46" s="101"/>
      <c r="L46" s="101"/>
      <c r="M46" s="103"/>
    </row>
    <row r="47" spans="2:13">
      <c r="B47" s="101"/>
      <c r="C47" s="102"/>
      <c r="D47" s="101"/>
      <c r="E47" s="101"/>
      <c r="F47" s="101"/>
      <c r="G47" s="101"/>
      <c r="H47" s="101"/>
      <c r="I47" s="101"/>
      <c r="J47" s="101"/>
      <c r="K47" s="101"/>
      <c r="L47" s="101"/>
      <c r="M47" s="103"/>
    </row>
    <row r="48" spans="2:13">
      <c r="B48" s="101"/>
      <c r="C48" s="102"/>
      <c r="D48" s="101"/>
      <c r="E48" s="101"/>
      <c r="F48" s="101"/>
      <c r="G48" s="101"/>
      <c r="H48" s="101"/>
      <c r="I48" s="101"/>
      <c r="J48" s="101"/>
      <c r="K48" s="101"/>
      <c r="L48" s="101"/>
      <c r="M48" s="103"/>
    </row>
    <row r="49" spans="2:13">
      <c r="B49" s="101"/>
      <c r="C49" s="102"/>
      <c r="D49" s="101"/>
      <c r="E49" s="101"/>
      <c r="F49" s="101"/>
      <c r="G49" s="101"/>
      <c r="H49" s="101"/>
      <c r="I49" s="101"/>
      <c r="J49" s="101"/>
      <c r="K49" s="101"/>
      <c r="L49" s="101"/>
      <c r="M49" s="103"/>
    </row>
    <row r="50" spans="2:13">
      <c r="B50" s="101"/>
      <c r="C50" s="102"/>
      <c r="D50" s="101"/>
      <c r="E50" s="101"/>
      <c r="F50" s="101"/>
      <c r="G50" s="101"/>
      <c r="H50" s="101"/>
      <c r="I50" s="101"/>
      <c r="J50" s="101"/>
      <c r="K50" s="101"/>
      <c r="L50" s="101"/>
      <c r="M50" s="103"/>
    </row>
    <row r="51" spans="2:13">
      <c r="B51" s="101"/>
      <c r="C51" s="102"/>
      <c r="D51" s="101"/>
      <c r="E51" s="101"/>
      <c r="F51" s="101"/>
      <c r="G51" s="101"/>
      <c r="H51" s="101"/>
      <c r="I51" s="101"/>
      <c r="J51" s="101"/>
      <c r="K51" s="101"/>
      <c r="L51" s="101"/>
      <c r="M51" s="103"/>
    </row>
    <row r="52" spans="2:13">
      <c r="B52" s="101"/>
      <c r="C52" s="102"/>
      <c r="D52" s="101"/>
      <c r="E52" s="101"/>
      <c r="F52" s="101"/>
      <c r="G52" s="101"/>
      <c r="H52" s="101"/>
      <c r="I52" s="101"/>
      <c r="J52" s="101"/>
      <c r="K52" s="101"/>
      <c r="L52" s="101"/>
      <c r="M52" s="103"/>
    </row>
    <row r="53" spans="2:13">
      <c r="B53" s="101"/>
      <c r="C53" s="102"/>
      <c r="D53" s="101"/>
      <c r="E53" s="101"/>
      <c r="F53" s="101"/>
      <c r="G53" s="101"/>
      <c r="H53" s="101"/>
      <c r="I53" s="101"/>
      <c r="J53" s="101"/>
      <c r="K53" s="101"/>
      <c r="L53" s="101"/>
      <c r="M53" s="103"/>
    </row>
    <row r="54" spans="2:13">
      <c r="B54" s="101"/>
      <c r="C54" s="102"/>
      <c r="D54" s="101"/>
      <c r="E54" s="101"/>
      <c r="F54" s="101"/>
      <c r="G54" s="101"/>
      <c r="H54" s="101"/>
      <c r="I54" s="101"/>
      <c r="J54" s="101"/>
      <c r="K54" s="101"/>
      <c r="L54" s="101"/>
      <c r="M54" s="103"/>
    </row>
    <row r="55" spans="2:13">
      <c r="B55" s="101"/>
      <c r="C55" s="102"/>
      <c r="D55" s="101"/>
      <c r="E55" s="101"/>
      <c r="F55" s="101"/>
      <c r="G55" s="101"/>
      <c r="H55" s="101"/>
      <c r="I55" s="101"/>
      <c r="J55" s="101"/>
      <c r="K55" s="101"/>
      <c r="L55" s="101"/>
      <c r="M55" s="103"/>
    </row>
    <row r="56" spans="2:13">
      <c r="B56" s="101"/>
      <c r="C56" s="102"/>
      <c r="D56" s="101"/>
      <c r="E56" s="101"/>
      <c r="F56" s="101"/>
      <c r="G56" s="101"/>
      <c r="H56" s="101"/>
      <c r="I56" s="101"/>
      <c r="J56" s="101"/>
      <c r="K56" s="101"/>
      <c r="L56" s="101"/>
      <c r="M56" s="103"/>
    </row>
    <row r="57" spans="2:13">
      <c r="B57" s="101"/>
      <c r="C57" s="102"/>
      <c r="D57" s="101"/>
      <c r="E57" s="101"/>
      <c r="F57" s="101"/>
      <c r="G57" s="101"/>
      <c r="H57" s="101"/>
      <c r="I57" s="101"/>
      <c r="J57" s="101"/>
      <c r="K57" s="101"/>
      <c r="L57" s="101"/>
      <c r="M57" s="103"/>
    </row>
    <row r="58" spans="2:13">
      <c r="B58" s="101"/>
      <c r="C58" s="102"/>
      <c r="D58" s="101"/>
      <c r="E58" s="101"/>
      <c r="F58" s="101"/>
      <c r="G58" s="101"/>
      <c r="H58" s="101"/>
      <c r="I58" s="101"/>
      <c r="J58" s="101"/>
      <c r="K58" s="101"/>
      <c r="L58" s="101"/>
      <c r="M58" s="103"/>
    </row>
    <row r="59" spans="2:13">
      <c r="B59" s="101"/>
      <c r="C59" s="102"/>
      <c r="D59" s="101"/>
      <c r="E59" s="101"/>
      <c r="F59" s="101"/>
      <c r="G59" s="101"/>
      <c r="H59" s="101"/>
      <c r="I59" s="101"/>
      <c r="J59" s="101"/>
      <c r="K59" s="101"/>
      <c r="L59" s="101"/>
      <c r="M59" s="103"/>
    </row>
    <row r="60" spans="2:13">
      <c r="B60" s="101"/>
      <c r="C60" s="102"/>
      <c r="D60" s="101"/>
      <c r="E60" s="101"/>
      <c r="F60" s="101"/>
      <c r="G60" s="101"/>
      <c r="H60" s="101"/>
      <c r="I60" s="101"/>
      <c r="J60" s="101"/>
      <c r="K60" s="101"/>
      <c r="L60" s="101"/>
      <c r="M60" s="103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4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4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4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4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4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4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4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4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4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4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4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4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4"/>
    </row>
  </sheetData>
  <mergeCells count="11">
    <mergeCell ref="B14:B17"/>
    <mergeCell ref="E8:F8"/>
    <mergeCell ref="G8:H8"/>
    <mergeCell ref="I8:J8"/>
    <mergeCell ref="A6:M6"/>
    <mergeCell ref="A8:A9"/>
    <mergeCell ref="B8:B9"/>
    <mergeCell ref="C8:C9"/>
    <mergeCell ref="D8:D9"/>
    <mergeCell ref="M8:M9"/>
    <mergeCell ref="K8:L8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view="pageBreakPreview" zoomScaleNormal="60" zoomScaleSheetLayoutView="100" workbookViewId="0">
      <selection activeCell="I16" sqref="I16"/>
    </sheetView>
  </sheetViews>
  <sheetFormatPr defaultRowHeight="14.25"/>
  <cols>
    <col min="1" max="1" width="7.5703125" style="116" customWidth="1"/>
    <col min="2" max="2" width="12.85546875" style="116" customWidth="1"/>
    <col min="3" max="3" width="51.5703125" style="116" customWidth="1"/>
    <col min="4" max="4" width="9.42578125" style="116" customWidth="1"/>
    <col min="5" max="12" width="10.5703125" style="116" customWidth="1"/>
    <col min="13" max="13" width="11.85546875" style="121" customWidth="1"/>
    <col min="14" max="16384" width="9.140625" style="44"/>
  </cols>
  <sheetData>
    <row r="1" spans="1:13" s="56" customFormat="1" ht="20.25">
      <c r="A1" s="163" t="s">
        <v>309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56" customFormat="1" ht="2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45" customFormat="1" ht="27" customHeight="1">
      <c r="A3" s="160" t="s">
        <v>319</v>
      </c>
      <c r="B3" s="161" t="s">
        <v>320</v>
      </c>
      <c r="C3" s="161" t="s">
        <v>321</v>
      </c>
      <c r="D3" s="161" t="s">
        <v>322</v>
      </c>
      <c r="E3" s="160" t="s">
        <v>323</v>
      </c>
      <c r="F3" s="160"/>
      <c r="G3" s="161" t="s">
        <v>324</v>
      </c>
      <c r="H3" s="161"/>
      <c r="I3" s="161" t="s">
        <v>6</v>
      </c>
      <c r="J3" s="161"/>
      <c r="K3" s="160" t="s">
        <v>325</v>
      </c>
      <c r="L3" s="160"/>
      <c r="M3" s="160" t="s">
        <v>4</v>
      </c>
    </row>
    <row r="4" spans="1:13" s="45" customFormat="1" ht="18" customHeight="1">
      <c r="A4" s="160"/>
      <c r="B4" s="161"/>
      <c r="C4" s="161"/>
      <c r="D4" s="161"/>
      <c r="E4" s="59" t="s">
        <v>326</v>
      </c>
      <c r="F4" s="59" t="s">
        <v>249</v>
      </c>
      <c r="G4" s="59" t="s">
        <v>326</v>
      </c>
      <c r="H4" s="59" t="s">
        <v>249</v>
      </c>
      <c r="I4" s="59" t="s">
        <v>326</v>
      </c>
      <c r="J4" s="59" t="s">
        <v>249</v>
      </c>
      <c r="K4" s="59" t="s">
        <v>326</v>
      </c>
      <c r="L4" s="59" t="s">
        <v>249</v>
      </c>
      <c r="M4" s="160"/>
    </row>
    <row r="5" spans="1:13" s="45" customFormat="1">
      <c r="A5" s="59">
        <v>1</v>
      </c>
      <c r="B5" s="59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3">
        <v>8</v>
      </c>
      <c r="I5" s="59">
        <v>9</v>
      </c>
      <c r="J5" s="53">
        <v>10</v>
      </c>
      <c r="K5" s="59">
        <v>11</v>
      </c>
      <c r="L5" s="53">
        <v>12</v>
      </c>
      <c r="M5" s="53">
        <v>13</v>
      </c>
    </row>
    <row r="6" spans="1:13" s="45" customFormat="1">
      <c r="A6" s="59"/>
      <c r="B6" s="59"/>
      <c r="C6" s="58"/>
      <c r="D6" s="59"/>
      <c r="E6" s="59"/>
      <c r="F6" s="59"/>
      <c r="G6" s="59"/>
      <c r="H6" s="53"/>
      <c r="I6" s="59"/>
      <c r="J6" s="53"/>
      <c r="K6" s="59"/>
      <c r="L6" s="53"/>
      <c r="M6" s="53"/>
    </row>
    <row r="7" spans="1:13" s="45" customFormat="1">
      <c r="A7" s="59"/>
      <c r="B7" s="92"/>
      <c r="C7" s="58" t="s">
        <v>57</v>
      </c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>
      <c r="A8" s="59"/>
      <c r="B8" s="92"/>
      <c r="C8" s="58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ht="25.5">
      <c r="A9" s="92">
        <v>1.1000000000000001</v>
      </c>
      <c r="B9" s="98" t="s">
        <v>81</v>
      </c>
      <c r="C9" s="107" t="s">
        <v>80</v>
      </c>
      <c r="D9" s="92" t="s">
        <v>329</v>
      </c>
      <c r="E9" s="94"/>
      <c r="F9" s="94">
        <v>368</v>
      </c>
      <c r="G9" s="94"/>
      <c r="H9" s="94"/>
      <c r="I9" s="94"/>
      <c r="J9" s="94"/>
      <c r="K9" s="94"/>
      <c r="L9" s="94"/>
      <c r="M9" s="94"/>
    </row>
    <row r="10" spans="1:13">
      <c r="A10" s="92"/>
      <c r="B10" s="98"/>
      <c r="C10" s="107"/>
      <c r="D10" s="92" t="s">
        <v>330</v>
      </c>
      <c r="E10" s="94"/>
      <c r="F10" s="108">
        <f>F9/1000</f>
        <v>0.36799999999999999</v>
      </c>
      <c r="G10" s="94"/>
      <c r="H10" s="94"/>
      <c r="I10" s="94"/>
      <c r="J10" s="94"/>
      <c r="K10" s="94"/>
      <c r="L10" s="94"/>
      <c r="M10" s="94"/>
    </row>
    <row r="11" spans="1:13">
      <c r="A11" s="92" t="s">
        <v>0</v>
      </c>
      <c r="B11" s="98"/>
      <c r="C11" s="107" t="s">
        <v>15</v>
      </c>
      <c r="D11" s="92" t="s">
        <v>1</v>
      </c>
      <c r="E11" s="94">
        <v>20</v>
      </c>
      <c r="F11" s="94">
        <f>E11*F10</f>
        <v>7.3599999999999994</v>
      </c>
      <c r="G11" s="94"/>
      <c r="H11" s="94"/>
      <c r="I11" s="94"/>
      <c r="J11" s="94"/>
      <c r="K11" s="94"/>
      <c r="L11" s="94"/>
      <c r="M11" s="94"/>
    </row>
    <row r="12" spans="1:13">
      <c r="A12" s="92" t="s">
        <v>189</v>
      </c>
      <c r="B12" s="98" t="s">
        <v>331</v>
      </c>
      <c r="C12" s="109" t="s">
        <v>332</v>
      </c>
      <c r="D12" s="92" t="s">
        <v>24</v>
      </c>
      <c r="E12" s="94">
        <v>44.8</v>
      </c>
      <c r="F12" s="94">
        <f>E12*F10</f>
        <v>16.4864</v>
      </c>
      <c r="G12" s="94"/>
      <c r="H12" s="94"/>
      <c r="I12" s="94"/>
      <c r="J12" s="94"/>
      <c r="K12" s="94"/>
      <c r="L12" s="94"/>
      <c r="M12" s="94"/>
    </row>
    <row r="13" spans="1:13">
      <c r="A13" s="92" t="s">
        <v>190</v>
      </c>
      <c r="B13" s="98"/>
      <c r="C13" s="107" t="s">
        <v>13</v>
      </c>
      <c r="D13" s="92" t="s">
        <v>25</v>
      </c>
      <c r="E13" s="94">
        <v>2.1</v>
      </c>
      <c r="F13" s="94">
        <f>E13*F10</f>
        <v>0.77280000000000004</v>
      </c>
      <c r="G13" s="94"/>
      <c r="H13" s="94"/>
      <c r="I13" s="94"/>
      <c r="J13" s="94"/>
      <c r="K13" s="94"/>
      <c r="L13" s="94"/>
      <c r="M13" s="94"/>
    </row>
    <row r="14" spans="1:13">
      <c r="A14" s="92" t="s">
        <v>191</v>
      </c>
      <c r="B14" s="98" t="s">
        <v>333</v>
      </c>
      <c r="C14" s="109" t="s">
        <v>334</v>
      </c>
      <c r="D14" s="92" t="s">
        <v>329</v>
      </c>
      <c r="E14" s="94">
        <v>0.05</v>
      </c>
      <c r="F14" s="94">
        <f>E14*F10</f>
        <v>1.84E-2</v>
      </c>
      <c r="G14" s="94"/>
      <c r="H14" s="94"/>
      <c r="I14" s="94"/>
      <c r="J14" s="94"/>
      <c r="K14" s="94"/>
      <c r="L14" s="94"/>
      <c r="M14" s="94"/>
    </row>
    <row r="15" spans="1:13">
      <c r="A15" s="92"/>
      <c r="B15" s="98"/>
      <c r="C15" s="107"/>
      <c r="D15" s="92"/>
      <c r="E15" s="94"/>
      <c r="F15" s="94"/>
      <c r="G15" s="94"/>
      <c r="H15" s="94"/>
      <c r="I15" s="94"/>
      <c r="J15" s="94"/>
      <c r="K15" s="94"/>
      <c r="L15" s="94"/>
      <c r="M15" s="94"/>
    </row>
    <row r="16" spans="1:13">
      <c r="A16" s="92">
        <v>1.2</v>
      </c>
      <c r="B16" s="98" t="s">
        <v>335</v>
      </c>
      <c r="C16" s="107" t="s">
        <v>31</v>
      </c>
      <c r="D16" s="92" t="s">
        <v>23</v>
      </c>
      <c r="E16" s="94"/>
      <c r="F16" s="94">
        <f>F10*1000*1.95</f>
        <v>717.6</v>
      </c>
      <c r="G16" s="94"/>
      <c r="H16" s="94"/>
      <c r="I16" s="94"/>
      <c r="J16" s="94"/>
      <c r="K16" s="94"/>
      <c r="L16" s="94"/>
      <c r="M16" s="94"/>
    </row>
    <row r="17" spans="1:13">
      <c r="A17" s="92"/>
      <c r="B17" s="98"/>
      <c r="C17" s="107"/>
      <c r="D17" s="92"/>
      <c r="E17" s="94"/>
      <c r="F17" s="94"/>
      <c r="G17" s="94"/>
      <c r="H17" s="94"/>
      <c r="I17" s="94"/>
      <c r="J17" s="94"/>
      <c r="K17" s="94"/>
      <c r="L17" s="94"/>
      <c r="M17" s="94"/>
    </row>
    <row r="18" spans="1:13">
      <c r="A18" s="92">
        <v>1.3</v>
      </c>
      <c r="B18" s="98" t="s">
        <v>83</v>
      </c>
      <c r="C18" s="107" t="s">
        <v>82</v>
      </c>
      <c r="D18" s="92" t="s">
        <v>329</v>
      </c>
      <c r="E18" s="94"/>
      <c r="F18" s="94">
        <f>F9</f>
        <v>368</v>
      </c>
      <c r="G18" s="94"/>
      <c r="H18" s="94"/>
      <c r="I18" s="94"/>
      <c r="J18" s="94"/>
      <c r="K18" s="94"/>
      <c r="L18" s="94"/>
      <c r="M18" s="94"/>
    </row>
    <row r="19" spans="1:13">
      <c r="A19" s="92"/>
      <c r="B19" s="98"/>
      <c r="C19" s="107"/>
      <c r="D19" s="92" t="s">
        <v>330</v>
      </c>
      <c r="E19" s="94"/>
      <c r="F19" s="108">
        <f>F18/1000</f>
        <v>0.36799999999999999</v>
      </c>
      <c r="G19" s="94"/>
      <c r="H19" s="94"/>
      <c r="I19" s="94"/>
      <c r="J19" s="94"/>
      <c r="K19" s="94"/>
      <c r="L19" s="94"/>
      <c r="M19" s="94"/>
    </row>
    <row r="20" spans="1:13">
      <c r="A20" s="92" t="s">
        <v>30</v>
      </c>
      <c r="B20" s="98"/>
      <c r="C20" s="107" t="s">
        <v>15</v>
      </c>
      <c r="D20" s="92" t="s">
        <v>1</v>
      </c>
      <c r="E20" s="94">
        <v>3.23</v>
      </c>
      <c r="F20" s="94">
        <f>E20*F19</f>
        <v>1.1886399999999999</v>
      </c>
      <c r="G20" s="94"/>
      <c r="H20" s="94"/>
      <c r="I20" s="94"/>
      <c r="J20" s="94"/>
      <c r="K20" s="94"/>
      <c r="L20" s="94"/>
      <c r="M20" s="94"/>
    </row>
    <row r="21" spans="1:13">
      <c r="A21" s="92" t="s">
        <v>45</v>
      </c>
      <c r="B21" s="98" t="s">
        <v>336</v>
      </c>
      <c r="C21" s="107" t="s">
        <v>84</v>
      </c>
      <c r="D21" s="92" t="s">
        <v>24</v>
      </c>
      <c r="E21" s="94">
        <v>3.62</v>
      </c>
      <c r="F21" s="94">
        <f>E21*F19</f>
        <v>1.33216</v>
      </c>
      <c r="G21" s="94"/>
      <c r="H21" s="94"/>
      <c r="I21" s="94"/>
      <c r="J21" s="94"/>
      <c r="K21" s="94"/>
      <c r="L21" s="94"/>
      <c r="M21" s="94"/>
    </row>
    <row r="22" spans="1:13" s="46" customFormat="1">
      <c r="A22" s="92" t="s">
        <v>46</v>
      </c>
      <c r="B22" s="98"/>
      <c r="C22" s="107" t="s">
        <v>13</v>
      </c>
      <c r="D22" s="92" t="s">
        <v>25</v>
      </c>
      <c r="E22" s="94">
        <v>0.18</v>
      </c>
      <c r="F22" s="94">
        <f>E22*F19</f>
        <v>6.6239999999999993E-2</v>
      </c>
      <c r="G22" s="94"/>
      <c r="H22" s="94"/>
      <c r="I22" s="94"/>
      <c r="J22" s="94"/>
      <c r="K22" s="94"/>
      <c r="L22" s="94"/>
      <c r="M22" s="94"/>
    </row>
    <row r="23" spans="1:13" s="46" customFormat="1">
      <c r="A23" s="92" t="s">
        <v>47</v>
      </c>
      <c r="B23" s="98" t="s">
        <v>333</v>
      </c>
      <c r="C23" s="109" t="s">
        <v>334</v>
      </c>
      <c r="D23" s="92" t="s">
        <v>329</v>
      </c>
      <c r="E23" s="94">
        <v>0.04</v>
      </c>
      <c r="F23" s="94">
        <f>E23*F19</f>
        <v>1.472E-2</v>
      </c>
      <c r="G23" s="94"/>
      <c r="H23" s="94"/>
      <c r="I23" s="94"/>
      <c r="J23" s="94"/>
      <c r="K23" s="94"/>
      <c r="L23" s="94"/>
      <c r="M23" s="94"/>
    </row>
    <row r="24" spans="1:13" s="46" customFormat="1">
      <c r="A24" s="92"/>
      <c r="B24" s="98"/>
      <c r="C24" s="107"/>
      <c r="D24" s="92"/>
      <c r="E24" s="94"/>
      <c r="F24" s="94"/>
      <c r="G24" s="94"/>
      <c r="H24" s="94"/>
      <c r="I24" s="94"/>
      <c r="J24" s="94"/>
      <c r="K24" s="94"/>
      <c r="L24" s="94"/>
      <c r="M24" s="94"/>
    </row>
    <row r="25" spans="1:13" s="46" customFormat="1">
      <c r="A25" s="110">
        <v>1.4</v>
      </c>
      <c r="B25" s="98" t="s">
        <v>110</v>
      </c>
      <c r="C25" s="107" t="s">
        <v>112</v>
      </c>
      <c r="D25" s="92" t="s">
        <v>337</v>
      </c>
      <c r="E25" s="94"/>
      <c r="F25" s="94">
        <v>1350</v>
      </c>
      <c r="G25" s="94"/>
      <c r="H25" s="94"/>
      <c r="I25" s="94"/>
      <c r="J25" s="94"/>
      <c r="K25" s="94"/>
      <c r="L25" s="94"/>
      <c r="M25" s="94"/>
    </row>
    <row r="26" spans="1:13" s="46" customFormat="1">
      <c r="A26" s="110"/>
      <c r="B26" s="98"/>
      <c r="C26" s="107"/>
      <c r="D26" s="92" t="s">
        <v>338</v>
      </c>
      <c r="E26" s="94"/>
      <c r="F26" s="108">
        <f>F25/10000</f>
        <v>0.13500000000000001</v>
      </c>
      <c r="G26" s="94"/>
      <c r="H26" s="94"/>
      <c r="I26" s="94"/>
      <c r="J26" s="94"/>
      <c r="K26" s="94"/>
      <c r="L26" s="94"/>
      <c r="M26" s="94"/>
    </row>
    <row r="27" spans="1:13">
      <c r="A27" s="92" t="s">
        <v>22</v>
      </c>
      <c r="B27" s="98"/>
      <c r="C27" s="107" t="s">
        <v>15</v>
      </c>
      <c r="D27" s="92" t="s">
        <v>1</v>
      </c>
      <c r="E27" s="94">
        <v>0.31</v>
      </c>
      <c r="F27" s="94">
        <f>E27*F26</f>
        <v>4.1850000000000005E-2</v>
      </c>
      <c r="G27" s="94"/>
      <c r="H27" s="94"/>
      <c r="I27" s="94"/>
      <c r="J27" s="94"/>
      <c r="K27" s="94"/>
      <c r="L27" s="94"/>
      <c r="M27" s="94"/>
    </row>
    <row r="28" spans="1:13">
      <c r="A28" s="92" t="s">
        <v>216</v>
      </c>
      <c r="B28" s="98" t="s">
        <v>339</v>
      </c>
      <c r="C28" s="107" t="s">
        <v>111</v>
      </c>
      <c r="D28" s="92" t="s">
        <v>24</v>
      </c>
      <c r="E28" s="94">
        <v>1.1200000000000001</v>
      </c>
      <c r="F28" s="94">
        <f>E28*F26</f>
        <v>0.15120000000000003</v>
      </c>
      <c r="G28" s="94"/>
      <c r="H28" s="94"/>
      <c r="I28" s="94"/>
      <c r="J28" s="94"/>
      <c r="K28" s="94"/>
      <c r="L28" s="94"/>
      <c r="M28" s="94"/>
    </row>
    <row r="29" spans="1:13">
      <c r="A29" s="92"/>
      <c r="B29" s="98"/>
      <c r="C29" s="107"/>
      <c r="D29" s="92"/>
      <c r="E29" s="94"/>
      <c r="F29" s="94"/>
      <c r="G29" s="94"/>
      <c r="H29" s="94"/>
      <c r="I29" s="94"/>
      <c r="J29" s="94"/>
      <c r="K29" s="94"/>
      <c r="L29" s="94"/>
      <c r="M29" s="94"/>
    </row>
    <row r="30" spans="1:13">
      <c r="A30" s="59"/>
      <c r="B30" s="97"/>
      <c r="C30" s="59" t="s">
        <v>4</v>
      </c>
      <c r="D30" s="59"/>
      <c r="E30" s="91"/>
      <c r="F30" s="91"/>
      <c r="G30" s="91"/>
      <c r="H30" s="91"/>
      <c r="I30" s="91"/>
      <c r="J30" s="91"/>
      <c r="K30" s="91"/>
      <c r="L30" s="91"/>
      <c r="M30" s="91"/>
    </row>
    <row r="31" spans="1:13">
      <c r="A31" s="92"/>
      <c r="B31" s="98"/>
      <c r="C31" s="92"/>
      <c r="D31" s="92"/>
      <c r="E31" s="94"/>
      <c r="F31" s="94"/>
      <c r="G31" s="94"/>
      <c r="H31" s="94"/>
      <c r="I31" s="94"/>
      <c r="J31" s="94"/>
      <c r="K31" s="94"/>
      <c r="L31" s="94"/>
      <c r="M31" s="94"/>
    </row>
    <row r="32" spans="1:13">
      <c r="A32" s="92"/>
      <c r="B32" s="98"/>
      <c r="C32" s="92" t="s">
        <v>10</v>
      </c>
      <c r="D32" s="99">
        <v>0.1</v>
      </c>
      <c r="E32" s="94"/>
      <c r="F32" s="94"/>
      <c r="G32" s="94"/>
      <c r="H32" s="94"/>
      <c r="I32" s="94"/>
      <c r="J32" s="94"/>
      <c r="K32" s="94"/>
      <c r="L32" s="94"/>
      <c r="M32" s="94"/>
    </row>
    <row r="33" spans="1:13">
      <c r="A33" s="92"/>
      <c r="B33" s="98"/>
      <c r="C33" s="92" t="s">
        <v>4</v>
      </c>
      <c r="D33" s="99"/>
      <c r="E33" s="94"/>
      <c r="F33" s="94"/>
      <c r="G33" s="94"/>
      <c r="H33" s="94"/>
      <c r="I33" s="94"/>
      <c r="J33" s="94"/>
      <c r="K33" s="94"/>
      <c r="L33" s="94"/>
      <c r="M33" s="94"/>
    </row>
    <row r="34" spans="1:13">
      <c r="A34" s="92"/>
      <c r="B34" s="98"/>
      <c r="C34" s="92" t="s">
        <v>11</v>
      </c>
      <c r="D34" s="99">
        <v>0.08</v>
      </c>
      <c r="E34" s="94"/>
      <c r="F34" s="94"/>
      <c r="G34" s="94"/>
      <c r="H34" s="94"/>
      <c r="I34" s="94"/>
      <c r="J34" s="94"/>
      <c r="K34" s="94"/>
      <c r="L34" s="94"/>
      <c r="M34" s="94"/>
    </row>
    <row r="35" spans="1:13">
      <c r="A35" s="92"/>
      <c r="B35" s="98"/>
      <c r="C35" s="92"/>
      <c r="D35" s="99"/>
      <c r="E35" s="94"/>
      <c r="F35" s="94"/>
      <c r="G35" s="94"/>
      <c r="H35" s="94"/>
      <c r="I35" s="94"/>
      <c r="J35" s="94"/>
      <c r="K35" s="94"/>
      <c r="L35" s="94"/>
      <c r="M35" s="94"/>
    </row>
    <row r="36" spans="1:13">
      <c r="A36" s="59"/>
      <c r="B36" s="98"/>
      <c r="C36" s="59" t="s">
        <v>4</v>
      </c>
      <c r="D36" s="59"/>
      <c r="E36" s="91"/>
      <c r="F36" s="91"/>
      <c r="G36" s="91"/>
      <c r="H36" s="91"/>
      <c r="I36" s="91"/>
      <c r="J36" s="91"/>
      <c r="K36" s="91"/>
      <c r="L36" s="91"/>
      <c r="M36" s="91"/>
    </row>
    <row r="37" spans="1:13">
      <c r="A37" s="111"/>
      <c r="B37" s="101"/>
      <c r="C37" s="102"/>
      <c r="D37" s="101"/>
      <c r="E37" s="101"/>
      <c r="F37" s="101"/>
      <c r="G37" s="101"/>
      <c r="H37" s="101"/>
      <c r="I37" s="101"/>
      <c r="J37" s="101"/>
      <c r="K37" s="101"/>
      <c r="L37" s="101"/>
      <c r="M37" s="103"/>
    </row>
    <row r="38" spans="1:13">
      <c r="A38" s="111"/>
      <c r="B38" s="101"/>
      <c r="C38" s="102"/>
      <c r="D38" s="101"/>
      <c r="E38" s="101"/>
      <c r="F38" s="101"/>
      <c r="G38" s="101"/>
      <c r="H38" s="101"/>
      <c r="I38" s="101"/>
      <c r="J38" s="101"/>
      <c r="K38" s="101"/>
      <c r="L38" s="101"/>
      <c r="M38" s="103"/>
    </row>
    <row r="39" spans="1:13">
      <c r="A39" s="111"/>
      <c r="B39" s="101"/>
      <c r="C39" s="102"/>
      <c r="D39" s="101"/>
      <c r="E39" s="101"/>
      <c r="F39" s="101"/>
      <c r="G39" s="101"/>
      <c r="H39" s="101"/>
      <c r="I39" s="101"/>
      <c r="J39" s="101"/>
      <c r="K39" s="101"/>
      <c r="L39" s="101"/>
      <c r="M39" s="103"/>
    </row>
    <row r="40" spans="1:13" ht="18">
      <c r="A40" s="112"/>
      <c r="B40" s="113"/>
      <c r="C40" s="114"/>
      <c r="D40" s="113"/>
      <c r="E40" s="113"/>
      <c r="F40" s="113"/>
      <c r="G40" s="113"/>
      <c r="H40" s="113"/>
      <c r="I40" s="113"/>
      <c r="J40" s="113"/>
      <c r="K40" s="113"/>
      <c r="L40" s="113"/>
      <c r="M40" s="115"/>
    </row>
    <row r="41" spans="1:13" ht="18">
      <c r="A41" s="112"/>
      <c r="B41" s="113"/>
      <c r="C41" s="114"/>
      <c r="D41" s="113"/>
      <c r="E41" s="113"/>
      <c r="F41" s="113"/>
      <c r="G41" s="113"/>
      <c r="H41" s="113"/>
      <c r="I41" s="113"/>
      <c r="J41" s="113"/>
      <c r="K41" s="113"/>
      <c r="L41" s="113"/>
      <c r="M41" s="115"/>
    </row>
    <row r="42" spans="1:13" ht="18">
      <c r="A42" s="112"/>
      <c r="B42" s="113"/>
      <c r="C42" s="114"/>
      <c r="D42" s="113"/>
      <c r="E42" s="113"/>
      <c r="F42" s="113"/>
      <c r="G42" s="113"/>
      <c r="H42" s="113"/>
      <c r="I42" s="113"/>
      <c r="J42" s="113"/>
      <c r="K42" s="113"/>
      <c r="L42" s="113"/>
      <c r="M42" s="115"/>
    </row>
    <row r="43" spans="1:13" ht="18">
      <c r="A43" s="112"/>
      <c r="B43" s="113"/>
      <c r="C43" s="114"/>
      <c r="D43" s="113"/>
      <c r="E43" s="113"/>
      <c r="F43" s="113"/>
      <c r="G43" s="113"/>
      <c r="H43" s="113"/>
      <c r="I43" s="113"/>
      <c r="J43" s="113"/>
      <c r="K43" s="113"/>
      <c r="L43" s="113"/>
      <c r="M43" s="115"/>
    </row>
    <row r="44" spans="1:13" ht="18">
      <c r="A44" s="112"/>
      <c r="B44" s="113"/>
      <c r="C44" s="114"/>
      <c r="D44" s="113"/>
      <c r="E44" s="113"/>
      <c r="F44" s="113"/>
      <c r="G44" s="113"/>
      <c r="H44" s="113"/>
      <c r="I44" s="113"/>
      <c r="J44" s="113"/>
      <c r="K44" s="113"/>
      <c r="L44" s="113"/>
      <c r="M44" s="115"/>
    </row>
    <row r="45" spans="1:13" ht="18">
      <c r="A45" s="112"/>
      <c r="B45" s="113"/>
      <c r="C45" s="114"/>
      <c r="D45" s="113"/>
      <c r="E45" s="113"/>
      <c r="F45" s="113"/>
      <c r="G45" s="113"/>
      <c r="H45" s="113"/>
      <c r="I45" s="113"/>
      <c r="J45" s="113"/>
      <c r="K45" s="113"/>
      <c r="L45" s="113"/>
      <c r="M45" s="115"/>
    </row>
    <row r="46" spans="1:13" ht="18">
      <c r="A46" s="112"/>
      <c r="B46" s="113"/>
      <c r="C46" s="114"/>
      <c r="D46" s="113"/>
      <c r="E46" s="113"/>
      <c r="F46" s="113"/>
      <c r="G46" s="113"/>
      <c r="H46" s="113"/>
      <c r="I46" s="113"/>
      <c r="J46" s="113"/>
      <c r="K46" s="113"/>
      <c r="L46" s="113"/>
      <c r="M46" s="115"/>
    </row>
    <row r="47" spans="1:13" ht="18">
      <c r="A47" s="112"/>
      <c r="B47" s="113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5"/>
    </row>
    <row r="48" spans="1:13" ht="18">
      <c r="A48" s="112"/>
      <c r="B48" s="113"/>
      <c r="C48" s="114"/>
      <c r="D48" s="113"/>
      <c r="E48" s="113"/>
      <c r="F48" s="113"/>
      <c r="G48" s="113"/>
      <c r="H48" s="113"/>
      <c r="I48" s="113"/>
      <c r="J48" s="113"/>
      <c r="K48" s="113"/>
      <c r="L48" s="113"/>
      <c r="M48" s="115"/>
    </row>
    <row r="49" spans="1:13" ht="18">
      <c r="A49" s="112"/>
      <c r="B49" s="113"/>
      <c r="C49" s="114"/>
      <c r="D49" s="113"/>
      <c r="E49" s="113"/>
      <c r="F49" s="113"/>
      <c r="G49" s="113"/>
      <c r="H49" s="113"/>
      <c r="I49" s="113"/>
      <c r="J49" s="113"/>
      <c r="K49" s="113"/>
      <c r="L49" s="113"/>
      <c r="M49" s="115"/>
    </row>
    <row r="50" spans="1:13" ht="18">
      <c r="A50" s="112"/>
      <c r="B50" s="113"/>
      <c r="C50" s="114"/>
      <c r="D50" s="113"/>
      <c r="E50" s="113"/>
      <c r="F50" s="113"/>
      <c r="G50" s="113"/>
      <c r="H50" s="113"/>
      <c r="I50" s="113"/>
      <c r="J50" s="113"/>
      <c r="K50" s="113"/>
      <c r="L50" s="113"/>
      <c r="M50" s="115"/>
    </row>
    <row r="51" spans="1:13" ht="18">
      <c r="A51" s="112"/>
      <c r="B51" s="113"/>
      <c r="C51" s="114"/>
      <c r="D51" s="113"/>
      <c r="E51" s="113"/>
      <c r="F51" s="113"/>
      <c r="G51" s="113"/>
      <c r="H51" s="113"/>
      <c r="I51" s="113"/>
      <c r="J51" s="113"/>
      <c r="K51" s="113"/>
      <c r="L51" s="113"/>
      <c r="M51" s="115"/>
    </row>
    <row r="52" spans="1:13" ht="18">
      <c r="A52" s="112"/>
      <c r="B52" s="113"/>
      <c r="C52" s="114"/>
      <c r="D52" s="113"/>
      <c r="E52" s="113"/>
      <c r="F52" s="113"/>
      <c r="G52" s="113"/>
      <c r="H52" s="113"/>
      <c r="I52" s="113"/>
      <c r="J52" s="113"/>
      <c r="K52" s="113"/>
      <c r="L52" s="113"/>
      <c r="M52" s="115"/>
    </row>
    <row r="53" spans="1:13" ht="18">
      <c r="A53" s="112"/>
      <c r="B53" s="113"/>
      <c r="C53" s="114"/>
      <c r="D53" s="113"/>
      <c r="E53" s="113"/>
      <c r="F53" s="113"/>
      <c r="G53" s="113"/>
      <c r="H53" s="113"/>
      <c r="I53" s="113"/>
      <c r="J53" s="113"/>
      <c r="K53" s="113"/>
      <c r="L53" s="113"/>
      <c r="M53" s="115"/>
    </row>
    <row r="54" spans="1:13" ht="18">
      <c r="A54" s="112"/>
      <c r="B54" s="113"/>
      <c r="C54" s="114"/>
      <c r="D54" s="113"/>
      <c r="E54" s="113"/>
      <c r="F54" s="113"/>
      <c r="G54" s="113"/>
      <c r="H54" s="113"/>
      <c r="I54" s="113"/>
      <c r="J54" s="113"/>
      <c r="K54" s="113"/>
      <c r="L54" s="113"/>
      <c r="M54" s="115"/>
    </row>
    <row r="55" spans="1:13" ht="18">
      <c r="A55" s="112"/>
      <c r="B55" s="113"/>
      <c r="C55" s="114"/>
      <c r="D55" s="113"/>
      <c r="E55" s="113"/>
      <c r="F55" s="113"/>
      <c r="G55" s="113"/>
      <c r="H55" s="113"/>
      <c r="I55" s="113"/>
      <c r="J55" s="113"/>
      <c r="K55" s="113"/>
      <c r="L55" s="113"/>
      <c r="M55" s="115"/>
    </row>
    <row r="56" spans="1:13" ht="18">
      <c r="A56" s="112"/>
      <c r="B56" s="113"/>
      <c r="C56" s="114"/>
      <c r="D56" s="113"/>
      <c r="E56" s="113"/>
      <c r="F56" s="113"/>
      <c r="G56" s="113"/>
      <c r="H56" s="113"/>
      <c r="I56" s="113"/>
      <c r="J56" s="113"/>
      <c r="K56" s="113"/>
      <c r="L56" s="113"/>
      <c r="M56" s="115"/>
    </row>
    <row r="57" spans="1:13" ht="18">
      <c r="A57" s="112"/>
      <c r="B57" s="113"/>
      <c r="C57" s="114"/>
      <c r="D57" s="113"/>
      <c r="E57" s="113"/>
      <c r="F57" s="113"/>
      <c r="G57" s="113"/>
      <c r="H57" s="113"/>
      <c r="I57" s="113"/>
      <c r="J57" s="113"/>
      <c r="K57" s="113"/>
      <c r="L57" s="113"/>
      <c r="M57" s="115"/>
    </row>
    <row r="58" spans="1:13" ht="18">
      <c r="A58" s="112"/>
      <c r="B58" s="113"/>
      <c r="C58" s="114"/>
      <c r="D58" s="113"/>
      <c r="E58" s="113"/>
      <c r="F58" s="113"/>
      <c r="G58" s="113"/>
      <c r="H58" s="113"/>
      <c r="I58" s="113"/>
      <c r="J58" s="113"/>
      <c r="K58" s="113"/>
      <c r="L58" s="113"/>
      <c r="M58" s="115"/>
    </row>
    <row r="59" spans="1:13" ht="18">
      <c r="A59" s="112"/>
      <c r="B59" s="113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5"/>
    </row>
    <row r="60" spans="1:13" ht="18">
      <c r="A60" s="112"/>
      <c r="B60" s="113"/>
      <c r="C60" s="114"/>
      <c r="D60" s="113"/>
      <c r="E60" s="113"/>
      <c r="F60" s="113"/>
      <c r="G60" s="113"/>
      <c r="H60" s="113"/>
      <c r="I60" s="113"/>
      <c r="J60" s="113"/>
      <c r="K60" s="113"/>
      <c r="L60" s="113"/>
      <c r="M60" s="115"/>
    </row>
    <row r="61" spans="1:13" ht="18">
      <c r="A61" s="112"/>
      <c r="B61" s="113"/>
      <c r="C61" s="114"/>
      <c r="D61" s="113"/>
      <c r="E61" s="113"/>
      <c r="F61" s="113"/>
      <c r="G61" s="113"/>
      <c r="H61" s="113"/>
      <c r="I61" s="113"/>
      <c r="J61" s="113"/>
      <c r="K61" s="113"/>
      <c r="L61" s="113"/>
      <c r="M61" s="115"/>
    </row>
    <row r="62" spans="1:13" ht="18">
      <c r="A62" s="112"/>
      <c r="B62" s="113"/>
      <c r="C62" s="114"/>
      <c r="D62" s="113"/>
      <c r="E62" s="113"/>
      <c r="F62" s="113"/>
      <c r="G62" s="113"/>
      <c r="H62" s="113"/>
      <c r="I62" s="113"/>
      <c r="J62" s="113"/>
      <c r="K62" s="113"/>
      <c r="L62" s="113"/>
      <c r="M62" s="115"/>
    </row>
    <row r="63" spans="1:13" ht="18">
      <c r="A63" s="112"/>
      <c r="B63" s="113"/>
      <c r="C63" s="114"/>
      <c r="D63" s="113"/>
      <c r="E63" s="113"/>
      <c r="F63" s="113"/>
      <c r="G63" s="113"/>
      <c r="H63" s="113"/>
      <c r="I63" s="113"/>
      <c r="J63" s="113"/>
      <c r="K63" s="113"/>
      <c r="L63" s="113"/>
      <c r="M63" s="115"/>
    </row>
    <row r="64" spans="1:13">
      <c r="B64" s="117"/>
      <c r="C64" s="118"/>
      <c r="D64" s="117"/>
      <c r="E64" s="117"/>
      <c r="F64" s="117"/>
      <c r="G64" s="117"/>
      <c r="H64" s="117"/>
      <c r="I64" s="117"/>
      <c r="J64" s="117"/>
      <c r="K64" s="117"/>
      <c r="L64" s="117"/>
      <c r="M64" s="119"/>
    </row>
    <row r="65" spans="2:13">
      <c r="B65" s="117"/>
      <c r="C65" s="118"/>
      <c r="D65" s="117"/>
      <c r="E65" s="117"/>
      <c r="F65" s="117"/>
      <c r="G65" s="117"/>
      <c r="H65" s="117"/>
      <c r="I65" s="117"/>
      <c r="J65" s="117"/>
      <c r="K65" s="117"/>
      <c r="L65" s="117"/>
      <c r="M65" s="119"/>
    </row>
    <row r="66" spans="2:13">
      <c r="B66" s="117"/>
      <c r="C66" s="118"/>
      <c r="D66" s="117"/>
      <c r="E66" s="117"/>
      <c r="F66" s="117"/>
      <c r="G66" s="117"/>
      <c r="H66" s="117"/>
      <c r="I66" s="117"/>
      <c r="J66" s="117"/>
      <c r="K66" s="117"/>
      <c r="L66" s="117"/>
      <c r="M66" s="119"/>
    </row>
    <row r="67" spans="2:13"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L67" s="117"/>
      <c r="M67" s="119"/>
    </row>
    <row r="68" spans="2:13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20"/>
    </row>
    <row r="69" spans="2:13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20"/>
    </row>
    <row r="70" spans="2:13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20"/>
    </row>
    <row r="71" spans="2:13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20"/>
    </row>
    <row r="72" spans="2:13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20"/>
    </row>
    <row r="73" spans="2:13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20"/>
    </row>
    <row r="74" spans="2:13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20"/>
    </row>
    <row r="75" spans="2:13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20"/>
    </row>
    <row r="76" spans="2:13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20"/>
    </row>
    <row r="77" spans="2:13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20"/>
    </row>
    <row r="78" spans="2:13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20"/>
    </row>
    <row r="79" spans="2:13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20"/>
    </row>
    <row r="80" spans="2:13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20"/>
    </row>
  </sheetData>
  <mergeCells count="10">
    <mergeCell ref="E3:F3"/>
    <mergeCell ref="G3:H3"/>
    <mergeCell ref="I3:J3"/>
    <mergeCell ref="A1:M1"/>
    <mergeCell ref="A3:A4"/>
    <mergeCell ref="B3:B4"/>
    <mergeCell ref="C3:C4"/>
    <mergeCell ref="K3:L3"/>
    <mergeCell ref="D3:D4"/>
    <mergeCell ref="M3:M4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145"/>
  <sheetViews>
    <sheetView view="pageBreakPreview" zoomScaleNormal="60" zoomScaleSheetLayoutView="100" workbookViewId="0">
      <selection activeCell="J18" sqref="J18"/>
    </sheetView>
  </sheetViews>
  <sheetFormatPr defaultRowHeight="12.75"/>
  <cols>
    <col min="1" max="1" width="6.42578125" style="111" bestFit="1" customWidth="1"/>
    <col min="2" max="2" width="14.7109375" style="100" customWidth="1"/>
    <col min="3" max="3" width="57" style="100" customWidth="1"/>
    <col min="4" max="4" width="9.5703125" style="100" customWidth="1"/>
    <col min="5" max="7" width="9.7109375" style="100" customWidth="1"/>
    <col min="8" max="8" width="10" style="100" customWidth="1"/>
    <col min="9" max="12" width="9.7109375" style="100" customWidth="1"/>
    <col min="13" max="13" width="11.28515625" style="105" customWidth="1"/>
    <col min="14" max="16384" width="9.140625" style="68"/>
  </cols>
  <sheetData>
    <row r="1" spans="1:13" s="73" customFormat="1">
      <c r="A1" s="164" t="s">
        <v>309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73" customForma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69" customFormat="1" ht="27.75" customHeight="1">
      <c r="A3" s="160" t="s">
        <v>319</v>
      </c>
      <c r="B3" s="161" t="s">
        <v>320</v>
      </c>
      <c r="C3" s="161" t="s">
        <v>321</v>
      </c>
      <c r="D3" s="161" t="s">
        <v>322</v>
      </c>
      <c r="E3" s="160" t="s">
        <v>323</v>
      </c>
      <c r="F3" s="160"/>
      <c r="G3" s="161" t="s">
        <v>324</v>
      </c>
      <c r="H3" s="161"/>
      <c r="I3" s="161" t="s">
        <v>6</v>
      </c>
      <c r="J3" s="161"/>
      <c r="K3" s="160" t="s">
        <v>325</v>
      </c>
      <c r="L3" s="160"/>
      <c r="M3" s="160" t="s">
        <v>4</v>
      </c>
    </row>
    <row r="4" spans="1:13" s="69" customFormat="1" ht="13.5" customHeight="1">
      <c r="A4" s="160"/>
      <c r="B4" s="161"/>
      <c r="C4" s="161"/>
      <c r="D4" s="161"/>
      <c r="E4" s="59" t="s">
        <v>326</v>
      </c>
      <c r="F4" s="59" t="s">
        <v>249</v>
      </c>
      <c r="G4" s="59" t="s">
        <v>326</v>
      </c>
      <c r="H4" s="59" t="s">
        <v>249</v>
      </c>
      <c r="I4" s="59" t="s">
        <v>326</v>
      </c>
      <c r="J4" s="59" t="s">
        <v>249</v>
      </c>
      <c r="K4" s="59" t="s">
        <v>326</v>
      </c>
      <c r="L4" s="59" t="s">
        <v>249</v>
      </c>
      <c r="M4" s="160"/>
    </row>
    <row r="5" spans="1:13" s="69" customFormat="1">
      <c r="A5" s="59">
        <v>1</v>
      </c>
      <c r="B5" s="59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3">
        <v>8</v>
      </c>
      <c r="I5" s="59">
        <v>9</v>
      </c>
      <c r="J5" s="53">
        <v>10</v>
      </c>
      <c r="K5" s="59">
        <v>11</v>
      </c>
      <c r="L5" s="53">
        <v>12</v>
      </c>
      <c r="M5" s="53">
        <v>13</v>
      </c>
    </row>
    <row r="6" spans="1:13" s="69" customFormat="1">
      <c r="A6" s="59"/>
      <c r="B6" s="59"/>
      <c r="C6" s="59"/>
      <c r="D6" s="59"/>
      <c r="E6" s="91"/>
      <c r="F6" s="91"/>
      <c r="G6" s="91"/>
      <c r="H6" s="91"/>
      <c r="I6" s="91"/>
      <c r="J6" s="91"/>
      <c r="K6" s="91"/>
      <c r="L6" s="91"/>
      <c r="M6" s="91"/>
    </row>
    <row r="7" spans="1:13" s="69" customFormat="1">
      <c r="A7" s="59"/>
      <c r="B7" s="92"/>
      <c r="C7" s="58" t="s">
        <v>252</v>
      </c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s="69" customFormat="1">
      <c r="A8" s="59"/>
      <c r="B8" s="92"/>
      <c r="C8" s="58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ht="12.75" customHeight="1">
      <c r="A9" s="92">
        <v>1.1000000000000001</v>
      </c>
      <c r="B9" s="98" t="s">
        <v>247</v>
      </c>
      <c r="C9" s="107" t="s">
        <v>253</v>
      </c>
      <c r="D9" s="92" t="s">
        <v>329</v>
      </c>
      <c r="E9" s="94"/>
      <c r="F9" s="94">
        <v>1488</v>
      </c>
      <c r="G9" s="94"/>
      <c r="H9" s="94"/>
      <c r="I9" s="94"/>
      <c r="J9" s="94"/>
      <c r="K9" s="94"/>
      <c r="L9" s="94"/>
      <c r="M9" s="94"/>
    </row>
    <row r="10" spans="1:13">
      <c r="A10" s="92"/>
      <c r="B10" s="98"/>
      <c r="C10" s="123"/>
      <c r="D10" s="92" t="s">
        <v>330</v>
      </c>
      <c r="E10" s="94"/>
      <c r="F10" s="108">
        <f>F9/1000</f>
        <v>1.488</v>
      </c>
      <c r="G10" s="94"/>
      <c r="H10" s="94"/>
      <c r="I10" s="94"/>
      <c r="J10" s="94"/>
      <c r="K10" s="94"/>
      <c r="L10" s="94"/>
      <c r="M10" s="94"/>
    </row>
    <row r="11" spans="1:13">
      <c r="A11" s="92" t="s">
        <v>0</v>
      </c>
      <c r="B11" s="98"/>
      <c r="C11" s="123" t="s">
        <v>15</v>
      </c>
      <c r="D11" s="92" t="s">
        <v>1</v>
      </c>
      <c r="E11" s="94">
        <v>27</v>
      </c>
      <c r="F11" s="94">
        <f>E11*F10</f>
        <v>40.176000000000002</v>
      </c>
      <c r="G11" s="94"/>
      <c r="H11" s="94"/>
      <c r="I11" s="94"/>
      <c r="J11" s="94"/>
      <c r="K11" s="94"/>
      <c r="L11" s="94"/>
      <c r="M11" s="94"/>
    </row>
    <row r="12" spans="1:13">
      <c r="A12" s="92" t="s">
        <v>189</v>
      </c>
      <c r="B12" s="98" t="s">
        <v>331</v>
      </c>
      <c r="C12" s="109" t="s">
        <v>332</v>
      </c>
      <c r="D12" s="92" t="s">
        <v>24</v>
      </c>
      <c r="E12" s="94">
        <v>60.5</v>
      </c>
      <c r="F12" s="94">
        <f>E12*F10</f>
        <v>90.024000000000001</v>
      </c>
      <c r="G12" s="94"/>
      <c r="H12" s="94"/>
      <c r="I12" s="94"/>
      <c r="J12" s="94"/>
      <c r="K12" s="94"/>
      <c r="L12" s="94"/>
      <c r="M12" s="94"/>
    </row>
    <row r="13" spans="1:13">
      <c r="A13" s="92" t="s">
        <v>190</v>
      </c>
      <c r="B13" s="98"/>
      <c r="C13" s="123" t="s">
        <v>13</v>
      </c>
      <c r="D13" s="92" t="s">
        <v>25</v>
      </c>
      <c r="E13" s="94">
        <v>2.21</v>
      </c>
      <c r="F13" s="94">
        <f>E13*F10</f>
        <v>3.2884799999999998</v>
      </c>
      <c r="G13" s="94"/>
      <c r="H13" s="94"/>
      <c r="I13" s="94"/>
      <c r="J13" s="94"/>
      <c r="K13" s="94"/>
      <c r="L13" s="94"/>
      <c r="M13" s="94"/>
    </row>
    <row r="14" spans="1:13">
      <c r="A14" s="92" t="s">
        <v>191</v>
      </c>
      <c r="B14" s="98" t="s">
        <v>333</v>
      </c>
      <c r="C14" s="109" t="s">
        <v>334</v>
      </c>
      <c r="D14" s="92" t="s">
        <v>329</v>
      </c>
      <c r="E14" s="94">
        <v>0.06</v>
      </c>
      <c r="F14" s="94">
        <f>E14*F10</f>
        <v>8.9279999999999998E-2</v>
      </c>
      <c r="G14" s="94"/>
      <c r="H14" s="94"/>
      <c r="I14" s="94"/>
      <c r="J14" s="94"/>
      <c r="K14" s="94"/>
      <c r="L14" s="94"/>
      <c r="M14" s="94"/>
    </row>
    <row r="15" spans="1:13">
      <c r="A15" s="92"/>
      <c r="B15" s="98"/>
      <c r="C15" s="123"/>
      <c r="D15" s="92"/>
      <c r="E15" s="94"/>
      <c r="F15" s="94"/>
      <c r="G15" s="94"/>
      <c r="H15" s="94"/>
      <c r="I15" s="94"/>
      <c r="J15" s="94"/>
      <c r="K15" s="94"/>
      <c r="L15" s="94"/>
      <c r="M15" s="94"/>
    </row>
    <row r="16" spans="1:13">
      <c r="A16" s="92">
        <v>1.2</v>
      </c>
      <c r="B16" s="135" t="s">
        <v>366</v>
      </c>
      <c r="C16" s="109" t="s">
        <v>434</v>
      </c>
      <c r="D16" s="92" t="s">
        <v>329</v>
      </c>
      <c r="E16" s="94"/>
      <c r="F16" s="94">
        <v>15</v>
      </c>
      <c r="G16" s="94"/>
      <c r="H16" s="94"/>
      <c r="I16" s="94"/>
      <c r="J16" s="94"/>
      <c r="K16" s="94"/>
      <c r="L16" s="94"/>
      <c r="M16" s="94"/>
    </row>
    <row r="17" spans="1:13">
      <c r="A17" s="92"/>
      <c r="B17" s="98" t="s">
        <v>435</v>
      </c>
      <c r="C17" s="109"/>
      <c r="D17" s="92" t="s">
        <v>342</v>
      </c>
      <c r="E17" s="94"/>
      <c r="F17" s="94">
        <v>0.16</v>
      </c>
      <c r="G17" s="94"/>
      <c r="H17" s="94"/>
      <c r="I17" s="94"/>
      <c r="J17" s="94"/>
      <c r="K17" s="94"/>
      <c r="L17" s="94"/>
      <c r="M17" s="94"/>
    </row>
    <row r="18" spans="1:13">
      <c r="A18" s="92" t="s">
        <v>21</v>
      </c>
      <c r="B18" s="135"/>
      <c r="C18" s="123" t="s">
        <v>15</v>
      </c>
      <c r="D18" s="92" t="s">
        <v>1</v>
      </c>
      <c r="E18" s="94">
        <f>1.2*299</f>
        <v>358.8</v>
      </c>
      <c r="F18" s="94">
        <f>E18*F17</f>
        <v>57.408000000000001</v>
      </c>
      <c r="G18" s="94"/>
      <c r="H18" s="94"/>
      <c r="I18" s="94"/>
      <c r="J18" s="94"/>
      <c r="K18" s="94"/>
      <c r="L18" s="94"/>
      <c r="M18" s="94"/>
    </row>
    <row r="19" spans="1:13">
      <c r="A19" s="92"/>
      <c r="B19" s="135"/>
      <c r="C19" s="123"/>
      <c r="D19" s="92"/>
      <c r="E19" s="94"/>
      <c r="F19" s="94"/>
      <c r="G19" s="94"/>
      <c r="H19" s="94"/>
      <c r="I19" s="94"/>
      <c r="J19" s="94"/>
      <c r="K19" s="94"/>
      <c r="L19" s="94"/>
      <c r="M19" s="94"/>
    </row>
    <row r="20" spans="1:13">
      <c r="A20" s="92">
        <v>1.3</v>
      </c>
      <c r="B20" s="63" t="s">
        <v>367</v>
      </c>
      <c r="C20" s="123" t="s">
        <v>95</v>
      </c>
      <c r="D20" s="92" t="s">
        <v>23</v>
      </c>
      <c r="E20" s="94">
        <v>1.95</v>
      </c>
      <c r="F20" s="94">
        <f>E20*F16</f>
        <v>29.25</v>
      </c>
      <c r="G20" s="94"/>
      <c r="H20" s="94"/>
      <c r="I20" s="94"/>
      <c r="J20" s="94"/>
      <c r="K20" s="94"/>
      <c r="L20" s="94"/>
      <c r="M20" s="94"/>
    </row>
    <row r="21" spans="1:13">
      <c r="A21" s="92" t="s">
        <v>30</v>
      </c>
      <c r="B21" s="64" t="s">
        <v>368</v>
      </c>
      <c r="C21" s="123" t="s">
        <v>15</v>
      </c>
      <c r="D21" s="92" t="s">
        <v>1</v>
      </c>
      <c r="E21" s="94">
        <v>0.53</v>
      </c>
      <c r="F21" s="94">
        <f>E21*F20</f>
        <v>15.502500000000001</v>
      </c>
      <c r="G21" s="94"/>
      <c r="H21" s="94"/>
      <c r="I21" s="94"/>
      <c r="J21" s="94"/>
      <c r="K21" s="94"/>
      <c r="L21" s="94"/>
      <c r="M21" s="94"/>
    </row>
    <row r="22" spans="1:13">
      <c r="A22" s="92"/>
      <c r="B22" s="98"/>
      <c r="C22" s="123"/>
      <c r="D22" s="92"/>
      <c r="E22" s="94"/>
      <c r="F22" s="94"/>
      <c r="G22" s="94"/>
      <c r="H22" s="94"/>
      <c r="I22" s="94"/>
      <c r="J22" s="94"/>
      <c r="K22" s="94"/>
      <c r="L22" s="94"/>
      <c r="M22" s="94"/>
    </row>
    <row r="23" spans="1:13">
      <c r="A23" s="92">
        <v>1.4</v>
      </c>
      <c r="B23" s="98" t="s">
        <v>335</v>
      </c>
      <c r="C23" s="123" t="s">
        <v>31</v>
      </c>
      <c r="D23" s="92" t="s">
        <v>23</v>
      </c>
      <c r="E23" s="94">
        <v>1.95</v>
      </c>
      <c r="F23" s="94">
        <f>E23*(F9+F16)</f>
        <v>2930.85</v>
      </c>
      <c r="G23" s="94"/>
      <c r="H23" s="94"/>
      <c r="I23" s="94"/>
      <c r="J23" s="94"/>
      <c r="K23" s="94"/>
      <c r="L23" s="94"/>
      <c r="M23" s="94"/>
    </row>
    <row r="24" spans="1:13">
      <c r="A24" s="92"/>
      <c r="B24" s="98"/>
      <c r="C24" s="123"/>
      <c r="D24" s="92"/>
      <c r="E24" s="94"/>
      <c r="F24" s="94"/>
      <c r="G24" s="94"/>
      <c r="H24" s="94"/>
      <c r="I24" s="94"/>
      <c r="J24" s="94"/>
      <c r="K24" s="94"/>
      <c r="L24" s="94"/>
      <c r="M24" s="94"/>
    </row>
    <row r="25" spans="1:13">
      <c r="A25" s="92">
        <v>1.5</v>
      </c>
      <c r="B25" s="98" t="s">
        <v>83</v>
      </c>
      <c r="C25" s="123" t="s">
        <v>436</v>
      </c>
      <c r="D25" s="92" t="s">
        <v>329</v>
      </c>
      <c r="E25" s="94"/>
      <c r="F25" s="94">
        <f>F9+F16</f>
        <v>1503</v>
      </c>
      <c r="G25" s="94"/>
      <c r="H25" s="94"/>
      <c r="I25" s="94"/>
      <c r="J25" s="94"/>
      <c r="K25" s="94"/>
      <c r="L25" s="94"/>
      <c r="M25" s="94"/>
    </row>
    <row r="26" spans="1:13">
      <c r="A26" s="92"/>
      <c r="B26" s="98"/>
      <c r="C26" s="107"/>
      <c r="D26" s="92" t="s">
        <v>330</v>
      </c>
      <c r="E26" s="94"/>
      <c r="F26" s="108">
        <f>F25/1000</f>
        <v>1.5029999999999999</v>
      </c>
      <c r="G26" s="94"/>
      <c r="H26" s="94"/>
      <c r="I26" s="94"/>
      <c r="J26" s="94"/>
      <c r="K26" s="94"/>
      <c r="L26" s="94"/>
      <c r="M26" s="94"/>
    </row>
    <row r="27" spans="1:13">
      <c r="A27" s="92" t="s">
        <v>192</v>
      </c>
      <c r="B27" s="98"/>
      <c r="C27" s="107" t="s">
        <v>15</v>
      </c>
      <c r="D27" s="92" t="s">
        <v>1</v>
      </c>
      <c r="E27" s="94">
        <v>3.23</v>
      </c>
      <c r="F27" s="94">
        <f>E27*F26</f>
        <v>4.8546899999999997</v>
      </c>
      <c r="G27" s="94"/>
      <c r="H27" s="94"/>
      <c r="I27" s="94"/>
      <c r="J27" s="94"/>
      <c r="K27" s="94"/>
      <c r="L27" s="94"/>
      <c r="M27" s="94"/>
    </row>
    <row r="28" spans="1:13">
      <c r="A28" s="92" t="s">
        <v>193</v>
      </c>
      <c r="B28" s="98" t="s">
        <v>336</v>
      </c>
      <c r="C28" s="107" t="s">
        <v>84</v>
      </c>
      <c r="D28" s="92" t="s">
        <v>24</v>
      </c>
      <c r="E28" s="94">
        <v>3.62</v>
      </c>
      <c r="F28" s="94">
        <f>E28*F26</f>
        <v>5.4408599999999998</v>
      </c>
      <c r="G28" s="94"/>
      <c r="H28" s="94"/>
      <c r="I28" s="94"/>
      <c r="J28" s="94"/>
      <c r="K28" s="94"/>
      <c r="L28" s="94"/>
      <c r="M28" s="94"/>
    </row>
    <row r="29" spans="1:13">
      <c r="A29" s="92" t="s">
        <v>194</v>
      </c>
      <c r="B29" s="98"/>
      <c r="C29" s="107" t="s">
        <v>13</v>
      </c>
      <c r="D29" s="92" t="s">
        <v>25</v>
      </c>
      <c r="E29" s="94">
        <v>0.18</v>
      </c>
      <c r="F29" s="94">
        <f>E29*F26</f>
        <v>0.27053999999999995</v>
      </c>
      <c r="G29" s="94"/>
      <c r="H29" s="94"/>
      <c r="I29" s="94"/>
      <c r="J29" s="94"/>
      <c r="K29" s="94"/>
      <c r="L29" s="94"/>
      <c r="M29" s="94"/>
    </row>
    <row r="30" spans="1:13">
      <c r="A30" s="92" t="s">
        <v>195</v>
      </c>
      <c r="B30" s="98" t="s">
        <v>333</v>
      </c>
      <c r="C30" s="109" t="s">
        <v>334</v>
      </c>
      <c r="D30" s="92" t="s">
        <v>329</v>
      </c>
      <c r="E30" s="94">
        <v>0.04</v>
      </c>
      <c r="F30" s="94">
        <f>E30*F26</f>
        <v>6.012E-2</v>
      </c>
      <c r="G30" s="94"/>
      <c r="H30" s="94"/>
      <c r="I30" s="94"/>
      <c r="J30" s="94"/>
      <c r="K30" s="94"/>
      <c r="L30" s="94"/>
      <c r="M30" s="94"/>
    </row>
    <row r="31" spans="1:13">
      <c r="A31" s="92"/>
      <c r="B31" s="98"/>
      <c r="C31" s="123"/>
      <c r="D31" s="92"/>
      <c r="E31" s="94"/>
      <c r="F31" s="94"/>
      <c r="G31" s="94"/>
      <c r="H31" s="94"/>
      <c r="I31" s="94"/>
      <c r="J31" s="94"/>
      <c r="K31" s="94"/>
      <c r="L31" s="94"/>
      <c r="M31" s="94"/>
    </row>
    <row r="32" spans="1:13">
      <c r="A32" s="92">
        <v>1.6</v>
      </c>
      <c r="B32" s="98" t="s">
        <v>255</v>
      </c>
      <c r="C32" s="136" t="s">
        <v>284</v>
      </c>
      <c r="D32" s="92" t="s">
        <v>337</v>
      </c>
      <c r="E32" s="94"/>
      <c r="F32" s="94">
        <v>211.2</v>
      </c>
      <c r="G32" s="94"/>
      <c r="H32" s="94"/>
      <c r="I32" s="94"/>
      <c r="J32" s="94"/>
      <c r="K32" s="94"/>
      <c r="L32" s="94"/>
      <c r="M32" s="94"/>
    </row>
    <row r="33" spans="1:13">
      <c r="A33" s="92"/>
      <c r="B33" s="98"/>
      <c r="C33" s="136"/>
      <c r="D33" s="92" t="s">
        <v>360</v>
      </c>
      <c r="E33" s="94"/>
      <c r="F33" s="108">
        <f>F32/1000</f>
        <v>0.2112</v>
      </c>
      <c r="G33" s="94"/>
      <c r="H33" s="94"/>
      <c r="I33" s="94"/>
      <c r="J33" s="94"/>
      <c r="K33" s="94"/>
      <c r="L33" s="94"/>
      <c r="M33" s="94"/>
    </row>
    <row r="34" spans="1:13">
      <c r="A34" s="92" t="s">
        <v>59</v>
      </c>
      <c r="B34" s="98"/>
      <c r="C34" s="136" t="s">
        <v>15</v>
      </c>
      <c r="D34" s="92" t="s">
        <v>1</v>
      </c>
      <c r="E34" s="94">
        <v>91</v>
      </c>
      <c r="F34" s="94">
        <f>E34*F33</f>
        <v>19.219200000000001</v>
      </c>
      <c r="G34" s="94"/>
      <c r="H34" s="94"/>
      <c r="I34" s="94"/>
      <c r="J34" s="94"/>
      <c r="K34" s="94"/>
      <c r="L34" s="94"/>
      <c r="M34" s="94"/>
    </row>
    <row r="35" spans="1:13">
      <c r="A35" s="92"/>
      <c r="B35" s="98"/>
      <c r="C35" s="123"/>
      <c r="D35" s="92"/>
      <c r="E35" s="94"/>
      <c r="F35" s="94"/>
      <c r="G35" s="94"/>
      <c r="H35" s="94"/>
      <c r="I35" s="94"/>
      <c r="J35" s="94"/>
      <c r="K35" s="94"/>
      <c r="L35" s="94"/>
      <c r="M35" s="94"/>
    </row>
    <row r="36" spans="1:13">
      <c r="A36" s="92">
        <v>1.7</v>
      </c>
      <c r="B36" s="98" t="s">
        <v>369</v>
      </c>
      <c r="C36" s="136" t="s">
        <v>241</v>
      </c>
      <c r="D36" s="92" t="s">
        <v>329</v>
      </c>
      <c r="E36" s="94"/>
      <c r="F36" s="94">
        <v>96</v>
      </c>
      <c r="G36" s="94"/>
      <c r="H36" s="94"/>
      <c r="I36" s="94"/>
      <c r="J36" s="94"/>
      <c r="K36" s="94"/>
      <c r="L36" s="94"/>
      <c r="M36" s="94"/>
    </row>
    <row r="37" spans="1:13">
      <c r="A37" s="92"/>
      <c r="B37" s="98"/>
      <c r="C37" s="123"/>
      <c r="D37" s="92" t="s">
        <v>370</v>
      </c>
      <c r="E37" s="94"/>
      <c r="F37" s="94">
        <f>F36</f>
        <v>96</v>
      </c>
      <c r="G37" s="94"/>
      <c r="H37" s="94"/>
      <c r="I37" s="94"/>
      <c r="J37" s="94"/>
      <c r="K37" s="94"/>
      <c r="L37" s="94"/>
      <c r="M37" s="94"/>
    </row>
    <row r="38" spans="1:13">
      <c r="A38" s="92" t="s">
        <v>61</v>
      </c>
      <c r="B38" s="98"/>
      <c r="C38" s="123" t="s">
        <v>15</v>
      </c>
      <c r="D38" s="92" t="s">
        <v>1</v>
      </c>
      <c r="E38" s="94">
        <v>0.89</v>
      </c>
      <c r="F38" s="94">
        <f>E38*F37</f>
        <v>85.44</v>
      </c>
      <c r="G38" s="94"/>
      <c r="H38" s="94"/>
      <c r="I38" s="94"/>
      <c r="J38" s="94"/>
      <c r="K38" s="94"/>
      <c r="L38" s="94"/>
      <c r="M38" s="94"/>
    </row>
    <row r="39" spans="1:13">
      <c r="A39" s="92" t="s">
        <v>62</v>
      </c>
      <c r="B39" s="98" t="s">
        <v>345</v>
      </c>
      <c r="C39" s="123" t="s">
        <v>96</v>
      </c>
      <c r="D39" s="92" t="s">
        <v>329</v>
      </c>
      <c r="E39" s="94">
        <v>1.1499999999999999</v>
      </c>
      <c r="F39" s="94">
        <f>E39*F37</f>
        <v>110.39999999999999</v>
      </c>
      <c r="G39" s="94"/>
      <c r="H39" s="94"/>
      <c r="I39" s="94"/>
      <c r="J39" s="94"/>
      <c r="K39" s="94"/>
      <c r="L39" s="94"/>
      <c r="M39" s="94"/>
    </row>
    <row r="40" spans="1:13">
      <c r="A40" s="92"/>
      <c r="B40" s="98"/>
      <c r="C40" s="107" t="s">
        <v>13</v>
      </c>
      <c r="D40" s="92" t="s">
        <v>25</v>
      </c>
      <c r="E40" s="94">
        <v>0.37</v>
      </c>
      <c r="F40" s="94">
        <f>E40*F37</f>
        <v>35.519999999999996</v>
      </c>
      <c r="G40" s="94"/>
      <c r="H40" s="94"/>
      <c r="I40" s="94"/>
      <c r="J40" s="94"/>
      <c r="K40" s="94"/>
      <c r="L40" s="94"/>
      <c r="M40" s="94"/>
    </row>
    <row r="41" spans="1:13">
      <c r="A41" s="92"/>
      <c r="B41" s="135"/>
      <c r="C41" s="123" t="s">
        <v>14</v>
      </c>
      <c r="D41" s="92" t="s">
        <v>25</v>
      </c>
      <c r="E41" s="94">
        <v>0.02</v>
      </c>
      <c r="F41" s="94">
        <f>E41*F37</f>
        <v>1.92</v>
      </c>
      <c r="G41" s="94"/>
      <c r="H41" s="94"/>
      <c r="I41" s="94"/>
      <c r="J41" s="94"/>
      <c r="K41" s="94"/>
      <c r="L41" s="94"/>
      <c r="M41" s="94"/>
    </row>
    <row r="42" spans="1:13">
      <c r="A42" s="92"/>
      <c r="B42" s="98"/>
      <c r="C42" s="123"/>
      <c r="D42" s="92"/>
      <c r="E42" s="94"/>
      <c r="F42" s="94"/>
      <c r="G42" s="94"/>
      <c r="H42" s="94"/>
      <c r="I42" s="94"/>
      <c r="J42" s="94"/>
      <c r="K42" s="94"/>
      <c r="L42" s="94"/>
      <c r="M42" s="94"/>
    </row>
    <row r="43" spans="1:13">
      <c r="A43" s="92">
        <v>1.8</v>
      </c>
      <c r="B43" s="135" t="s">
        <v>373</v>
      </c>
      <c r="C43" s="136" t="s">
        <v>242</v>
      </c>
      <c r="D43" s="92" t="s">
        <v>329</v>
      </c>
      <c r="E43" s="94"/>
      <c r="F43" s="94">
        <v>19.2</v>
      </c>
      <c r="G43" s="94"/>
      <c r="H43" s="94"/>
      <c r="I43" s="94"/>
      <c r="J43" s="94"/>
      <c r="K43" s="94"/>
      <c r="L43" s="94"/>
      <c r="M43" s="94"/>
    </row>
    <row r="44" spans="1:13">
      <c r="A44" s="92"/>
      <c r="B44" s="135"/>
      <c r="C44" s="123"/>
      <c r="D44" s="92" t="s">
        <v>342</v>
      </c>
      <c r="E44" s="94"/>
      <c r="F44" s="108">
        <f>F43/100</f>
        <v>0.192</v>
      </c>
      <c r="G44" s="94"/>
      <c r="H44" s="94"/>
      <c r="I44" s="94"/>
      <c r="J44" s="94"/>
      <c r="K44" s="94"/>
      <c r="L44" s="94"/>
      <c r="M44" s="94"/>
    </row>
    <row r="45" spans="1:13">
      <c r="A45" s="92" t="s">
        <v>63</v>
      </c>
      <c r="B45" s="135"/>
      <c r="C45" s="123" t="s">
        <v>15</v>
      </c>
      <c r="D45" s="92" t="s">
        <v>1</v>
      </c>
      <c r="E45" s="94">
        <v>137</v>
      </c>
      <c r="F45" s="94">
        <f>E45*F44</f>
        <v>26.304000000000002</v>
      </c>
      <c r="G45" s="94"/>
      <c r="H45" s="94"/>
      <c r="I45" s="94"/>
      <c r="J45" s="94"/>
      <c r="K45" s="94"/>
      <c r="L45" s="94"/>
      <c r="M45" s="94"/>
    </row>
    <row r="46" spans="1:13">
      <c r="A46" s="92" t="s">
        <v>64</v>
      </c>
      <c r="B46" s="135"/>
      <c r="C46" s="123" t="s">
        <v>13</v>
      </c>
      <c r="D46" s="92" t="s">
        <v>25</v>
      </c>
      <c r="E46" s="94">
        <v>28.3</v>
      </c>
      <c r="F46" s="94">
        <f>E46*F44</f>
        <v>5.4336000000000002</v>
      </c>
      <c r="G46" s="94"/>
      <c r="H46" s="94"/>
      <c r="I46" s="94"/>
      <c r="J46" s="94"/>
      <c r="K46" s="94"/>
      <c r="L46" s="94"/>
      <c r="M46" s="94"/>
    </row>
    <row r="47" spans="1:13">
      <c r="A47" s="92" t="s">
        <v>206</v>
      </c>
      <c r="B47" s="135" t="s">
        <v>374</v>
      </c>
      <c r="C47" s="123" t="s">
        <v>166</v>
      </c>
      <c r="D47" s="92" t="s">
        <v>329</v>
      </c>
      <c r="E47" s="94">
        <v>102</v>
      </c>
      <c r="F47" s="94">
        <f>E47*F44</f>
        <v>19.584</v>
      </c>
      <c r="G47" s="94"/>
      <c r="H47" s="94"/>
      <c r="I47" s="94"/>
      <c r="J47" s="94"/>
      <c r="K47" s="94"/>
      <c r="L47" s="94"/>
      <c r="M47" s="94"/>
    </row>
    <row r="48" spans="1:13">
      <c r="A48" s="92" t="s">
        <v>207</v>
      </c>
      <c r="B48" s="135"/>
      <c r="C48" s="123" t="s">
        <v>14</v>
      </c>
      <c r="D48" s="92" t="s">
        <v>25</v>
      </c>
      <c r="E48" s="94">
        <v>62</v>
      </c>
      <c r="F48" s="94">
        <f>E48*F44</f>
        <v>11.904</v>
      </c>
      <c r="G48" s="94"/>
      <c r="H48" s="94"/>
      <c r="I48" s="94"/>
      <c r="J48" s="94"/>
      <c r="K48" s="94"/>
      <c r="L48" s="94"/>
      <c r="M48" s="94"/>
    </row>
    <row r="49" spans="1:13">
      <c r="A49" s="92"/>
      <c r="B49" s="135"/>
      <c r="C49" s="123"/>
      <c r="D49" s="92"/>
      <c r="E49" s="94"/>
      <c r="F49" s="94"/>
      <c r="G49" s="94"/>
      <c r="H49" s="94"/>
      <c r="I49" s="94"/>
      <c r="J49" s="94"/>
      <c r="K49" s="94"/>
      <c r="L49" s="94"/>
      <c r="M49" s="94"/>
    </row>
    <row r="50" spans="1:13">
      <c r="A50" s="92">
        <v>1.9</v>
      </c>
      <c r="B50" s="135" t="s">
        <v>375</v>
      </c>
      <c r="C50" s="136" t="s">
        <v>299</v>
      </c>
      <c r="D50" s="92" t="s">
        <v>329</v>
      </c>
      <c r="E50" s="94"/>
      <c r="F50" s="94">
        <v>71.52</v>
      </c>
      <c r="G50" s="94"/>
      <c r="H50" s="94"/>
      <c r="I50" s="94"/>
      <c r="J50" s="94"/>
      <c r="K50" s="94"/>
      <c r="L50" s="94"/>
      <c r="M50" s="94"/>
    </row>
    <row r="51" spans="1:13">
      <c r="A51" s="92"/>
      <c r="B51" s="135"/>
      <c r="C51" s="123"/>
      <c r="D51" s="92" t="s">
        <v>342</v>
      </c>
      <c r="E51" s="94"/>
      <c r="F51" s="108">
        <f>F50/100</f>
        <v>0.71519999999999995</v>
      </c>
      <c r="G51" s="94"/>
      <c r="H51" s="94"/>
      <c r="I51" s="94"/>
      <c r="J51" s="94"/>
      <c r="K51" s="94"/>
      <c r="L51" s="94"/>
      <c r="M51" s="94"/>
    </row>
    <row r="52" spans="1:13">
      <c r="A52" s="92" t="s">
        <v>65</v>
      </c>
      <c r="B52" s="135"/>
      <c r="C52" s="123" t="s">
        <v>15</v>
      </c>
      <c r="D52" s="92" t="s">
        <v>1</v>
      </c>
      <c r="E52" s="94">
        <v>187</v>
      </c>
      <c r="F52" s="94">
        <f>E52*F51</f>
        <v>133.7424</v>
      </c>
      <c r="G52" s="94"/>
      <c r="H52" s="94"/>
      <c r="I52" s="94"/>
      <c r="J52" s="94"/>
      <c r="K52" s="94"/>
      <c r="L52" s="94"/>
      <c r="M52" s="94"/>
    </row>
    <row r="53" spans="1:13">
      <c r="A53" s="92" t="s">
        <v>66</v>
      </c>
      <c r="B53" s="135"/>
      <c r="C53" s="123" t="s">
        <v>13</v>
      </c>
      <c r="D53" s="92" t="s">
        <v>25</v>
      </c>
      <c r="E53" s="94">
        <v>77</v>
      </c>
      <c r="F53" s="94">
        <f>E53*F51</f>
        <v>55.070399999999999</v>
      </c>
      <c r="G53" s="94"/>
      <c r="H53" s="94"/>
      <c r="I53" s="94"/>
      <c r="J53" s="94"/>
      <c r="K53" s="94"/>
      <c r="L53" s="94"/>
      <c r="M53" s="94"/>
    </row>
    <row r="54" spans="1:13">
      <c r="A54" s="92" t="s">
        <v>208</v>
      </c>
      <c r="B54" s="135" t="s">
        <v>376</v>
      </c>
      <c r="C54" s="123" t="s">
        <v>177</v>
      </c>
      <c r="D54" s="92" t="s">
        <v>329</v>
      </c>
      <c r="E54" s="94">
        <v>101.5</v>
      </c>
      <c r="F54" s="94">
        <f>E54*F51</f>
        <v>72.592799999999997</v>
      </c>
      <c r="G54" s="94"/>
      <c r="H54" s="94"/>
      <c r="I54" s="94"/>
      <c r="J54" s="94"/>
      <c r="K54" s="94"/>
      <c r="L54" s="94"/>
      <c r="M54" s="94"/>
    </row>
    <row r="55" spans="1:13">
      <c r="A55" s="92" t="s">
        <v>209</v>
      </c>
      <c r="B55" s="135" t="s">
        <v>348</v>
      </c>
      <c r="C55" s="123" t="s">
        <v>349</v>
      </c>
      <c r="D55" s="92" t="s">
        <v>23</v>
      </c>
      <c r="E55" s="94" t="s">
        <v>91</v>
      </c>
      <c r="F55" s="108">
        <v>0.64400000000000002</v>
      </c>
      <c r="G55" s="94"/>
      <c r="H55" s="94"/>
      <c r="I55" s="94"/>
      <c r="J55" s="94"/>
      <c r="K55" s="122"/>
      <c r="L55" s="94"/>
      <c r="M55" s="94"/>
    </row>
    <row r="56" spans="1:13">
      <c r="A56" s="92" t="s">
        <v>209</v>
      </c>
      <c r="B56" s="135" t="s">
        <v>350</v>
      </c>
      <c r="C56" s="123" t="s">
        <v>127</v>
      </c>
      <c r="D56" s="92" t="s">
        <v>23</v>
      </c>
      <c r="E56" s="94" t="s">
        <v>91</v>
      </c>
      <c r="F56" s="108">
        <v>6.4370000000000003</v>
      </c>
      <c r="G56" s="94"/>
      <c r="H56" s="94"/>
      <c r="I56" s="94"/>
      <c r="J56" s="94"/>
      <c r="K56" s="122"/>
      <c r="L56" s="94"/>
      <c r="M56" s="94"/>
    </row>
    <row r="57" spans="1:13">
      <c r="A57" s="92" t="s">
        <v>210</v>
      </c>
      <c r="B57" s="135" t="s">
        <v>351</v>
      </c>
      <c r="C57" s="123" t="s">
        <v>352</v>
      </c>
      <c r="D57" s="92" t="s">
        <v>337</v>
      </c>
      <c r="E57" s="94">
        <v>7.54</v>
      </c>
      <c r="F57" s="94">
        <f>E57*F51</f>
        <v>5.3926080000000001</v>
      </c>
      <c r="G57" s="94"/>
      <c r="H57" s="94"/>
      <c r="I57" s="94"/>
      <c r="J57" s="94"/>
      <c r="K57" s="94"/>
      <c r="L57" s="94"/>
      <c r="M57" s="94"/>
    </row>
    <row r="58" spans="1:13">
      <c r="A58" s="92" t="s">
        <v>211</v>
      </c>
      <c r="B58" s="135" t="s">
        <v>353</v>
      </c>
      <c r="C58" s="123" t="s">
        <v>437</v>
      </c>
      <c r="D58" s="92" t="s">
        <v>329</v>
      </c>
      <c r="E58" s="94">
        <v>0.08</v>
      </c>
      <c r="F58" s="94">
        <f>E58*F51</f>
        <v>5.7215999999999996E-2</v>
      </c>
      <c r="G58" s="94"/>
      <c r="H58" s="94"/>
      <c r="I58" s="94"/>
      <c r="J58" s="94"/>
      <c r="K58" s="94"/>
      <c r="L58" s="94"/>
      <c r="M58" s="94"/>
    </row>
    <row r="59" spans="1:13">
      <c r="A59" s="92" t="s">
        <v>226</v>
      </c>
      <c r="B59" s="135"/>
      <c r="C59" s="123" t="s">
        <v>14</v>
      </c>
      <c r="D59" s="92" t="s">
        <v>25</v>
      </c>
      <c r="E59" s="94">
        <v>7</v>
      </c>
      <c r="F59" s="94">
        <f>E59*F51</f>
        <v>5.0063999999999993</v>
      </c>
      <c r="G59" s="94"/>
      <c r="H59" s="94"/>
      <c r="I59" s="94"/>
      <c r="J59" s="94"/>
      <c r="K59" s="94"/>
      <c r="L59" s="94"/>
      <c r="M59" s="94"/>
    </row>
    <row r="60" spans="1:13">
      <c r="A60" s="92"/>
      <c r="B60" s="135"/>
      <c r="C60" s="123"/>
      <c r="D60" s="92"/>
      <c r="E60" s="94"/>
      <c r="F60" s="94"/>
      <c r="G60" s="94"/>
      <c r="H60" s="94"/>
      <c r="I60" s="94"/>
      <c r="J60" s="94"/>
      <c r="K60" s="94"/>
      <c r="L60" s="94"/>
      <c r="M60" s="94"/>
    </row>
    <row r="61" spans="1:13">
      <c r="A61" s="93">
        <v>1.1000000000000001</v>
      </c>
      <c r="B61" s="135" t="s">
        <v>377</v>
      </c>
      <c r="C61" s="123" t="s">
        <v>438</v>
      </c>
      <c r="D61" s="92" t="s">
        <v>329</v>
      </c>
      <c r="E61" s="94"/>
      <c r="F61" s="94">
        <v>84</v>
      </c>
      <c r="G61" s="94"/>
      <c r="H61" s="94"/>
      <c r="I61" s="94"/>
      <c r="J61" s="94"/>
      <c r="K61" s="94"/>
      <c r="L61" s="94"/>
      <c r="M61" s="94"/>
    </row>
    <row r="62" spans="1:13">
      <c r="A62" s="92"/>
      <c r="B62" s="135"/>
      <c r="C62" s="123"/>
      <c r="D62" s="92" t="s">
        <v>342</v>
      </c>
      <c r="E62" s="94"/>
      <c r="F62" s="108">
        <f>F61/100</f>
        <v>0.84</v>
      </c>
      <c r="G62" s="94"/>
      <c r="H62" s="94"/>
      <c r="I62" s="94"/>
      <c r="J62" s="94"/>
      <c r="K62" s="94"/>
      <c r="L62" s="94"/>
      <c r="M62" s="94"/>
    </row>
    <row r="63" spans="1:13">
      <c r="A63" s="92" t="s">
        <v>67</v>
      </c>
      <c r="B63" s="135"/>
      <c r="C63" s="123" t="s">
        <v>40</v>
      </c>
      <c r="D63" s="92" t="s">
        <v>1</v>
      </c>
      <c r="E63" s="94">
        <v>599</v>
      </c>
      <c r="F63" s="94">
        <f>E63*F62</f>
        <v>503.15999999999997</v>
      </c>
      <c r="G63" s="94"/>
      <c r="H63" s="94"/>
      <c r="I63" s="94"/>
      <c r="J63" s="94"/>
      <c r="K63" s="94"/>
      <c r="L63" s="94"/>
      <c r="M63" s="94"/>
    </row>
    <row r="64" spans="1:13">
      <c r="A64" s="92" t="s">
        <v>68</v>
      </c>
      <c r="B64" s="135"/>
      <c r="C64" s="137" t="s">
        <v>124</v>
      </c>
      <c r="D64" s="138" t="s">
        <v>24</v>
      </c>
      <c r="E64" s="139">
        <v>0</v>
      </c>
      <c r="F64" s="139">
        <f>E64*F62</f>
        <v>0</v>
      </c>
      <c r="G64" s="139"/>
      <c r="H64" s="139"/>
      <c r="I64" s="139"/>
      <c r="J64" s="139"/>
      <c r="K64" s="139"/>
      <c r="L64" s="139"/>
      <c r="M64" s="139"/>
    </row>
    <row r="65" spans="1:13">
      <c r="A65" s="92" t="s">
        <v>212</v>
      </c>
      <c r="B65" s="135"/>
      <c r="C65" s="123" t="s">
        <v>439</v>
      </c>
      <c r="D65" s="92" t="s">
        <v>25</v>
      </c>
      <c r="E65" s="94">
        <v>109</v>
      </c>
      <c r="F65" s="94">
        <f>E65*F62</f>
        <v>91.56</v>
      </c>
      <c r="G65" s="94"/>
      <c r="H65" s="94"/>
      <c r="I65" s="94"/>
      <c r="J65" s="94"/>
      <c r="K65" s="94"/>
      <c r="L65" s="94"/>
      <c r="M65" s="94"/>
    </row>
    <row r="66" spans="1:13">
      <c r="A66" s="92" t="s">
        <v>213</v>
      </c>
      <c r="B66" s="135" t="s">
        <v>376</v>
      </c>
      <c r="C66" s="123" t="s">
        <v>177</v>
      </c>
      <c r="D66" s="92" t="s">
        <v>329</v>
      </c>
      <c r="E66" s="94">
        <v>101.5</v>
      </c>
      <c r="F66" s="94">
        <f>E66*F62</f>
        <v>85.259999999999991</v>
      </c>
      <c r="G66" s="94"/>
      <c r="H66" s="94"/>
      <c r="I66" s="94"/>
      <c r="J66" s="94"/>
      <c r="K66" s="94"/>
      <c r="L66" s="94"/>
      <c r="M66" s="94"/>
    </row>
    <row r="67" spans="1:13">
      <c r="A67" s="92" t="s">
        <v>256</v>
      </c>
      <c r="B67" s="135" t="s">
        <v>348</v>
      </c>
      <c r="C67" s="123" t="s">
        <v>349</v>
      </c>
      <c r="D67" s="92" t="s">
        <v>23</v>
      </c>
      <c r="E67" s="94" t="s">
        <v>91</v>
      </c>
      <c r="F67" s="108">
        <v>0.75600000000000001</v>
      </c>
      <c r="G67" s="94"/>
      <c r="H67" s="94"/>
      <c r="I67" s="94"/>
      <c r="J67" s="94"/>
      <c r="K67" s="122"/>
      <c r="L67" s="94"/>
      <c r="M67" s="94"/>
    </row>
    <row r="68" spans="1:13">
      <c r="A68" s="92" t="s">
        <v>256</v>
      </c>
      <c r="B68" s="135" t="s">
        <v>350</v>
      </c>
      <c r="C68" s="123" t="s">
        <v>127</v>
      </c>
      <c r="D68" s="92" t="s">
        <v>23</v>
      </c>
      <c r="E68" s="122" t="s">
        <v>91</v>
      </c>
      <c r="F68" s="108">
        <v>7.56</v>
      </c>
      <c r="G68" s="94"/>
      <c r="H68" s="94"/>
      <c r="I68" s="94"/>
      <c r="J68" s="94"/>
      <c r="K68" s="122"/>
      <c r="L68" s="94"/>
      <c r="M68" s="94"/>
    </row>
    <row r="69" spans="1:13">
      <c r="A69" s="92" t="s">
        <v>300</v>
      </c>
      <c r="B69" s="135"/>
      <c r="C69" s="137" t="s">
        <v>122</v>
      </c>
      <c r="D69" s="138" t="s">
        <v>329</v>
      </c>
      <c r="E69" s="139">
        <v>0</v>
      </c>
      <c r="F69" s="139">
        <f>E69*F62</f>
        <v>0</v>
      </c>
      <c r="G69" s="139"/>
      <c r="H69" s="139"/>
      <c r="I69" s="139"/>
      <c r="J69" s="139"/>
      <c r="K69" s="139"/>
      <c r="L69" s="139"/>
      <c r="M69" s="139"/>
    </row>
    <row r="70" spans="1:13">
      <c r="A70" s="92" t="s">
        <v>301</v>
      </c>
      <c r="B70" s="135"/>
      <c r="C70" s="137" t="s">
        <v>125</v>
      </c>
      <c r="D70" s="138" t="s">
        <v>329</v>
      </c>
      <c r="E70" s="139">
        <v>0</v>
      </c>
      <c r="F70" s="139">
        <f>E70*F62</f>
        <v>0</v>
      </c>
      <c r="G70" s="139"/>
      <c r="H70" s="139"/>
      <c r="I70" s="139"/>
      <c r="J70" s="139"/>
      <c r="K70" s="139"/>
      <c r="L70" s="139"/>
      <c r="M70" s="139"/>
    </row>
    <row r="71" spans="1:13">
      <c r="A71" s="92" t="s">
        <v>302</v>
      </c>
      <c r="B71" s="135" t="s">
        <v>351</v>
      </c>
      <c r="C71" s="123" t="s">
        <v>352</v>
      </c>
      <c r="D71" s="92" t="s">
        <v>337</v>
      </c>
      <c r="E71" s="94">
        <v>118</v>
      </c>
      <c r="F71" s="94">
        <f>E71*F62</f>
        <v>99.11999999999999</v>
      </c>
      <c r="G71" s="94"/>
      <c r="H71" s="94"/>
      <c r="I71" s="94"/>
      <c r="J71" s="94"/>
      <c r="K71" s="94"/>
      <c r="L71" s="94"/>
      <c r="M71" s="94"/>
    </row>
    <row r="72" spans="1:13">
      <c r="A72" s="92" t="s">
        <v>303</v>
      </c>
      <c r="B72" s="135" t="s">
        <v>353</v>
      </c>
      <c r="C72" s="123" t="s">
        <v>437</v>
      </c>
      <c r="D72" s="92" t="s">
        <v>329</v>
      </c>
      <c r="E72" s="94">
        <f>0.21+2.78</f>
        <v>2.9899999999999998</v>
      </c>
      <c r="F72" s="94">
        <f>E72*F62</f>
        <v>2.5115999999999996</v>
      </c>
      <c r="G72" s="94"/>
      <c r="H72" s="94"/>
      <c r="I72" s="94"/>
      <c r="J72" s="94"/>
      <c r="K72" s="94"/>
      <c r="L72" s="94"/>
      <c r="M72" s="94"/>
    </row>
    <row r="73" spans="1:13">
      <c r="A73" s="92" t="s">
        <v>354</v>
      </c>
      <c r="B73" s="135" t="s">
        <v>355</v>
      </c>
      <c r="C73" s="123" t="s">
        <v>356</v>
      </c>
      <c r="D73" s="92" t="s">
        <v>357</v>
      </c>
      <c r="E73" s="94">
        <v>110</v>
      </c>
      <c r="F73" s="94">
        <f>E73*F62</f>
        <v>92.399999999999991</v>
      </c>
      <c r="G73" s="94"/>
      <c r="H73" s="94"/>
      <c r="I73" s="94"/>
      <c r="J73" s="94"/>
      <c r="K73" s="94"/>
      <c r="L73" s="94"/>
      <c r="M73" s="94"/>
    </row>
    <row r="74" spans="1:13">
      <c r="A74" s="92" t="s">
        <v>378</v>
      </c>
      <c r="B74" s="135" t="s">
        <v>379</v>
      </c>
      <c r="C74" s="123" t="s">
        <v>380</v>
      </c>
      <c r="D74" s="92" t="s">
        <v>357</v>
      </c>
      <c r="E74" s="94">
        <v>140</v>
      </c>
      <c r="F74" s="94">
        <f>E74*F62</f>
        <v>117.6</v>
      </c>
      <c r="G74" s="94"/>
      <c r="H74" s="94"/>
      <c r="I74" s="94"/>
      <c r="J74" s="94"/>
      <c r="K74" s="94"/>
      <c r="L74" s="94"/>
      <c r="M74" s="94"/>
    </row>
    <row r="75" spans="1:13">
      <c r="A75" s="92" t="s">
        <v>381</v>
      </c>
      <c r="B75" s="135"/>
      <c r="C75" s="123" t="s">
        <v>101</v>
      </c>
      <c r="D75" s="92" t="s">
        <v>25</v>
      </c>
      <c r="E75" s="94">
        <v>32</v>
      </c>
      <c r="F75" s="94">
        <f>E75*F62</f>
        <v>26.88</v>
      </c>
      <c r="G75" s="94"/>
      <c r="H75" s="94"/>
      <c r="I75" s="94"/>
      <c r="J75" s="94"/>
      <c r="K75" s="94"/>
      <c r="L75" s="94"/>
      <c r="M75" s="94"/>
    </row>
    <row r="76" spans="1:13">
      <c r="A76" s="92"/>
      <c r="B76" s="135"/>
      <c r="C76" s="123"/>
      <c r="D76" s="92"/>
      <c r="E76" s="94"/>
      <c r="F76" s="94"/>
      <c r="G76" s="94"/>
      <c r="H76" s="94"/>
      <c r="I76" s="94"/>
      <c r="J76" s="94"/>
      <c r="K76" s="94"/>
      <c r="L76" s="94"/>
      <c r="M76" s="94"/>
    </row>
    <row r="77" spans="1:13">
      <c r="A77" s="93">
        <v>1.1100000000000001</v>
      </c>
      <c r="B77" s="98" t="s">
        <v>383</v>
      </c>
      <c r="C77" s="136" t="s">
        <v>257</v>
      </c>
      <c r="D77" s="92" t="s">
        <v>337</v>
      </c>
      <c r="E77" s="94"/>
      <c r="F77" s="94">
        <v>336</v>
      </c>
      <c r="G77" s="94"/>
      <c r="H77" s="94"/>
      <c r="I77" s="94"/>
      <c r="J77" s="94"/>
      <c r="K77" s="94"/>
      <c r="L77" s="94"/>
      <c r="M77" s="94"/>
    </row>
    <row r="78" spans="1:13">
      <c r="A78" s="93"/>
      <c r="B78" s="98"/>
      <c r="C78" s="123"/>
      <c r="D78" s="92" t="s">
        <v>384</v>
      </c>
      <c r="E78" s="94"/>
      <c r="F78" s="108">
        <f>F77/100</f>
        <v>3.36</v>
      </c>
      <c r="G78" s="94"/>
      <c r="H78" s="94"/>
      <c r="I78" s="94"/>
      <c r="J78" s="94"/>
      <c r="K78" s="94"/>
      <c r="L78" s="94"/>
      <c r="M78" s="94"/>
    </row>
    <row r="79" spans="1:13">
      <c r="A79" s="92" t="s">
        <v>69</v>
      </c>
      <c r="B79" s="98"/>
      <c r="C79" s="123" t="s">
        <v>15</v>
      </c>
      <c r="D79" s="92" t="s">
        <v>1</v>
      </c>
      <c r="E79" s="94">
        <v>33.6</v>
      </c>
      <c r="F79" s="94">
        <f>E79*F78</f>
        <v>112.896</v>
      </c>
      <c r="G79" s="94"/>
      <c r="H79" s="94"/>
      <c r="I79" s="94"/>
      <c r="J79" s="94"/>
      <c r="K79" s="94"/>
      <c r="L79" s="94"/>
      <c r="M79" s="94"/>
    </row>
    <row r="80" spans="1:13">
      <c r="A80" s="92" t="s">
        <v>198</v>
      </c>
      <c r="B80" s="98"/>
      <c r="C80" s="123" t="s">
        <v>13</v>
      </c>
      <c r="D80" s="92" t="s">
        <v>25</v>
      </c>
      <c r="E80" s="94">
        <v>1.5</v>
      </c>
      <c r="F80" s="94">
        <f>E80*F78</f>
        <v>5.04</v>
      </c>
      <c r="G80" s="94"/>
      <c r="H80" s="94"/>
      <c r="I80" s="94"/>
      <c r="J80" s="94"/>
      <c r="K80" s="94"/>
      <c r="L80" s="94"/>
      <c r="M80" s="94"/>
    </row>
    <row r="81" spans="1:13">
      <c r="A81" s="92" t="s">
        <v>264</v>
      </c>
      <c r="B81" s="98" t="s">
        <v>385</v>
      </c>
      <c r="C81" s="123" t="s">
        <v>386</v>
      </c>
      <c r="D81" s="92" t="s">
        <v>23</v>
      </c>
      <c r="E81" s="94">
        <v>0.24</v>
      </c>
      <c r="F81" s="94">
        <f>E81*F78</f>
        <v>0.80639999999999989</v>
      </c>
      <c r="G81" s="94"/>
      <c r="H81" s="94"/>
      <c r="I81" s="94"/>
      <c r="J81" s="94"/>
      <c r="K81" s="94"/>
      <c r="L81" s="94"/>
      <c r="M81" s="94"/>
    </row>
    <row r="82" spans="1:13">
      <c r="A82" s="92" t="s">
        <v>265</v>
      </c>
      <c r="B82" s="98"/>
      <c r="C82" s="137" t="s">
        <v>104</v>
      </c>
      <c r="D82" s="138" t="s">
        <v>329</v>
      </c>
      <c r="E82" s="139">
        <v>0</v>
      </c>
      <c r="F82" s="139">
        <f>E82*F78</f>
        <v>0</v>
      </c>
      <c r="G82" s="139"/>
      <c r="H82" s="139"/>
      <c r="I82" s="139"/>
      <c r="J82" s="139"/>
      <c r="K82" s="139"/>
      <c r="L82" s="139"/>
      <c r="M82" s="139"/>
    </row>
    <row r="83" spans="1:13">
      <c r="A83" s="92" t="s">
        <v>304</v>
      </c>
      <c r="B83" s="98"/>
      <c r="C83" s="123" t="s">
        <v>101</v>
      </c>
      <c r="D83" s="92" t="s">
        <v>25</v>
      </c>
      <c r="E83" s="94">
        <v>2.2799999999999998</v>
      </c>
      <c r="F83" s="94">
        <f>E83*F78</f>
        <v>7.6607999999999992</v>
      </c>
      <c r="G83" s="94"/>
      <c r="H83" s="94"/>
      <c r="I83" s="94"/>
      <c r="J83" s="94"/>
      <c r="K83" s="94"/>
      <c r="L83" s="94"/>
      <c r="M83" s="94"/>
    </row>
    <row r="84" spans="1:13">
      <c r="A84" s="92"/>
      <c r="B84" s="98"/>
      <c r="C84" s="123"/>
      <c r="D84" s="92"/>
      <c r="E84" s="94"/>
      <c r="F84" s="94"/>
      <c r="G84" s="94"/>
      <c r="H84" s="94"/>
      <c r="I84" s="94"/>
      <c r="J84" s="94"/>
      <c r="K84" s="94"/>
      <c r="L84" s="94"/>
      <c r="M84" s="94"/>
    </row>
    <row r="85" spans="1:13">
      <c r="A85" s="93">
        <v>1.1200000000000001</v>
      </c>
      <c r="B85" s="98" t="s">
        <v>387</v>
      </c>
      <c r="C85" s="123" t="s">
        <v>259</v>
      </c>
      <c r="D85" s="92" t="s">
        <v>337</v>
      </c>
      <c r="E85" s="94"/>
      <c r="F85" s="94">
        <v>672</v>
      </c>
      <c r="G85" s="94"/>
      <c r="H85" s="94"/>
      <c r="I85" s="94"/>
      <c r="J85" s="94"/>
      <c r="K85" s="94"/>
      <c r="L85" s="94"/>
      <c r="M85" s="94"/>
    </row>
    <row r="86" spans="1:13">
      <c r="A86" s="93"/>
      <c r="B86" s="98" t="s">
        <v>388</v>
      </c>
      <c r="C86" s="123"/>
      <c r="D86" s="92" t="s">
        <v>384</v>
      </c>
      <c r="E86" s="94"/>
      <c r="F86" s="108">
        <f>F85/100</f>
        <v>6.72</v>
      </c>
      <c r="G86" s="94"/>
      <c r="H86" s="94"/>
      <c r="I86" s="94"/>
      <c r="J86" s="94"/>
      <c r="K86" s="94"/>
      <c r="L86" s="94"/>
      <c r="M86" s="94"/>
    </row>
    <row r="87" spans="1:13">
      <c r="A87" s="92" t="s">
        <v>214</v>
      </c>
      <c r="B87" s="98"/>
      <c r="C87" s="123" t="s">
        <v>15</v>
      </c>
      <c r="D87" s="92" t="s">
        <v>1</v>
      </c>
      <c r="E87" s="94">
        <f>95.94-14.36</f>
        <v>81.58</v>
      </c>
      <c r="F87" s="94">
        <f>E87*F86</f>
        <v>548.21759999999995</v>
      </c>
      <c r="G87" s="94"/>
      <c r="H87" s="94"/>
      <c r="I87" s="94"/>
      <c r="J87" s="94"/>
      <c r="K87" s="94"/>
      <c r="L87" s="94"/>
      <c r="M87" s="94"/>
    </row>
    <row r="88" spans="1:13">
      <c r="A88" s="92" t="s">
        <v>215</v>
      </c>
      <c r="B88" s="98"/>
      <c r="C88" s="137" t="s">
        <v>13</v>
      </c>
      <c r="D88" s="138" t="s">
        <v>25</v>
      </c>
      <c r="E88" s="139">
        <v>0</v>
      </c>
      <c r="F88" s="139">
        <f>E88*F86</f>
        <v>0</v>
      </c>
      <c r="G88" s="139"/>
      <c r="H88" s="139"/>
      <c r="I88" s="139"/>
      <c r="J88" s="139"/>
      <c r="K88" s="139"/>
      <c r="L88" s="139"/>
      <c r="M88" s="139"/>
    </row>
    <row r="89" spans="1:13">
      <c r="A89" s="92" t="s">
        <v>262</v>
      </c>
      <c r="B89" s="98" t="s">
        <v>389</v>
      </c>
      <c r="C89" s="123" t="s">
        <v>258</v>
      </c>
      <c r="D89" s="92" t="s">
        <v>337</v>
      </c>
      <c r="E89" s="94">
        <v>206</v>
      </c>
      <c r="F89" s="94">
        <f>E89*F86</f>
        <v>1384.32</v>
      </c>
      <c r="G89" s="94"/>
      <c r="H89" s="94"/>
      <c r="I89" s="94"/>
      <c r="J89" s="94"/>
      <c r="K89" s="94"/>
      <c r="L89" s="94"/>
      <c r="M89" s="94"/>
    </row>
    <row r="90" spans="1:13">
      <c r="A90" s="92" t="s">
        <v>263</v>
      </c>
      <c r="B90" s="98"/>
      <c r="C90" s="137" t="s">
        <v>101</v>
      </c>
      <c r="D90" s="138" t="s">
        <v>25</v>
      </c>
      <c r="E90" s="139">
        <v>0</v>
      </c>
      <c r="F90" s="139">
        <f>E90*F86</f>
        <v>0</v>
      </c>
      <c r="G90" s="139"/>
      <c r="H90" s="139"/>
      <c r="I90" s="139"/>
      <c r="J90" s="139"/>
      <c r="K90" s="139"/>
      <c r="L90" s="139"/>
      <c r="M90" s="139"/>
    </row>
    <row r="91" spans="1:13">
      <c r="A91" s="92"/>
      <c r="B91" s="98"/>
      <c r="C91" s="123"/>
      <c r="D91" s="92"/>
      <c r="E91" s="94"/>
      <c r="F91" s="94"/>
      <c r="G91" s="94"/>
      <c r="H91" s="94"/>
      <c r="I91" s="94"/>
      <c r="J91" s="94"/>
      <c r="K91" s="94"/>
      <c r="L91" s="94"/>
      <c r="M91" s="94"/>
    </row>
    <row r="92" spans="1:13">
      <c r="A92" s="92">
        <v>1.1299999999999999</v>
      </c>
      <c r="B92" s="98" t="s">
        <v>390</v>
      </c>
      <c r="C92" s="123" t="s">
        <v>260</v>
      </c>
      <c r="D92" s="92" t="s">
        <v>337</v>
      </c>
      <c r="E92" s="94"/>
      <c r="F92" s="94">
        <v>240</v>
      </c>
      <c r="G92" s="94"/>
      <c r="H92" s="94"/>
      <c r="I92" s="94"/>
      <c r="J92" s="94"/>
      <c r="K92" s="94"/>
      <c r="L92" s="94"/>
      <c r="M92" s="94"/>
    </row>
    <row r="93" spans="1:13" s="71" customFormat="1">
      <c r="A93" s="92"/>
      <c r="B93" s="98"/>
      <c r="C93" s="123"/>
      <c r="D93" s="92" t="s">
        <v>384</v>
      </c>
      <c r="E93" s="94"/>
      <c r="F93" s="108">
        <f>F92/100</f>
        <v>2.4</v>
      </c>
      <c r="G93" s="94"/>
      <c r="H93" s="94"/>
      <c r="I93" s="94"/>
      <c r="J93" s="94"/>
      <c r="K93" s="94"/>
      <c r="L93" s="94"/>
      <c r="M93" s="94"/>
    </row>
    <row r="94" spans="1:13" s="71" customFormat="1">
      <c r="A94" s="92" t="s">
        <v>70</v>
      </c>
      <c r="B94" s="98"/>
      <c r="C94" s="123" t="s">
        <v>15</v>
      </c>
      <c r="D94" s="92" t="s">
        <v>1</v>
      </c>
      <c r="E94" s="94">
        <v>7</v>
      </c>
      <c r="F94" s="94">
        <f>E94*F93</f>
        <v>16.8</v>
      </c>
      <c r="G94" s="94"/>
      <c r="H94" s="94"/>
      <c r="I94" s="94"/>
      <c r="J94" s="94"/>
      <c r="K94" s="94"/>
      <c r="L94" s="94"/>
      <c r="M94" s="94"/>
    </row>
    <row r="95" spans="1:13" s="71" customFormat="1">
      <c r="A95" s="92" t="s">
        <v>71</v>
      </c>
      <c r="B95" s="98"/>
      <c r="C95" s="137" t="s">
        <v>13</v>
      </c>
      <c r="D95" s="138" t="s">
        <v>25</v>
      </c>
      <c r="E95" s="139">
        <v>0</v>
      </c>
      <c r="F95" s="139">
        <f>E95*F93</f>
        <v>0</v>
      </c>
      <c r="G95" s="139"/>
      <c r="H95" s="139"/>
      <c r="I95" s="139"/>
      <c r="J95" s="139"/>
      <c r="K95" s="139"/>
      <c r="L95" s="139"/>
      <c r="M95" s="139"/>
    </row>
    <row r="96" spans="1:13" s="71" customFormat="1">
      <c r="A96" s="92" t="s">
        <v>293</v>
      </c>
      <c r="B96" s="98" t="s">
        <v>391</v>
      </c>
      <c r="C96" s="123" t="s">
        <v>261</v>
      </c>
      <c r="D96" s="92" t="s">
        <v>337</v>
      </c>
      <c r="E96" s="94">
        <v>115</v>
      </c>
      <c r="F96" s="94">
        <f>E96*F93</f>
        <v>276</v>
      </c>
      <c r="G96" s="94"/>
      <c r="H96" s="94"/>
      <c r="I96" s="94"/>
      <c r="J96" s="94"/>
      <c r="K96" s="94"/>
      <c r="L96" s="94"/>
      <c r="M96" s="94"/>
    </row>
    <row r="97" spans="1:13" s="71" customFormat="1">
      <c r="A97" s="92" t="s">
        <v>294</v>
      </c>
      <c r="B97" s="98"/>
      <c r="C97" s="137" t="s">
        <v>101</v>
      </c>
      <c r="D97" s="138" t="s">
        <v>25</v>
      </c>
      <c r="E97" s="139">
        <v>0</v>
      </c>
      <c r="F97" s="139">
        <f>E97*F93</f>
        <v>0</v>
      </c>
      <c r="G97" s="139"/>
      <c r="H97" s="139"/>
      <c r="I97" s="139"/>
      <c r="J97" s="139"/>
      <c r="K97" s="139"/>
      <c r="L97" s="139"/>
      <c r="M97" s="139"/>
    </row>
    <row r="98" spans="1:13">
      <c r="A98" s="92" t="s">
        <v>392</v>
      </c>
      <c r="B98" s="98" t="s">
        <v>393</v>
      </c>
      <c r="C98" s="109" t="s">
        <v>394</v>
      </c>
      <c r="D98" s="92" t="s">
        <v>395</v>
      </c>
      <c r="E98" s="94">
        <v>400</v>
      </c>
      <c r="F98" s="94">
        <f>E98*F93</f>
        <v>960</v>
      </c>
      <c r="G98" s="94"/>
      <c r="H98" s="94"/>
      <c r="I98" s="94"/>
      <c r="J98" s="94"/>
      <c r="K98" s="94"/>
      <c r="L98" s="94"/>
      <c r="M98" s="94"/>
    </row>
    <row r="99" spans="1:13">
      <c r="A99" s="92"/>
      <c r="B99" s="98"/>
      <c r="C99" s="123"/>
      <c r="D99" s="92"/>
      <c r="E99" s="94"/>
      <c r="F99" s="94"/>
      <c r="G99" s="94"/>
      <c r="H99" s="94"/>
      <c r="I99" s="94"/>
      <c r="J99" s="94"/>
      <c r="K99" s="94"/>
      <c r="L99" s="94"/>
      <c r="M99" s="94"/>
    </row>
    <row r="100" spans="1:13">
      <c r="A100" s="93">
        <v>1.1399999999999999</v>
      </c>
      <c r="B100" s="98" t="s">
        <v>396</v>
      </c>
      <c r="C100" s="123" t="s">
        <v>266</v>
      </c>
      <c r="D100" s="92" t="s">
        <v>329</v>
      </c>
      <c r="E100" s="94"/>
      <c r="F100" s="94">
        <v>144</v>
      </c>
      <c r="G100" s="94"/>
      <c r="H100" s="94"/>
      <c r="I100" s="94"/>
      <c r="J100" s="94"/>
      <c r="K100" s="94"/>
      <c r="L100" s="94"/>
      <c r="M100" s="94"/>
    </row>
    <row r="101" spans="1:13">
      <c r="A101" s="93"/>
      <c r="B101" s="98"/>
      <c r="C101" s="123"/>
      <c r="D101" s="92" t="s">
        <v>397</v>
      </c>
      <c r="E101" s="94"/>
      <c r="F101" s="108">
        <f>F100/10</f>
        <v>14.4</v>
      </c>
      <c r="G101" s="94"/>
      <c r="H101" s="94"/>
      <c r="I101" s="94"/>
      <c r="J101" s="94"/>
      <c r="K101" s="94"/>
      <c r="L101" s="94"/>
      <c r="M101" s="94"/>
    </row>
    <row r="102" spans="1:13">
      <c r="A102" s="92" t="s">
        <v>199</v>
      </c>
      <c r="B102" s="98"/>
      <c r="C102" s="123" t="s">
        <v>15</v>
      </c>
      <c r="D102" s="92" t="s">
        <v>1</v>
      </c>
      <c r="E102" s="94">
        <v>17.8</v>
      </c>
      <c r="F102" s="94">
        <f>E102*F101</f>
        <v>256.32</v>
      </c>
      <c r="G102" s="94"/>
      <c r="H102" s="94"/>
      <c r="I102" s="94"/>
      <c r="J102" s="94"/>
      <c r="K102" s="94"/>
      <c r="L102" s="94"/>
      <c r="M102" s="94"/>
    </row>
    <row r="103" spans="1:13">
      <c r="A103" s="92" t="s">
        <v>219</v>
      </c>
      <c r="B103" s="98" t="s">
        <v>333</v>
      </c>
      <c r="C103" s="109" t="s">
        <v>334</v>
      </c>
      <c r="D103" s="92" t="s">
        <v>329</v>
      </c>
      <c r="E103" s="94">
        <v>11</v>
      </c>
      <c r="F103" s="94">
        <f>E103*F101</f>
        <v>158.4</v>
      </c>
      <c r="G103" s="94"/>
      <c r="H103" s="94"/>
      <c r="I103" s="94"/>
      <c r="J103" s="94"/>
      <c r="K103" s="94"/>
      <c r="L103" s="94"/>
      <c r="M103" s="94"/>
    </row>
    <row r="104" spans="1:13">
      <c r="A104" s="92"/>
      <c r="B104" s="98"/>
      <c r="C104" s="123"/>
      <c r="D104" s="92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>
      <c r="A105" s="92">
        <v>1.1499999999999999</v>
      </c>
      <c r="B105" s="135" t="s">
        <v>398</v>
      </c>
      <c r="C105" s="123" t="s">
        <v>440</v>
      </c>
      <c r="D105" s="92" t="s">
        <v>98</v>
      </c>
      <c r="E105" s="94"/>
      <c r="F105" s="94">
        <v>13</v>
      </c>
      <c r="G105" s="94"/>
      <c r="H105" s="94"/>
      <c r="I105" s="94"/>
      <c r="J105" s="94"/>
      <c r="K105" s="94"/>
      <c r="L105" s="94"/>
      <c r="M105" s="94"/>
    </row>
    <row r="106" spans="1:13">
      <c r="A106" s="92"/>
      <c r="B106" s="135"/>
      <c r="C106" s="123"/>
      <c r="D106" s="92" t="s">
        <v>94</v>
      </c>
      <c r="E106" s="94"/>
      <c r="F106" s="108">
        <f>F105/100</f>
        <v>0.13</v>
      </c>
      <c r="G106" s="94"/>
      <c r="H106" s="94"/>
      <c r="I106" s="94"/>
      <c r="J106" s="94"/>
      <c r="K106" s="94"/>
      <c r="L106" s="94"/>
      <c r="M106" s="94"/>
    </row>
    <row r="107" spans="1:13">
      <c r="A107" s="92" t="s">
        <v>75</v>
      </c>
      <c r="B107" s="135"/>
      <c r="C107" s="123" t="s">
        <v>40</v>
      </c>
      <c r="D107" s="92" t="s">
        <v>1</v>
      </c>
      <c r="E107" s="94">
        <v>33.1</v>
      </c>
      <c r="F107" s="94">
        <f>E107*F106</f>
        <v>4.3029999999999999</v>
      </c>
      <c r="G107" s="94"/>
      <c r="H107" s="94"/>
      <c r="I107" s="94"/>
      <c r="J107" s="94"/>
      <c r="K107" s="94"/>
      <c r="L107" s="94"/>
      <c r="M107" s="94"/>
    </row>
    <row r="108" spans="1:13">
      <c r="A108" s="92" t="s">
        <v>76</v>
      </c>
      <c r="B108" s="135"/>
      <c r="C108" s="123" t="s">
        <v>13</v>
      </c>
      <c r="D108" s="92" t="s">
        <v>25</v>
      </c>
      <c r="E108" s="94">
        <v>0.47</v>
      </c>
      <c r="F108" s="94">
        <f>E108*F106</f>
        <v>6.1100000000000002E-2</v>
      </c>
      <c r="G108" s="94"/>
      <c r="H108" s="94"/>
      <c r="I108" s="94"/>
      <c r="J108" s="94"/>
      <c r="K108" s="94"/>
      <c r="L108" s="94"/>
      <c r="M108" s="94"/>
    </row>
    <row r="109" spans="1:13">
      <c r="A109" s="92" t="s">
        <v>77</v>
      </c>
      <c r="B109" s="135" t="s">
        <v>399</v>
      </c>
      <c r="C109" s="123" t="s">
        <v>400</v>
      </c>
      <c r="D109" s="92" t="s">
        <v>98</v>
      </c>
      <c r="E109" s="94" t="s">
        <v>401</v>
      </c>
      <c r="F109" s="94">
        <v>5</v>
      </c>
      <c r="G109" s="94"/>
      <c r="H109" s="94"/>
      <c r="I109" s="94"/>
      <c r="J109" s="94"/>
      <c r="K109" s="94"/>
      <c r="L109" s="94"/>
      <c r="M109" s="94"/>
    </row>
    <row r="110" spans="1:13">
      <c r="A110" s="92" t="s">
        <v>78</v>
      </c>
      <c r="B110" s="135"/>
      <c r="C110" s="123" t="s">
        <v>101</v>
      </c>
      <c r="D110" s="92" t="s">
        <v>25</v>
      </c>
      <c r="E110" s="94">
        <v>10.9</v>
      </c>
      <c r="F110" s="94">
        <f>E110*F106</f>
        <v>1.417</v>
      </c>
      <c r="G110" s="94"/>
      <c r="H110" s="94"/>
      <c r="I110" s="94"/>
      <c r="J110" s="94"/>
      <c r="K110" s="94"/>
      <c r="L110" s="94"/>
      <c r="M110" s="94"/>
    </row>
    <row r="111" spans="1:13">
      <c r="A111" s="92"/>
      <c r="B111" s="135"/>
      <c r="C111" s="123"/>
      <c r="D111" s="92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>
      <c r="A112" s="93">
        <v>1.1599999999999999</v>
      </c>
      <c r="B112" s="98" t="s">
        <v>183</v>
      </c>
      <c r="C112" s="136" t="s">
        <v>243</v>
      </c>
      <c r="D112" s="92" t="s">
        <v>329</v>
      </c>
      <c r="E112" s="94"/>
      <c r="F112" s="94">
        <v>912</v>
      </c>
      <c r="G112" s="94"/>
      <c r="H112" s="94"/>
      <c r="I112" s="94"/>
      <c r="J112" s="94"/>
      <c r="K112" s="94"/>
      <c r="L112" s="94"/>
      <c r="M112" s="94"/>
    </row>
    <row r="113" spans="1:13">
      <c r="A113" s="93"/>
      <c r="B113" s="98"/>
      <c r="C113" s="123"/>
      <c r="D113" s="92" t="s">
        <v>330</v>
      </c>
      <c r="E113" s="94"/>
      <c r="F113" s="108">
        <f>F112/1000</f>
        <v>0.91200000000000003</v>
      </c>
      <c r="G113" s="94"/>
      <c r="H113" s="94"/>
      <c r="I113" s="94"/>
      <c r="J113" s="94"/>
      <c r="K113" s="94"/>
      <c r="L113" s="94"/>
      <c r="M113" s="94"/>
    </row>
    <row r="114" spans="1:13">
      <c r="A114" s="92" t="s">
        <v>79</v>
      </c>
      <c r="B114" s="98"/>
      <c r="C114" s="123" t="s">
        <v>15</v>
      </c>
      <c r="D114" s="92" t="s">
        <v>1</v>
      </c>
      <c r="E114" s="94">
        <v>15.5</v>
      </c>
      <c r="F114" s="94">
        <f>E114*F113</f>
        <v>14.136000000000001</v>
      </c>
      <c r="G114" s="94"/>
      <c r="H114" s="94"/>
      <c r="I114" s="94"/>
      <c r="J114" s="94"/>
      <c r="K114" s="94"/>
      <c r="L114" s="94"/>
      <c r="M114" s="94"/>
    </row>
    <row r="115" spans="1:13">
      <c r="A115" s="92" t="s">
        <v>184</v>
      </c>
      <c r="B115" s="98" t="s">
        <v>331</v>
      </c>
      <c r="C115" s="109" t="s">
        <v>332</v>
      </c>
      <c r="D115" s="92" t="s">
        <v>24</v>
      </c>
      <c r="E115" s="94">
        <v>34.700000000000003</v>
      </c>
      <c r="F115" s="94">
        <f>E115*F113</f>
        <v>31.646400000000003</v>
      </c>
      <c r="G115" s="94"/>
      <c r="H115" s="94"/>
      <c r="I115" s="94"/>
      <c r="J115" s="94"/>
      <c r="K115" s="94"/>
      <c r="L115" s="94"/>
      <c r="M115" s="94"/>
    </row>
    <row r="116" spans="1:13">
      <c r="A116" s="92" t="s">
        <v>185</v>
      </c>
      <c r="B116" s="98"/>
      <c r="C116" s="123" t="s">
        <v>13</v>
      </c>
      <c r="D116" s="92" t="s">
        <v>25</v>
      </c>
      <c r="E116" s="94">
        <v>2.1</v>
      </c>
      <c r="F116" s="94">
        <f>E116*F113</f>
        <v>1.9152000000000002</v>
      </c>
      <c r="G116" s="94"/>
      <c r="H116" s="94"/>
      <c r="I116" s="94"/>
      <c r="J116" s="94"/>
      <c r="K116" s="94"/>
      <c r="L116" s="94"/>
      <c r="M116" s="94"/>
    </row>
    <row r="117" spans="1:13">
      <c r="A117" s="92" t="s">
        <v>297</v>
      </c>
      <c r="B117" s="98" t="s">
        <v>333</v>
      </c>
      <c r="C117" s="109" t="s">
        <v>334</v>
      </c>
      <c r="D117" s="92" t="s">
        <v>329</v>
      </c>
      <c r="E117" s="94">
        <v>0.04</v>
      </c>
      <c r="F117" s="94">
        <f>E117*F113</f>
        <v>3.6480000000000005E-2</v>
      </c>
      <c r="G117" s="94"/>
      <c r="H117" s="94"/>
      <c r="I117" s="94"/>
      <c r="J117" s="94"/>
      <c r="K117" s="94"/>
      <c r="L117" s="94"/>
      <c r="M117" s="94"/>
    </row>
    <row r="118" spans="1:13">
      <c r="A118" s="92"/>
      <c r="B118" s="98"/>
      <c r="C118" s="123"/>
      <c r="D118" s="92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>
      <c r="A119" s="92">
        <v>1.17</v>
      </c>
      <c r="B119" s="98" t="s">
        <v>267</v>
      </c>
      <c r="C119" s="136" t="s">
        <v>269</v>
      </c>
      <c r="D119" s="92" t="s">
        <v>329</v>
      </c>
      <c r="E119" s="94"/>
      <c r="F119" s="94">
        <f>F112</f>
        <v>912</v>
      </c>
      <c r="G119" s="94"/>
      <c r="H119" s="94"/>
      <c r="I119" s="94"/>
      <c r="J119" s="94"/>
      <c r="K119" s="94"/>
      <c r="L119" s="94"/>
      <c r="M119" s="94"/>
    </row>
    <row r="120" spans="1:13">
      <c r="A120" s="92"/>
      <c r="B120" s="98"/>
      <c r="C120" s="123"/>
      <c r="D120" s="92" t="s">
        <v>342</v>
      </c>
      <c r="E120" s="94"/>
      <c r="F120" s="108">
        <f>F119/100</f>
        <v>9.1199999999999992</v>
      </c>
      <c r="G120" s="94"/>
      <c r="H120" s="94"/>
      <c r="I120" s="94"/>
      <c r="J120" s="94"/>
      <c r="K120" s="94"/>
      <c r="L120" s="94"/>
      <c r="M120" s="94"/>
    </row>
    <row r="121" spans="1:13">
      <c r="A121" s="92" t="s">
        <v>186</v>
      </c>
      <c r="B121" s="98"/>
      <c r="C121" s="123" t="s">
        <v>15</v>
      </c>
      <c r="D121" s="92" t="s">
        <v>1</v>
      </c>
      <c r="E121" s="94">
        <v>13.4</v>
      </c>
      <c r="F121" s="94">
        <f>E121*F120</f>
        <v>122.208</v>
      </c>
      <c r="G121" s="94"/>
      <c r="H121" s="94"/>
      <c r="I121" s="94"/>
      <c r="J121" s="94"/>
      <c r="K121" s="94"/>
      <c r="L121" s="94"/>
      <c r="M121" s="94"/>
    </row>
    <row r="122" spans="1:13">
      <c r="A122" s="92" t="s">
        <v>305</v>
      </c>
      <c r="B122" s="98" t="s">
        <v>402</v>
      </c>
      <c r="C122" s="123" t="s">
        <v>268</v>
      </c>
      <c r="D122" s="92" t="s">
        <v>24</v>
      </c>
      <c r="E122" s="94">
        <v>13</v>
      </c>
      <c r="F122" s="94">
        <f>E122*F120</f>
        <v>118.55999999999999</v>
      </c>
      <c r="G122" s="94"/>
      <c r="H122" s="94"/>
      <c r="I122" s="94"/>
      <c r="J122" s="94"/>
      <c r="K122" s="94"/>
      <c r="L122" s="94"/>
      <c r="M122" s="94"/>
    </row>
    <row r="123" spans="1:13">
      <c r="A123" s="92" t="s">
        <v>306</v>
      </c>
      <c r="B123" s="98" t="s">
        <v>403</v>
      </c>
      <c r="C123" s="123" t="s">
        <v>404</v>
      </c>
      <c r="D123" s="92" t="s">
        <v>24</v>
      </c>
      <c r="E123" s="94">
        <f>E122/4</f>
        <v>3.25</v>
      </c>
      <c r="F123" s="94">
        <f>E123*F120</f>
        <v>29.639999999999997</v>
      </c>
      <c r="G123" s="94"/>
      <c r="H123" s="94"/>
      <c r="I123" s="94"/>
      <c r="J123" s="94"/>
      <c r="K123" s="94"/>
      <c r="L123" s="94"/>
      <c r="M123" s="94"/>
    </row>
    <row r="124" spans="1:13">
      <c r="A124" s="92"/>
      <c r="B124" s="98"/>
      <c r="C124" s="123"/>
      <c r="D124" s="92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>
      <c r="A125" s="92">
        <v>1.18</v>
      </c>
      <c r="B125" s="98" t="s">
        <v>93</v>
      </c>
      <c r="C125" s="65" t="s">
        <v>271</v>
      </c>
      <c r="D125" s="92" t="s">
        <v>337</v>
      </c>
      <c r="E125" s="124"/>
      <c r="F125" s="124">
        <v>28</v>
      </c>
      <c r="G125" s="94"/>
      <c r="H125" s="125"/>
      <c r="I125" s="94"/>
      <c r="J125" s="125"/>
      <c r="K125" s="94"/>
      <c r="L125" s="94"/>
      <c r="M125" s="94"/>
    </row>
    <row r="126" spans="1:13">
      <c r="A126" s="92" t="s">
        <v>307</v>
      </c>
      <c r="B126" s="98"/>
      <c r="C126" s="65" t="s">
        <v>92</v>
      </c>
      <c r="D126" s="92" t="s">
        <v>1</v>
      </c>
      <c r="E126" s="125">
        <v>2</v>
      </c>
      <c r="F126" s="124">
        <f>F125*E126</f>
        <v>56</v>
      </c>
      <c r="G126" s="125"/>
      <c r="H126" s="125"/>
      <c r="I126" s="125"/>
      <c r="J126" s="125"/>
      <c r="K126" s="125"/>
      <c r="L126" s="94"/>
      <c r="M126" s="94"/>
    </row>
    <row r="127" spans="1:13">
      <c r="A127" s="92" t="s">
        <v>308</v>
      </c>
      <c r="B127" s="98" t="s">
        <v>405</v>
      </c>
      <c r="C127" s="65" t="s">
        <v>270</v>
      </c>
      <c r="D127" s="92" t="s">
        <v>337</v>
      </c>
      <c r="E127" s="125">
        <v>1.1000000000000001</v>
      </c>
      <c r="F127" s="124">
        <f>F125*E127</f>
        <v>30.800000000000004</v>
      </c>
      <c r="G127" s="125"/>
      <c r="H127" s="125"/>
      <c r="I127" s="125"/>
      <c r="J127" s="125"/>
      <c r="K127" s="125"/>
      <c r="L127" s="94"/>
      <c r="M127" s="94"/>
    </row>
    <row r="128" spans="1:13">
      <c r="A128" s="92"/>
      <c r="B128" s="98"/>
      <c r="C128" s="65"/>
      <c r="D128" s="92"/>
      <c r="E128" s="125"/>
      <c r="F128" s="124"/>
      <c r="G128" s="125"/>
      <c r="H128" s="125"/>
      <c r="I128" s="125"/>
      <c r="J128" s="125"/>
      <c r="K128" s="125"/>
      <c r="L128" s="94"/>
      <c r="M128" s="94"/>
    </row>
    <row r="129" spans="1:13">
      <c r="A129" s="92">
        <v>1.19</v>
      </c>
      <c r="B129" s="98" t="s">
        <v>406</v>
      </c>
      <c r="C129" s="126" t="s">
        <v>310</v>
      </c>
      <c r="D129" s="92" t="s">
        <v>337</v>
      </c>
      <c r="E129" s="127"/>
      <c r="F129" s="127">
        <v>192</v>
      </c>
      <c r="G129" s="94"/>
      <c r="H129" s="94"/>
      <c r="I129" s="94"/>
      <c r="J129" s="94"/>
      <c r="K129" s="94"/>
      <c r="L129" s="94"/>
      <c r="M129" s="94"/>
    </row>
    <row r="130" spans="1:13">
      <c r="A130" s="92"/>
      <c r="B130" s="98"/>
      <c r="C130" s="65"/>
      <c r="D130" s="92" t="s">
        <v>384</v>
      </c>
      <c r="E130" s="127"/>
      <c r="F130" s="128">
        <f>F129/100</f>
        <v>1.92</v>
      </c>
      <c r="G130" s="94"/>
      <c r="H130" s="94"/>
      <c r="I130" s="94"/>
      <c r="J130" s="94"/>
      <c r="K130" s="94"/>
      <c r="L130" s="94"/>
      <c r="M130" s="94"/>
    </row>
    <row r="131" spans="1:13">
      <c r="A131" s="92" t="s">
        <v>312</v>
      </c>
      <c r="B131" s="98"/>
      <c r="C131" s="65" t="s">
        <v>92</v>
      </c>
      <c r="D131" s="92" t="s">
        <v>1</v>
      </c>
      <c r="E131" s="94">
        <v>880</v>
      </c>
      <c r="F131" s="127">
        <f>F130*E131</f>
        <v>1689.6</v>
      </c>
      <c r="G131" s="94"/>
      <c r="H131" s="94"/>
      <c r="I131" s="94"/>
      <c r="J131" s="94"/>
      <c r="K131" s="94"/>
      <c r="L131" s="94"/>
      <c r="M131" s="94"/>
    </row>
    <row r="132" spans="1:13">
      <c r="A132" s="92"/>
      <c r="B132" s="135"/>
      <c r="C132" s="123" t="s">
        <v>13</v>
      </c>
      <c r="D132" s="92" t="s">
        <v>25</v>
      </c>
      <c r="E132" s="94">
        <v>5</v>
      </c>
      <c r="F132" s="94">
        <f>E132*F130</f>
        <v>9.6</v>
      </c>
      <c r="G132" s="94"/>
      <c r="H132" s="94"/>
      <c r="I132" s="94"/>
      <c r="J132" s="94"/>
      <c r="K132" s="94"/>
      <c r="L132" s="94"/>
      <c r="M132" s="94"/>
    </row>
    <row r="133" spans="1:13">
      <c r="A133" s="92" t="s">
        <v>313</v>
      </c>
      <c r="B133" s="98" t="s">
        <v>408</v>
      </c>
      <c r="C133" s="65" t="s">
        <v>311</v>
      </c>
      <c r="D133" s="92" t="s">
        <v>337</v>
      </c>
      <c r="E133" s="94">
        <v>100</v>
      </c>
      <c r="F133" s="127">
        <f>F130*E133</f>
        <v>192</v>
      </c>
      <c r="G133" s="94"/>
      <c r="H133" s="94"/>
      <c r="I133" s="94"/>
      <c r="J133" s="94"/>
      <c r="K133" s="94"/>
      <c r="L133" s="94"/>
      <c r="M133" s="94"/>
    </row>
    <row r="134" spans="1:13">
      <c r="A134" s="92"/>
      <c r="B134" s="98" t="s">
        <v>410</v>
      </c>
      <c r="C134" s="123" t="s">
        <v>105</v>
      </c>
      <c r="D134" s="92" t="s">
        <v>329</v>
      </c>
      <c r="E134" s="94">
        <v>52.5</v>
      </c>
      <c r="F134" s="94">
        <f>E134*F130</f>
        <v>100.8</v>
      </c>
      <c r="G134" s="94"/>
      <c r="H134" s="94"/>
      <c r="I134" s="94"/>
      <c r="J134" s="94"/>
      <c r="K134" s="94"/>
      <c r="L134" s="94"/>
      <c r="M134" s="94"/>
    </row>
    <row r="135" spans="1:13">
      <c r="A135" s="92"/>
      <c r="B135" s="98"/>
      <c r="C135" s="123" t="s">
        <v>101</v>
      </c>
      <c r="D135" s="92" t="s">
        <v>25</v>
      </c>
      <c r="E135" s="94">
        <v>11</v>
      </c>
      <c r="F135" s="94">
        <f>E135*F130</f>
        <v>21.119999999999997</v>
      </c>
      <c r="G135" s="94"/>
      <c r="H135" s="94"/>
      <c r="I135" s="94"/>
      <c r="J135" s="94"/>
      <c r="K135" s="94"/>
      <c r="L135" s="94"/>
      <c r="M135" s="94"/>
    </row>
    <row r="136" spans="1:13">
      <c r="A136" s="92"/>
      <c r="B136" s="98"/>
      <c r="C136" s="65"/>
      <c r="D136" s="92"/>
      <c r="E136" s="125"/>
      <c r="F136" s="124"/>
      <c r="G136" s="125"/>
      <c r="H136" s="125"/>
      <c r="I136" s="125"/>
      <c r="J136" s="125"/>
      <c r="K136" s="125"/>
      <c r="L136" s="94"/>
      <c r="M136" s="94"/>
    </row>
    <row r="137" spans="1:13">
      <c r="A137" s="92"/>
      <c r="B137" s="98"/>
      <c r="C137" s="129"/>
      <c r="D137" s="130"/>
      <c r="E137" s="131"/>
      <c r="F137" s="94"/>
      <c r="G137" s="132"/>
      <c r="H137" s="132"/>
      <c r="I137" s="132"/>
      <c r="J137" s="132"/>
      <c r="K137" s="94"/>
      <c r="L137" s="94"/>
      <c r="M137" s="94"/>
    </row>
    <row r="138" spans="1:13">
      <c r="A138" s="59"/>
      <c r="B138" s="97"/>
      <c r="C138" s="59" t="s">
        <v>4</v>
      </c>
      <c r="D138" s="59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1:13">
      <c r="A139" s="92"/>
      <c r="B139" s="98"/>
      <c r="C139" s="92"/>
      <c r="D139" s="92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1:13">
      <c r="A140" s="92"/>
      <c r="B140" s="98"/>
      <c r="C140" s="92" t="s">
        <v>10</v>
      </c>
      <c r="D140" s="99">
        <v>0.1</v>
      </c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>
      <c r="A141" s="92"/>
      <c r="B141" s="98"/>
      <c r="C141" s="92" t="s">
        <v>4</v>
      </c>
      <c r="D141" s="99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>
      <c r="A142" s="92"/>
      <c r="B142" s="98"/>
      <c r="C142" s="92" t="s">
        <v>11</v>
      </c>
      <c r="D142" s="99">
        <v>0.08</v>
      </c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>
      <c r="A143" s="92"/>
      <c r="B143" s="98"/>
      <c r="C143" s="92"/>
      <c r="D143" s="99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>
      <c r="A144" s="59"/>
      <c r="B144" s="97"/>
      <c r="C144" s="59" t="s">
        <v>4</v>
      </c>
      <c r="D144" s="59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4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86:L90">
    <cfRule type="cellIs" dxfId="22" priority="7" stopIfTrue="1" operator="equal">
      <formula>8223.307275</formula>
    </cfRule>
  </conditionalFormatting>
  <conditionalFormatting sqref="L93:L97">
    <cfRule type="cellIs" dxfId="21" priority="5" stopIfTrue="1" operator="equal">
      <formula>8223.307275</formula>
    </cfRule>
  </conditionalFormatting>
  <conditionalFormatting sqref="L92">
    <cfRule type="cellIs" dxfId="20" priority="4" stopIfTrue="1" operator="equal">
      <formula>8223.307275</formula>
    </cfRule>
  </conditionalFormatting>
  <conditionalFormatting sqref="L98">
    <cfRule type="cellIs" dxfId="19" priority="3" stopIfTrue="1" operator="equal">
      <formula>8223.307275</formula>
    </cfRule>
  </conditionalFormatting>
  <conditionalFormatting sqref="L130:L131">
    <cfRule type="cellIs" dxfId="18" priority="1" stopIfTrue="1" operator="equal">
      <formula>8223.307275</formula>
    </cfRule>
  </conditionalFormatting>
  <conditionalFormatting sqref="L91">
    <cfRule type="cellIs" dxfId="17" priority="11" stopIfTrue="1" operator="equal">
      <formula>8223.307275</formula>
    </cfRule>
  </conditionalFormatting>
  <conditionalFormatting sqref="L99">
    <cfRule type="cellIs" dxfId="16" priority="10" stopIfTrue="1" operator="equal">
      <formula>8223.307275</formula>
    </cfRule>
  </conditionalFormatting>
  <conditionalFormatting sqref="L125:L126">
    <cfRule type="cellIs" dxfId="15" priority="8" stopIfTrue="1" operator="equal">
      <formula>8223.307275</formula>
    </cfRule>
  </conditionalFormatting>
  <conditionalFormatting sqref="L127:L128">
    <cfRule type="cellIs" dxfId="14" priority="9" stopIfTrue="1" operator="equal">
      <formula>8223.307275</formula>
    </cfRule>
  </conditionalFormatting>
  <conditionalFormatting sqref="L85">
    <cfRule type="cellIs" dxfId="13" priority="6" stopIfTrue="1" operator="equal">
      <formula>8223.307275</formula>
    </cfRule>
  </conditionalFormatting>
  <conditionalFormatting sqref="L129">
    <cfRule type="cellIs" dxfId="12" priority="2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41"/>
  <sheetViews>
    <sheetView view="pageBreakPreview" zoomScaleNormal="60" zoomScaleSheetLayoutView="100" workbookViewId="0">
      <selection activeCell="I12" sqref="I12"/>
    </sheetView>
  </sheetViews>
  <sheetFormatPr defaultRowHeight="12.75"/>
  <cols>
    <col min="1" max="1" width="7.5703125" style="111" customWidth="1"/>
    <col min="2" max="2" width="13.140625" style="100" customWidth="1"/>
    <col min="3" max="3" width="53" style="100" customWidth="1"/>
    <col min="4" max="4" width="8.7109375" style="100" customWidth="1"/>
    <col min="5" max="12" width="10.28515625" style="100" customWidth="1"/>
    <col min="13" max="13" width="14.28515625" style="105" customWidth="1"/>
    <col min="14" max="16384" width="9.140625" style="68"/>
  </cols>
  <sheetData>
    <row r="1" spans="1:13" s="73" customFormat="1">
      <c r="A1" s="164" t="s">
        <v>309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73" customForma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73" customForma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69" customFormat="1" ht="27.75" customHeight="1">
      <c r="A4" s="160" t="s">
        <v>319</v>
      </c>
      <c r="B4" s="161" t="s">
        <v>320</v>
      </c>
      <c r="C4" s="161" t="s">
        <v>321</v>
      </c>
      <c r="D4" s="161" t="s">
        <v>322</v>
      </c>
      <c r="E4" s="160" t="s">
        <v>323</v>
      </c>
      <c r="F4" s="160"/>
      <c r="G4" s="161" t="s">
        <v>324</v>
      </c>
      <c r="H4" s="161"/>
      <c r="I4" s="161" t="s">
        <v>6</v>
      </c>
      <c r="J4" s="161"/>
      <c r="K4" s="160" t="s">
        <v>325</v>
      </c>
      <c r="L4" s="160"/>
      <c r="M4" s="160" t="s">
        <v>4</v>
      </c>
    </row>
    <row r="5" spans="1:13" s="69" customFormat="1" ht="12.75" customHeight="1">
      <c r="A5" s="160"/>
      <c r="B5" s="161"/>
      <c r="C5" s="161"/>
      <c r="D5" s="161"/>
      <c r="E5" s="59" t="s">
        <v>326</v>
      </c>
      <c r="F5" s="59" t="s">
        <v>249</v>
      </c>
      <c r="G5" s="59" t="s">
        <v>326</v>
      </c>
      <c r="H5" s="59" t="s">
        <v>249</v>
      </c>
      <c r="I5" s="59" t="s">
        <v>326</v>
      </c>
      <c r="J5" s="59" t="s">
        <v>249</v>
      </c>
      <c r="K5" s="59" t="s">
        <v>326</v>
      </c>
      <c r="L5" s="59" t="s">
        <v>249</v>
      </c>
      <c r="M5" s="160"/>
    </row>
    <row r="6" spans="1:13" s="69" customFormat="1">
      <c r="A6" s="59">
        <v>1</v>
      </c>
      <c r="B6" s="59">
        <v>2</v>
      </c>
      <c r="C6" s="58">
        <v>3</v>
      </c>
      <c r="D6" s="59">
        <v>4</v>
      </c>
      <c r="E6" s="59">
        <v>5</v>
      </c>
      <c r="F6" s="59">
        <v>6</v>
      </c>
      <c r="G6" s="59">
        <v>7</v>
      </c>
      <c r="H6" s="53">
        <v>8</v>
      </c>
      <c r="I6" s="59">
        <v>9</v>
      </c>
      <c r="J6" s="53">
        <v>10</v>
      </c>
      <c r="K6" s="59">
        <v>11</v>
      </c>
      <c r="L6" s="53">
        <v>12</v>
      </c>
      <c r="M6" s="53">
        <v>13</v>
      </c>
    </row>
    <row r="7" spans="1:13" s="69" customForma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45"/>
    </row>
    <row r="8" spans="1:13" s="69" customFormat="1">
      <c r="A8" s="59"/>
      <c r="B8" s="92"/>
      <c r="C8" s="58" t="s">
        <v>298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69" customFormat="1">
      <c r="A9" s="59"/>
      <c r="B9" s="92"/>
      <c r="C9" s="58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2.75" customHeight="1">
      <c r="A10" s="92">
        <v>1.1000000000000001</v>
      </c>
      <c r="B10" s="98" t="s">
        <v>412</v>
      </c>
      <c r="C10" s="65" t="s">
        <v>286</v>
      </c>
      <c r="D10" s="92" t="s">
        <v>98</v>
      </c>
      <c r="E10" s="94"/>
      <c r="F10" s="127">
        <v>60</v>
      </c>
      <c r="G10" s="94"/>
      <c r="H10" s="94"/>
      <c r="I10" s="94"/>
      <c r="J10" s="122"/>
      <c r="K10" s="94"/>
      <c r="L10" s="94"/>
      <c r="M10" s="94"/>
    </row>
    <row r="11" spans="1:13">
      <c r="A11" s="92"/>
      <c r="B11" s="98" t="s">
        <v>413</v>
      </c>
      <c r="C11" s="65"/>
      <c r="D11" s="92" t="s">
        <v>94</v>
      </c>
      <c r="E11" s="94"/>
      <c r="F11" s="128">
        <v>0.56999999999999995</v>
      </c>
      <c r="G11" s="94"/>
      <c r="H11" s="94"/>
      <c r="I11" s="94"/>
      <c r="J11" s="122"/>
      <c r="K11" s="94"/>
      <c r="L11" s="94"/>
      <c r="M11" s="94"/>
    </row>
    <row r="12" spans="1:13">
      <c r="A12" s="92" t="s">
        <v>0</v>
      </c>
      <c r="B12" s="98" t="s">
        <v>414</v>
      </c>
      <c r="C12" s="140" t="s">
        <v>15</v>
      </c>
      <c r="D12" s="92" t="s">
        <v>1</v>
      </c>
      <c r="E12" s="94">
        <f>0.6*65.5</f>
        <v>39.299999999999997</v>
      </c>
      <c r="F12" s="127">
        <f>F11*E12</f>
        <v>22.400999999999996</v>
      </c>
      <c r="G12" s="94"/>
      <c r="H12" s="94"/>
      <c r="I12" s="94"/>
      <c r="J12" s="94"/>
      <c r="K12" s="94"/>
      <c r="L12" s="94"/>
      <c r="M12" s="122"/>
    </row>
    <row r="13" spans="1:13">
      <c r="A13" s="92" t="s">
        <v>189</v>
      </c>
      <c r="B13" s="141" t="s">
        <v>415</v>
      </c>
      <c r="C13" s="142" t="s">
        <v>287</v>
      </c>
      <c r="D13" s="138" t="s">
        <v>24</v>
      </c>
      <c r="E13" s="139">
        <v>0</v>
      </c>
      <c r="F13" s="143">
        <f>F11*E13</f>
        <v>0</v>
      </c>
      <c r="G13" s="139"/>
      <c r="H13" s="139"/>
      <c r="I13" s="139"/>
      <c r="J13" s="144"/>
      <c r="K13" s="139"/>
      <c r="L13" s="139"/>
      <c r="M13" s="144"/>
    </row>
    <row r="14" spans="1:13">
      <c r="A14" s="92" t="s">
        <v>190</v>
      </c>
      <c r="B14" s="98" t="s">
        <v>416</v>
      </c>
      <c r="C14" s="65" t="s">
        <v>288</v>
      </c>
      <c r="D14" s="92" t="s">
        <v>24</v>
      </c>
      <c r="E14" s="94">
        <f>0.7*4.29</f>
        <v>3.0029999999999997</v>
      </c>
      <c r="F14" s="127">
        <f>F11*E14</f>
        <v>1.7117099999999996</v>
      </c>
      <c r="G14" s="94"/>
      <c r="H14" s="94"/>
      <c r="I14" s="94"/>
      <c r="J14" s="122"/>
      <c r="K14" s="94"/>
      <c r="L14" s="94"/>
      <c r="M14" s="122"/>
    </row>
    <row r="15" spans="1:13">
      <c r="A15" s="92" t="s">
        <v>191</v>
      </c>
      <c r="B15" s="98" t="s">
        <v>417</v>
      </c>
      <c r="C15" s="109" t="s">
        <v>13</v>
      </c>
      <c r="D15" s="92" t="s">
        <v>25</v>
      </c>
      <c r="E15" s="94">
        <f>0.7*0.44</f>
        <v>0.308</v>
      </c>
      <c r="F15" s="127">
        <f>F11*E15</f>
        <v>0.17555999999999999</v>
      </c>
      <c r="G15" s="94"/>
      <c r="H15" s="94"/>
      <c r="I15" s="94"/>
      <c r="J15" s="122"/>
      <c r="K15" s="94"/>
      <c r="L15" s="94"/>
      <c r="M15" s="122"/>
    </row>
    <row r="16" spans="1:13">
      <c r="A16" s="92" t="s">
        <v>196</v>
      </c>
      <c r="B16" s="98" t="s">
        <v>418</v>
      </c>
      <c r="C16" s="140" t="s">
        <v>14</v>
      </c>
      <c r="D16" s="92" t="s">
        <v>25</v>
      </c>
      <c r="E16" s="94">
        <f>0.5*41.3</f>
        <v>20.65</v>
      </c>
      <c r="F16" s="127">
        <f>F11*E16</f>
        <v>11.770499999999998</v>
      </c>
      <c r="G16" s="94"/>
      <c r="H16" s="94"/>
      <c r="I16" s="94"/>
      <c r="J16" s="122"/>
      <c r="K16" s="94"/>
      <c r="L16" s="94"/>
      <c r="M16" s="122"/>
    </row>
    <row r="17" spans="1:13">
      <c r="A17" s="92"/>
      <c r="B17" s="98"/>
      <c r="C17" s="140"/>
      <c r="D17" s="92"/>
      <c r="E17" s="94"/>
      <c r="F17" s="127"/>
      <c r="G17" s="94"/>
      <c r="H17" s="94"/>
      <c r="I17" s="94"/>
      <c r="J17" s="122"/>
      <c r="K17" s="94"/>
      <c r="L17" s="94"/>
      <c r="M17" s="122"/>
    </row>
    <row r="18" spans="1:13" ht="25.5">
      <c r="A18" s="92">
        <v>1.2</v>
      </c>
      <c r="B18" s="98" t="s">
        <v>81</v>
      </c>
      <c r="C18" s="123" t="s">
        <v>80</v>
      </c>
      <c r="D18" s="92" t="s">
        <v>329</v>
      </c>
      <c r="E18" s="94"/>
      <c r="F18" s="94">
        <v>84</v>
      </c>
      <c r="G18" s="94"/>
      <c r="H18" s="94"/>
      <c r="I18" s="94"/>
      <c r="J18" s="94"/>
      <c r="K18" s="94"/>
      <c r="L18" s="94"/>
      <c r="M18" s="122"/>
    </row>
    <row r="19" spans="1:13">
      <c r="A19" s="92"/>
      <c r="B19" s="98"/>
      <c r="C19" s="123"/>
      <c r="D19" s="92" t="s">
        <v>330</v>
      </c>
      <c r="E19" s="94"/>
      <c r="F19" s="108">
        <f>F18/1000</f>
        <v>8.4000000000000005E-2</v>
      </c>
      <c r="G19" s="94"/>
      <c r="H19" s="94"/>
      <c r="I19" s="94"/>
      <c r="J19" s="94"/>
      <c r="K19" s="94"/>
      <c r="L19" s="94"/>
      <c r="M19" s="122"/>
    </row>
    <row r="20" spans="1:13">
      <c r="A20" s="92" t="s">
        <v>21</v>
      </c>
      <c r="B20" s="98"/>
      <c r="C20" s="140" t="s">
        <v>15</v>
      </c>
      <c r="D20" s="92" t="s">
        <v>1</v>
      </c>
      <c r="E20" s="94">
        <v>20</v>
      </c>
      <c r="F20" s="94">
        <f>E20*F19</f>
        <v>1.6800000000000002</v>
      </c>
      <c r="G20" s="94"/>
      <c r="H20" s="94"/>
      <c r="I20" s="94"/>
      <c r="J20" s="94"/>
      <c r="K20" s="94"/>
      <c r="L20" s="94"/>
      <c r="M20" s="122"/>
    </row>
    <row r="21" spans="1:13" ht="12.75" customHeight="1">
      <c r="A21" s="92" t="s">
        <v>35</v>
      </c>
      <c r="B21" s="98" t="s">
        <v>331</v>
      </c>
      <c r="C21" s="109" t="s">
        <v>332</v>
      </c>
      <c r="D21" s="92" t="s">
        <v>24</v>
      </c>
      <c r="E21" s="94">
        <v>44.8</v>
      </c>
      <c r="F21" s="94">
        <f>E21*F19</f>
        <v>3.7631999999999999</v>
      </c>
      <c r="G21" s="94"/>
      <c r="H21" s="94"/>
      <c r="I21" s="94"/>
      <c r="J21" s="94"/>
      <c r="K21" s="94"/>
      <c r="L21" s="94"/>
      <c r="M21" s="122"/>
    </row>
    <row r="22" spans="1:13">
      <c r="A22" s="92" t="s">
        <v>36</v>
      </c>
      <c r="B22" s="98"/>
      <c r="C22" s="109" t="s">
        <v>13</v>
      </c>
      <c r="D22" s="92" t="s">
        <v>25</v>
      </c>
      <c r="E22" s="94">
        <v>2.1</v>
      </c>
      <c r="F22" s="94">
        <f>E22*F19</f>
        <v>0.17640000000000003</v>
      </c>
      <c r="G22" s="94"/>
      <c r="H22" s="94"/>
      <c r="I22" s="94"/>
      <c r="J22" s="94"/>
      <c r="K22" s="94"/>
      <c r="L22" s="94"/>
      <c r="M22" s="122"/>
    </row>
    <row r="23" spans="1:13">
      <c r="A23" s="92" t="s">
        <v>37</v>
      </c>
      <c r="B23" s="98" t="s">
        <v>333</v>
      </c>
      <c r="C23" s="109" t="s">
        <v>334</v>
      </c>
      <c r="D23" s="92" t="s">
        <v>329</v>
      </c>
      <c r="E23" s="94">
        <v>0.05</v>
      </c>
      <c r="F23" s="94">
        <f>E23*F19</f>
        <v>4.2000000000000006E-3</v>
      </c>
      <c r="G23" s="94"/>
      <c r="H23" s="94"/>
      <c r="I23" s="94"/>
      <c r="J23" s="94"/>
      <c r="K23" s="94"/>
      <c r="L23" s="94"/>
      <c r="M23" s="122"/>
    </row>
    <row r="24" spans="1:13">
      <c r="A24" s="92"/>
      <c r="B24" s="98"/>
      <c r="C24" s="123"/>
      <c r="D24" s="92"/>
      <c r="E24" s="94"/>
      <c r="F24" s="94"/>
      <c r="G24" s="94"/>
      <c r="H24" s="94"/>
      <c r="I24" s="94"/>
      <c r="J24" s="94"/>
      <c r="K24" s="94"/>
      <c r="L24" s="94"/>
      <c r="M24" s="122"/>
    </row>
    <row r="25" spans="1:13">
      <c r="A25" s="92">
        <v>1.3</v>
      </c>
      <c r="B25" s="98" t="s">
        <v>419</v>
      </c>
      <c r="C25" s="123" t="s">
        <v>289</v>
      </c>
      <c r="D25" s="92" t="s">
        <v>329</v>
      </c>
      <c r="E25" s="94"/>
      <c r="F25" s="94">
        <v>3</v>
      </c>
      <c r="G25" s="94"/>
      <c r="H25" s="94"/>
      <c r="I25" s="94"/>
      <c r="J25" s="94"/>
      <c r="K25" s="94"/>
      <c r="L25" s="94"/>
      <c r="M25" s="122"/>
    </row>
    <row r="26" spans="1:13">
      <c r="A26" s="92"/>
      <c r="B26" s="98" t="s">
        <v>420</v>
      </c>
      <c r="C26" s="123"/>
      <c r="D26" s="92" t="s">
        <v>342</v>
      </c>
      <c r="E26" s="94"/>
      <c r="F26" s="108">
        <f>F25/100</f>
        <v>0.03</v>
      </c>
      <c r="G26" s="94"/>
      <c r="H26" s="94"/>
      <c r="I26" s="94"/>
      <c r="J26" s="94"/>
      <c r="K26" s="94"/>
      <c r="L26" s="94"/>
      <c r="M26" s="122"/>
    </row>
    <row r="27" spans="1:13">
      <c r="A27" s="92" t="s">
        <v>30</v>
      </c>
      <c r="B27" s="98" t="s">
        <v>421</v>
      </c>
      <c r="C27" s="140" t="s">
        <v>15</v>
      </c>
      <c r="D27" s="92" t="s">
        <v>1</v>
      </c>
      <c r="E27" s="94">
        <f>206*1.2</f>
        <v>247.2</v>
      </c>
      <c r="F27" s="94">
        <f>E27*F26</f>
        <v>7.4159999999999995</v>
      </c>
      <c r="G27" s="94"/>
      <c r="H27" s="94"/>
      <c r="I27" s="94"/>
      <c r="J27" s="94"/>
      <c r="K27" s="94"/>
      <c r="L27" s="94"/>
      <c r="M27" s="122"/>
    </row>
    <row r="28" spans="1:13">
      <c r="A28" s="92"/>
      <c r="B28" s="98"/>
      <c r="C28" s="140"/>
      <c r="D28" s="92"/>
      <c r="E28" s="94"/>
      <c r="F28" s="94"/>
      <c r="G28" s="94"/>
      <c r="H28" s="94"/>
      <c r="I28" s="94"/>
      <c r="J28" s="94"/>
      <c r="K28" s="94"/>
      <c r="L28" s="94"/>
      <c r="M28" s="122"/>
    </row>
    <row r="29" spans="1:13">
      <c r="A29" s="92">
        <v>1.4</v>
      </c>
      <c r="B29" s="63" t="s">
        <v>367</v>
      </c>
      <c r="C29" s="123" t="s">
        <v>95</v>
      </c>
      <c r="D29" s="92" t="s">
        <v>23</v>
      </c>
      <c r="E29" s="94">
        <v>1.95</v>
      </c>
      <c r="F29" s="94">
        <f>E29*F25</f>
        <v>5.85</v>
      </c>
      <c r="G29" s="94"/>
      <c r="H29" s="94"/>
      <c r="I29" s="94"/>
      <c r="J29" s="94"/>
      <c r="K29" s="94"/>
      <c r="L29" s="94"/>
      <c r="M29" s="94"/>
    </row>
    <row r="30" spans="1:13">
      <c r="A30" s="92" t="s">
        <v>22</v>
      </c>
      <c r="B30" s="64" t="s">
        <v>368</v>
      </c>
      <c r="C30" s="123" t="s">
        <v>15</v>
      </c>
      <c r="D30" s="92" t="s">
        <v>1</v>
      </c>
      <c r="E30" s="94">
        <v>0.53</v>
      </c>
      <c r="F30" s="94">
        <f>E30*F29</f>
        <v>3.1004999999999998</v>
      </c>
      <c r="G30" s="94"/>
      <c r="H30" s="94"/>
      <c r="I30" s="94"/>
      <c r="J30" s="94"/>
      <c r="K30" s="94"/>
      <c r="L30" s="94"/>
      <c r="M30" s="94"/>
    </row>
    <row r="31" spans="1:13">
      <c r="A31" s="92"/>
      <c r="B31" s="98"/>
      <c r="C31" s="140"/>
      <c r="D31" s="92"/>
      <c r="E31" s="94"/>
      <c r="F31" s="94"/>
      <c r="G31" s="94"/>
      <c r="H31" s="94"/>
      <c r="I31" s="94"/>
      <c r="J31" s="94"/>
      <c r="K31" s="94"/>
      <c r="L31" s="94"/>
      <c r="M31" s="122"/>
    </row>
    <row r="32" spans="1:13">
      <c r="A32" s="92">
        <v>1.5</v>
      </c>
      <c r="B32" s="98" t="s">
        <v>335</v>
      </c>
      <c r="C32" s="123" t="s">
        <v>31</v>
      </c>
      <c r="D32" s="92" t="s">
        <v>23</v>
      </c>
      <c r="E32" s="94">
        <v>1.95</v>
      </c>
      <c r="F32" s="94">
        <f>E32*(F18+F25)</f>
        <v>169.65</v>
      </c>
      <c r="G32" s="94"/>
      <c r="H32" s="94"/>
      <c r="I32" s="94"/>
      <c r="J32" s="94"/>
      <c r="K32" s="94"/>
      <c r="L32" s="94"/>
      <c r="M32" s="122"/>
    </row>
    <row r="33" spans="1:13">
      <c r="A33" s="92"/>
      <c r="B33" s="98"/>
      <c r="C33" s="123"/>
      <c r="D33" s="92"/>
      <c r="E33" s="94"/>
      <c r="F33" s="94"/>
      <c r="G33" s="94"/>
      <c r="H33" s="94"/>
      <c r="I33" s="94"/>
      <c r="J33" s="94"/>
      <c r="K33" s="94"/>
      <c r="L33" s="94"/>
      <c r="M33" s="122"/>
    </row>
    <row r="34" spans="1:13">
      <c r="A34" s="92">
        <v>1.6</v>
      </c>
      <c r="B34" s="98" t="s">
        <v>83</v>
      </c>
      <c r="C34" s="123" t="s">
        <v>82</v>
      </c>
      <c r="D34" s="92" t="s">
        <v>329</v>
      </c>
      <c r="E34" s="94"/>
      <c r="F34" s="94">
        <f>F18+F25</f>
        <v>87</v>
      </c>
      <c r="G34" s="94"/>
      <c r="H34" s="94"/>
      <c r="I34" s="94"/>
      <c r="J34" s="94"/>
      <c r="K34" s="94"/>
      <c r="L34" s="94"/>
      <c r="M34" s="122"/>
    </row>
    <row r="35" spans="1:13">
      <c r="A35" s="92"/>
      <c r="B35" s="98"/>
      <c r="C35" s="107"/>
      <c r="D35" s="92" t="s">
        <v>330</v>
      </c>
      <c r="E35" s="94"/>
      <c r="F35" s="108">
        <f>F34/1000</f>
        <v>8.6999999999999994E-2</v>
      </c>
      <c r="G35" s="94"/>
      <c r="H35" s="94"/>
      <c r="I35" s="94"/>
      <c r="J35" s="94"/>
      <c r="K35" s="94"/>
      <c r="L35" s="94"/>
      <c r="M35" s="94"/>
    </row>
    <row r="36" spans="1:13">
      <c r="A36" s="92" t="s">
        <v>59</v>
      </c>
      <c r="B36" s="98"/>
      <c r="C36" s="107" t="s">
        <v>15</v>
      </c>
      <c r="D36" s="92" t="s">
        <v>1</v>
      </c>
      <c r="E36" s="94">
        <v>3.23</v>
      </c>
      <c r="F36" s="94">
        <f>E36*F35</f>
        <v>0.28100999999999998</v>
      </c>
      <c r="G36" s="94"/>
      <c r="H36" s="94"/>
      <c r="I36" s="94"/>
      <c r="J36" s="94"/>
      <c r="K36" s="94"/>
      <c r="L36" s="94"/>
      <c r="M36" s="94"/>
    </row>
    <row r="37" spans="1:13">
      <c r="A37" s="92" t="s">
        <v>60</v>
      </c>
      <c r="B37" s="98" t="s">
        <v>336</v>
      </c>
      <c r="C37" s="107" t="s">
        <v>84</v>
      </c>
      <c r="D37" s="92" t="s">
        <v>24</v>
      </c>
      <c r="E37" s="94">
        <v>3.62</v>
      </c>
      <c r="F37" s="94">
        <f>E37*F35</f>
        <v>0.31494</v>
      </c>
      <c r="G37" s="94"/>
      <c r="H37" s="94"/>
      <c r="I37" s="94"/>
      <c r="J37" s="94"/>
      <c r="K37" s="94"/>
      <c r="L37" s="94"/>
      <c r="M37" s="94"/>
    </row>
    <row r="38" spans="1:13">
      <c r="A38" s="92" t="s">
        <v>201</v>
      </c>
      <c r="B38" s="98"/>
      <c r="C38" s="107" t="s">
        <v>13</v>
      </c>
      <c r="D38" s="92" t="s">
        <v>25</v>
      </c>
      <c r="E38" s="94">
        <v>0.18</v>
      </c>
      <c r="F38" s="94">
        <f>E38*F35</f>
        <v>1.5659999999999997E-2</v>
      </c>
      <c r="G38" s="94"/>
      <c r="H38" s="94"/>
      <c r="I38" s="94"/>
      <c r="J38" s="94"/>
      <c r="K38" s="94"/>
      <c r="L38" s="94"/>
      <c r="M38" s="94"/>
    </row>
    <row r="39" spans="1:13">
      <c r="A39" s="92" t="s">
        <v>202</v>
      </c>
      <c r="B39" s="98" t="s">
        <v>333</v>
      </c>
      <c r="C39" s="109" t="s">
        <v>334</v>
      </c>
      <c r="D39" s="92" t="s">
        <v>329</v>
      </c>
      <c r="E39" s="94">
        <v>0.04</v>
      </c>
      <c r="F39" s="94">
        <f>E39*F35</f>
        <v>3.48E-3</v>
      </c>
      <c r="G39" s="94"/>
      <c r="H39" s="94"/>
      <c r="I39" s="94"/>
      <c r="J39" s="94"/>
      <c r="K39" s="94"/>
      <c r="L39" s="94"/>
      <c r="M39" s="94"/>
    </row>
    <row r="40" spans="1:13">
      <c r="A40" s="92"/>
      <c r="B40" s="98"/>
      <c r="C40" s="123"/>
      <c r="D40" s="92"/>
      <c r="E40" s="94"/>
      <c r="F40" s="94"/>
      <c r="G40" s="94"/>
      <c r="H40" s="94"/>
      <c r="I40" s="94"/>
      <c r="J40" s="94"/>
      <c r="K40" s="94"/>
      <c r="L40" s="94"/>
      <c r="M40" s="122"/>
    </row>
    <row r="41" spans="1:13">
      <c r="A41" s="92">
        <v>1.7</v>
      </c>
      <c r="B41" s="98" t="s">
        <v>369</v>
      </c>
      <c r="C41" s="136" t="s">
        <v>241</v>
      </c>
      <c r="D41" s="92" t="s">
        <v>329</v>
      </c>
      <c r="E41" s="94"/>
      <c r="F41" s="94">
        <v>12</v>
      </c>
      <c r="G41" s="94"/>
      <c r="H41" s="94"/>
      <c r="I41" s="94"/>
      <c r="J41" s="94"/>
      <c r="K41" s="94"/>
      <c r="L41" s="94"/>
      <c r="M41" s="94"/>
    </row>
    <row r="42" spans="1:13">
      <c r="A42" s="92"/>
      <c r="B42" s="98"/>
      <c r="C42" s="123"/>
      <c r="D42" s="92" t="s">
        <v>370</v>
      </c>
      <c r="E42" s="94"/>
      <c r="F42" s="94">
        <f>F41</f>
        <v>12</v>
      </c>
      <c r="G42" s="94"/>
      <c r="H42" s="94"/>
      <c r="I42" s="94"/>
      <c r="J42" s="94"/>
      <c r="K42" s="94"/>
      <c r="L42" s="94"/>
      <c r="M42" s="94"/>
    </row>
    <row r="43" spans="1:13">
      <c r="A43" s="92" t="s">
        <v>61</v>
      </c>
      <c r="B43" s="98"/>
      <c r="C43" s="123" t="s">
        <v>15</v>
      </c>
      <c r="D43" s="92" t="s">
        <v>1</v>
      </c>
      <c r="E43" s="94">
        <v>0.89</v>
      </c>
      <c r="F43" s="94">
        <f>E43*F42</f>
        <v>10.68</v>
      </c>
      <c r="G43" s="94"/>
      <c r="H43" s="94"/>
      <c r="I43" s="94"/>
      <c r="J43" s="94"/>
      <c r="K43" s="94"/>
      <c r="L43" s="94"/>
      <c r="M43" s="94"/>
    </row>
    <row r="44" spans="1:13">
      <c r="A44" s="92" t="s">
        <v>62</v>
      </c>
      <c r="B44" s="98" t="s">
        <v>345</v>
      </c>
      <c r="C44" s="123" t="s">
        <v>96</v>
      </c>
      <c r="D44" s="92" t="s">
        <v>329</v>
      </c>
      <c r="E44" s="94">
        <v>1.1499999999999999</v>
      </c>
      <c r="F44" s="94">
        <f>E44*F42</f>
        <v>13.799999999999999</v>
      </c>
      <c r="G44" s="94"/>
      <c r="H44" s="94"/>
      <c r="I44" s="94"/>
      <c r="J44" s="94"/>
      <c r="K44" s="94"/>
      <c r="L44" s="94"/>
      <c r="M44" s="94"/>
    </row>
    <row r="45" spans="1:13">
      <c r="A45" s="92"/>
      <c r="B45" s="98"/>
      <c r="C45" s="107" t="s">
        <v>13</v>
      </c>
      <c r="D45" s="92" t="s">
        <v>25</v>
      </c>
      <c r="E45" s="94">
        <v>0.37</v>
      </c>
      <c r="F45" s="94">
        <f>E45*F42</f>
        <v>4.4399999999999995</v>
      </c>
      <c r="G45" s="94"/>
      <c r="H45" s="94"/>
      <c r="I45" s="94"/>
      <c r="J45" s="94"/>
      <c r="K45" s="94"/>
      <c r="L45" s="94"/>
      <c r="M45" s="94"/>
    </row>
    <row r="46" spans="1:13">
      <c r="A46" s="92"/>
      <c r="B46" s="135"/>
      <c r="C46" s="123" t="s">
        <v>14</v>
      </c>
      <c r="D46" s="92" t="s">
        <v>25</v>
      </c>
      <c r="E46" s="94">
        <v>0.02</v>
      </c>
      <c r="F46" s="94">
        <f>E46*F42</f>
        <v>0.24</v>
      </c>
      <c r="G46" s="94"/>
      <c r="H46" s="94"/>
      <c r="I46" s="94"/>
      <c r="J46" s="94"/>
      <c r="K46" s="94"/>
      <c r="L46" s="94"/>
      <c r="M46" s="94"/>
    </row>
    <row r="47" spans="1:13">
      <c r="A47" s="92"/>
      <c r="B47" s="98"/>
      <c r="C47" s="123"/>
      <c r="D47" s="92"/>
      <c r="E47" s="94"/>
      <c r="F47" s="94"/>
      <c r="G47" s="94"/>
      <c r="H47" s="94"/>
      <c r="I47" s="94"/>
      <c r="J47" s="94"/>
      <c r="K47" s="94"/>
      <c r="L47" s="94"/>
      <c r="M47" s="122"/>
    </row>
    <row r="48" spans="1:13">
      <c r="A48" s="92">
        <v>1.8</v>
      </c>
      <c r="B48" s="98" t="s">
        <v>373</v>
      </c>
      <c r="C48" s="123" t="s">
        <v>242</v>
      </c>
      <c r="D48" s="92" t="s">
        <v>329</v>
      </c>
      <c r="E48" s="94"/>
      <c r="F48" s="94">
        <v>6</v>
      </c>
      <c r="G48" s="94"/>
      <c r="H48" s="94"/>
      <c r="I48" s="94"/>
      <c r="J48" s="94"/>
      <c r="K48" s="94"/>
      <c r="L48" s="94"/>
      <c r="M48" s="122"/>
    </row>
    <row r="49" spans="1:13">
      <c r="A49" s="92"/>
      <c r="B49" s="98"/>
      <c r="C49" s="123"/>
      <c r="D49" s="92" t="s">
        <v>342</v>
      </c>
      <c r="E49" s="94"/>
      <c r="F49" s="108">
        <f>F48/100</f>
        <v>0.06</v>
      </c>
      <c r="G49" s="94"/>
      <c r="H49" s="94"/>
      <c r="I49" s="94"/>
      <c r="J49" s="94"/>
      <c r="K49" s="94"/>
      <c r="L49" s="94"/>
      <c r="M49" s="122"/>
    </row>
    <row r="50" spans="1:13">
      <c r="A50" s="92" t="s">
        <v>63</v>
      </c>
      <c r="B50" s="98"/>
      <c r="C50" s="140" t="s">
        <v>15</v>
      </c>
      <c r="D50" s="92" t="s">
        <v>1</v>
      </c>
      <c r="E50" s="94">
        <v>137</v>
      </c>
      <c r="F50" s="94">
        <f>E50*F49</f>
        <v>8.2199999999999989</v>
      </c>
      <c r="G50" s="94"/>
      <c r="H50" s="94"/>
      <c r="I50" s="94"/>
      <c r="J50" s="94"/>
      <c r="K50" s="94"/>
      <c r="L50" s="94"/>
      <c r="M50" s="122"/>
    </row>
    <row r="51" spans="1:13">
      <c r="A51" s="92" t="s">
        <v>64</v>
      </c>
      <c r="B51" s="98"/>
      <c r="C51" s="109" t="s">
        <v>13</v>
      </c>
      <c r="D51" s="92" t="s">
        <v>25</v>
      </c>
      <c r="E51" s="94">
        <v>28.3</v>
      </c>
      <c r="F51" s="94">
        <f>E51*F49</f>
        <v>1.698</v>
      </c>
      <c r="G51" s="94"/>
      <c r="H51" s="94"/>
      <c r="I51" s="94"/>
      <c r="J51" s="94"/>
      <c r="K51" s="94"/>
      <c r="L51" s="94"/>
      <c r="M51" s="122"/>
    </row>
    <row r="52" spans="1:13">
      <c r="A52" s="92" t="s">
        <v>206</v>
      </c>
      <c r="B52" s="98" t="s">
        <v>422</v>
      </c>
      <c r="C52" s="123" t="s">
        <v>423</v>
      </c>
      <c r="D52" s="92" t="s">
        <v>329</v>
      </c>
      <c r="E52" s="94">
        <v>102</v>
      </c>
      <c r="F52" s="94">
        <f>E52*F49</f>
        <v>6.12</v>
      </c>
      <c r="G52" s="94"/>
      <c r="H52" s="94"/>
      <c r="I52" s="94"/>
      <c r="J52" s="94"/>
      <c r="K52" s="94"/>
      <c r="L52" s="94"/>
      <c r="M52" s="122"/>
    </row>
    <row r="53" spans="1:13">
      <c r="A53" s="92" t="s">
        <v>207</v>
      </c>
      <c r="B53" s="98"/>
      <c r="C53" s="109" t="s">
        <v>14</v>
      </c>
      <c r="D53" s="92" t="s">
        <v>25</v>
      </c>
      <c r="E53" s="94">
        <v>62</v>
      </c>
      <c r="F53" s="94">
        <f>E53*F49</f>
        <v>3.7199999999999998</v>
      </c>
      <c r="G53" s="94"/>
      <c r="H53" s="94"/>
      <c r="I53" s="94"/>
      <c r="J53" s="122"/>
      <c r="K53" s="94"/>
      <c r="L53" s="94"/>
      <c r="M53" s="122"/>
    </row>
    <row r="54" spans="1:13">
      <c r="A54" s="92"/>
      <c r="B54" s="98"/>
      <c r="C54" s="109"/>
      <c r="D54" s="92"/>
      <c r="E54" s="94"/>
      <c r="F54" s="94"/>
      <c r="G54" s="94"/>
      <c r="H54" s="94"/>
      <c r="I54" s="94"/>
      <c r="J54" s="122"/>
      <c r="K54" s="94"/>
      <c r="L54" s="94"/>
      <c r="M54" s="122"/>
    </row>
    <row r="55" spans="1:13">
      <c r="A55" s="92">
        <v>1.9</v>
      </c>
      <c r="B55" s="135" t="s">
        <v>377</v>
      </c>
      <c r="C55" s="123" t="s">
        <v>438</v>
      </c>
      <c r="D55" s="92" t="s">
        <v>329</v>
      </c>
      <c r="E55" s="94"/>
      <c r="F55" s="94">
        <v>45</v>
      </c>
      <c r="G55" s="94"/>
      <c r="H55" s="94"/>
      <c r="I55" s="94"/>
      <c r="J55" s="94"/>
      <c r="K55" s="94"/>
      <c r="L55" s="94"/>
      <c r="M55" s="122"/>
    </row>
    <row r="56" spans="1:13">
      <c r="A56" s="92"/>
      <c r="B56" s="135"/>
      <c r="C56" s="123"/>
      <c r="D56" s="92" t="s">
        <v>342</v>
      </c>
      <c r="E56" s="94"/>
      <c r="F56" s="108">
        <f>F55/100</f>
        <v>0.45</v>
      </c>
      <c r="G56" s="94"/>
      <c r="H56" s="94"/>
      <c r="I56" s="94"/>
      <c r="J56" s="94"/>
      <c r="K56" s="94"/>
      <c r="L56" s="94"/>
      <c r="M56" s="94"/>
    </row>
    <row r="57" spans="1:13">
      <c r="A57" s="92" t="s">
        <v>65</v>
      </c>
      <c r="B57" s="135"/>
      <c r="C57" s="123" t="s">
        <v>40</v>
      </c>
      <c r="D57" s="92" t="s">
        <v>1</v>
      </c>
      <c r="E57" s="94">
        <v>599</v>
      </c>
      <c r="F57" s="94">
        <f>E57*F56</f>
        <v>269.55</v>
      </c>
      <c r="G57" s="94"/>
      <c r="H57" s="94"/>
      <c r="I57" s="94"/>
      <c r="J57" s="94"/>
      <c r="K57" s="94"/>
      <c r="L57" s="94"/>
      <c r="M57" s="94"/>
    </row>
    <row r="58" spans="1:13">
      <c r="A58" s="92" t="s">
        <v>66</v>
      </c>
      <c r="B58" s="135"/>
      <c r="C58" s="137" t="s">
        <v>124</v>
      </c>
      <c r="D58" s="138" t="s">
        <v>24</v>
      </c>
      <c r="E58" s="139">
        <v>0</v>
      </c>
      <c r="F58" s="139">
        <f>E58*F56</f>
        <v>0</v>
      </c>
      <c r="G58" s="139"/>
      <c r="H58" s="139"/>
      <c r="I58" s="139"/>
      <c r="J58" s="139"/>
      <c r="K58" s="139"/>
      <c r="L58" s="139"/>
      <c r="M58" s="139"/>
    </row>
    <row r="59" spans="1:13">
      <c r="A59" s="92" t="s">
        <v>208</v>
      </c>
      <c r="B59" s="135"/>
      <c r="C59" s="123" t="s">
        <v>439</v>
      </c>
      <c r="D59" s="92" t="s">
        <v>25</v>
      </c>
      <c r="E59" s="94">
        <v>109</v>
      </c>
      <c r="F59" s="94">
        <f>E59*F56</f>
        <v>49.050000000000004</v>
      </c>
      <c r="G59" s="94"/>
      <c r="H59" s="94"/>
      <c r="I59" s="94"/>
      <c r="J59" s="94"/>
      <c r="K59" s="94"/>
      <c r="L59" s="94"/>
      <c r="M59" s="94"/>
    </row>
    <row r="60" spans="1:13">
      <c r="A60" s="92" t="s">
        <v>209</v>
      </c>
      <c r="B60" s="135" t="s">
        <v>376</v>
      </c>
      <c r="C60" s="123" t="s">
        <v>177</v>
      </c>
      <c r="D60" s="92" t="s">
        <v>329</v>
      </c>
      <c r="E60" s="94">
        <v>101.5</v>
      </c>
      <c r="F60" s="94">
        <f>E60*F56</f>
        <v>45.675000000000004</v>
      </c>
      <c r="G60" s="94"/>
      <c r="H60" s="94"/>
      <c r="I60" s="94"/>
      <c r="J60" s="94"/>
      <c r="K60" s="94"/>
      <c r="L60" s="94"/>
      <c r="M60" s="94"/>
    </row>
    <row r="61" spans="1:13">
      <c r="A61" s="92" t="s">
        <v>210</v>
      </c>
      <c r="B61" s="135" t="s">
        <v>348</v>
      </c>
      <c r="C61" s="123" t="s">
        <v>349</v>
      </c>
      <c r="D61" s="92" t="s">
        <v>23</v>
      </c>
      <c r="E61" s="122" t="s">
        <v>91</v>
      </c>
      <c r="F61" s="108">
        <v>0.24</v>
      </c>
      <c r="G61" s="94"/>
      <c r="H61" s="94"/>
      <c r="I61" s="94"/>
      <c r="J61" s="94"/>
      <c r="K61" s="122"/>
      <c r="L61" s="94"/>
      <c r="M61" s="94"/>
    </row>
    <row r="62" spans="1:13">
      <c r="A62" s="92" t="s">
        <v>211</v>
      </c>
      <c r="B62" s="135" t="s">
        <v>350</v>
      </c>
      <c r="C62" s="123" t="s">
        <v>127</v>
      </c>
      <c r="D62" s="92" t="s">
        <v>23</v>
      </c>
      <c r="E62" s="122" t="s">
        <v>91</v>
      </c>
      <c r="F62" s="108">
        <v>2.7</v>
      </c>
      <c r="G62" s="94"/>
      <c r="H62" s="94"/>
      <c r="I62" s="94"/>
      <c r="J62" s="94"/>
      <c r="K62" s="122"/>
      <c r="L62" s="94"/>
      <c r="M62" s="94"/>
    </row>
    <row r="63" spans="1:13">
      <c r="A63" s="92" t="s">
        <v>226</v>
      </c>
      <c r="B63" s="135"/>
      <c r="C63" s="137" t="s">
        <v>122</v>
      </c>
      <c r="D63" s="138" t="s">
        <v>329</v>
      </c>
      <c r="E63" s="139">
        <v>0</v>
      </c>
      <c r="F63" s="139">
        <f>E63*F56</f>
        <v>0</v>
      </c>
      <c r="G63" s="139"/>
      <c r="H63" s="139"/>
      <c r="I63" s="139"/>
      <c r="J63" s="139"/>
      <c r="K63" s="139"/>
      <c r="L63" s="139"/>
      <c r="M63" s="139"/>
    </row>
    <row r="64" spans="1:13">
      <c r="A64" s="92" t="s">
        <v>244</v>
      </c>
      <c r="B64" s="135"/>
      <c r="C64" s="137" t="s">
        <v>125</v>
      </c>
      <c r="D64" s="138" t="s">
        <v>329</v>
      </c>
      <c r="E64" s="139">
        <v>0</v>
      </c>
      <c r="F64" s="139">
        <f>E64*F56</f>
        <v>0</v>
      </c>
      <c r="G64" s="139"/>
      <c r="H64" s="139"/>
      <c r="I64" s="139"/>
      <c r="J64" s="139"/>
      <c r="K64" s="139"/>
      <c r="L64" s="139"/>
      <c r="M64" s="139"/>
    </row>
    <row r="65" spans="1:13">
      <c r="A65" s="92" t="s">
        <v>245</v>
      </c>
      <c r="B65" s="135" t="s">
        <v>351</v>
      </c>
      <c r="C65" s="123" t="s">
        <v>352</v>
      </c>
      <c r="D65" s="92" t="s">
        <v>337</v>
      </c>
      <c r="E65" s="94">
        <v>118</v>
      </c>
      <c r="F65" s="94">
        <f>E65*F56</f>
        <v>53.1</v>
      </c>
      <c r="G65" s="94"/>
      <c r="H65" s="94"/>
      <c r="I65" s="94"/>
      <c r="J65" s="94"/>
      <c r="K65" s="94"/>
      <c r="L65" s="94"/>
      <c r="M65" s="94"/>
    </row>
    <row r="66" spans="1:13">
      <c r="A66" s="92" t="s">
        <v>430</v>
      </c>
      <c r="B66" s="135" t="s">
        <v>353</v>
      </c>
      <c r="C66" s="123" t="s">
        <v>437</v>
      </c>
      <c r="D66" s="92" t="s">
        <v>329</v>
      </c>
      <c r="E66" s="94">
        <f>0.21+2.78</f>
        <v>2.9899999999999998</v>
      </c>
      <c r="F66" s="94">
        <f>E66*F56</f>
        <v>1.3454999999999999</v>
      </c>
      <c r="G66" s="94"/>
      <c r="H66" s="94"/>
      <c r="I66" s="94"/>
      <c r="J66" s="94"/>
      <c r="K66" s="94"/>
      <c r="L66" s="94"/>
      <c r="M66" s="94"/>
    </row>
    <row r="67" spans="1:13">
      <c r="A67" s="92" t="s">
        <v>431</v>
      </c>
      <c r="B67" s="135" t="s">
        <v>355</v>
      </c>
      <c r="C67" s="123" t="s">
        <v>356</v>
      </c>
      <c r="D67" s="92" t="s">
        <v>357</v>
      </c>
      <c r="E67" s="94">
        <v>110</v>
      </c>
      <c r="F67" s="94">
        <f>E67*F56</f>
        <v>49.5</v>
      </c>
      <c r="G67" s="94"/>
      <c r="H67" s="94"/>
      <c r="I67" s="94"/>
      <c r="J67" s="94"/>
      <c r="K67" s="94"/>
      <c r="L67" s="94"/>
      <c r="M67" s="94"/>
    </row>
    <row r="68" spans="1:13">
      <c r="A68" s="92" t="s">
        <v>432</v>
      </c>
      <c r="B68" s="135" t="s">
        <v>379</v>
      </c>
      <c r="C68" s="123" t="s">
        <v>380</v>
      </c>
      <c r="D68" s="92" t="s">
        <v>357</v>
      </c>
      <c r="E68" s="94">
        <v>140</v>
      </c>
      <c r="F68" s="94">
        <f>E68*F56</f>
        <v>63</v>
      </c>
      <c r="G68" s="94"/>
      <c r="H68" s="94"/>
      <c r="I68" s="94"/>
      <c r="J68" s="94"/>
      <c r="K68" s="94"/>
      <c r="L68" s="94"/>
      <c r="M68" s="94"/>
    </row>
    <row r="69" spans="1:13">
      <c r="A69" s="92" t="s">
        <v>433</v>
      </c>
      <c r="B69" s="135"/>
      <c r="C69" s="123" t="s">
        <v>101</v>
      </c>
      <c r="D69" s="92" t="s">
        <v>25</v>
      </c>
      <c r="E69" s="94">
        <v>32</v>
      </c>
      <c r="F69" s="94">
        <f>E69*F56</f>
        <v>14.4</v>
      </c>
      <c r="G69" s="94"/>
      <c r="H69" s="94"/>
      <c r="I69" s="94"/>
      <c r="J69" s="94"/>
      <c r="K69" s="94"/>
      <c r="L69" s="94"/>
      <c r="M69" s="94"/>
    </row>
    <row r="70" spans="1:13">
      <c r="A70" s="92"/>
      <c r="B70" s="98"/>
      <c r="C70" s="109"/>
      <c r="D70" s="92"/>
      <c r="E70" s="94"/>
      <c r="F70" s="94"/>
      <c r="G70" s="94"/>
      <c r="H70" s="94"/>
      <c r="I70" s="94"/>
      <c r="J70" s="122"/>
      <c r="K70" s="94"/>
      <c r="L70" s="94"/>
      <c r="M70" s="122"/>
    </row>
    <row r="71" spans="1:13">
      <c r="A71" s="93">
        <v>1.1000000000000001</v>
      </c>
      <c r="B71" s="98" t="s">
        <v>428</v>
      </c>
      <c r="C71" s="123" t="s">
        <v>291</v>
      </c>
      <c r="D71" s="92" t="s">
        <v>329</v>
      </c>
      <c r="E71" s="94"/>
      <c r="F71" s="94">
        <v>14</v>
      </c>
      <c r="G71" s="94"/>
      <c r="H71" s="94"/>
      <c r="I71" s="94"/>
      <c r="J71" s="94"/>
      <c r="K71" s="94"/>
      <c r="L71" s="94"/>
      <c r="M71" s="122"/>
    </row>
    <row r="72" spans="1:13">
      <c r="A72" s="92"/>
      <c r="B72" s="98"/>
      <c r="C72" s="123"/>
      <c r="D72" s="92" t="s">
        <v>370</v>
      </c>
      <c r="E72" s="94"/>
      <c r="F72" s="94">
        <v>14</v>
      </c>
      <c r="G72" s="94"/>
      <c r="H72" s="94"/>
      <c r="I72" s="94"/>
      <c r="J72" s="94"/>
      <c r="K72" s="94"/>
      <c r="L72" s="94"/>
      <c r="M72" s="122"/>
    </row>
    <row r="73" spans="1:13">
      <c r="A73" s="92" t="s">
        <v>67</v>
      </c>
      <c r="B73" s="98"/>
      <c r="C73" s="140" t="s">
        <v>15</v>
      </c>
      <c r="D73" s="92" t="s">
        <v>1</v>
      </c>
      <c r="E73" s="94">
        <v>6.5</v>
      </c>
      <c r="F73" s="127">
        <f>F72*E73</f>
        <v>91</v>
      </c>
      <c r="G73" s="94"/>
      <c r="H73" s="94"/>
      <c r="I73" s="94"/>
      <c r="J73" s="94"/>
      <c r="K73" s="94"/>
      <c r="L73" s="94"/>
      <c r="M73" s="122"/>
    </row>
    <row r="74" spans="1:13">
      <c r="A74" s="92" t="s">
        <v>68</v>
      </c>
      <c r="B74" s="135"/>
      <c r="C74" s="123" t="s">
        <v>13</v>
      </c>
      <c r="D74" s="92" t="s">
        <v>25</v>
      </c>
      <c r="E74" s="94">
        <v>2.16</v>
      </c>
      <c r="F74" s="94">
        <f>E74*F72</f>
        <v>30.240000000000002</v>
      </c>
      <c r="G74" s="94"/>
      <c r="H74" s="94"/>
      <c r="I74" s="94"/>
      <c r="J74" s="94"/>
      <c r="K74" s="94"/>
      <c r="L74" s="94"/>
      <c r="M74" s="94"/>
    </row>
    <row r="75" spans="1:13">
      <c r="A75" s="92" t="s">
        <v>212</v>
      </c>
      <c r="B75" s="98" t="s">
        <v>429</v>
      </c>
      <c r="C75" s="109" t="s">
        <v>292</v>
      </c>
      <c r="D75" s="92" t="s">
        <v>329</v>
      </c>
      <c r="E75" s="94">
        <v>1.1499999999999999</v>
      </c>
      <c r="F75" s="127">
        <f>F72*E75</f>
        <v>16.099999999999998</v>
      </c>
      <c r="G75" s="94"/>
      <c r="H75" s="94"/>
      <c r="I75" s="94"/>
      <c r="J75" s="94"/>
      <c r="K75" s="94"/>
      <c r="L75" s="94"/>
      <c r="M75" s="122"/>
    </row>
    <row r="76" spans="1:13">
      <c r="A76" s="92" t="s">
        <v>213</v>
      </c>
      <c r="B76" s="135"/>
      <c r="C76" s="123" t="s">
        <v>101</v>
      </c>
      <c r="D76" s="92" t="s">
        <v>25</v>
      </c>
      <c r="E76" s="94">
        <v>0.02</v>
      </c>
      <c r="F76" s="94">
        <f>E76*F72</f>
        <v>0.28000000000000003</v>
      </c>
      <c r="G76" s="94"/>
      <c r="H76" s="94"/>
      <c r="I76" s="94"/>
      <c r="J76" s="94"/>
      <c r="K76" s="94"/>
      <c r="L76" s="94"/>
      <c r="M76" s="94"/>
    </row>
    <row r="77" spans="1:13">
      <c r="A77" s="92"/>
      <c r="B77" s="98"/>
      <c r="C77" s="123"/>
      <c r="D77" s="92"/>
      <c r="E77" s="94"/>
      <c r="F77" s="127"/>
      <c r="G77" s="94"/>
      <c r="H77" s="94"/>
      <c r="I77" s="94"/>
      <c r="J77" s="94"/>
      <c r="K77" s="94"/>
      <c r="L77" s="94"/>
      <c r="M77" s="122"/>
    </row>
    <row r="78" spans="1:13">
      <c r="A78" s="93">
        <v>1.1000000000000001</v>
      </c>
      <c r="B78" s="135" t="s">
        <v>398</v>
      </c>
      <c r="C78" s="123" t="s">
        <v>440</v>
      </c>
      <c r="D78" s="92" t="s">
        <v>98</v>
      </c>
      <c r="E78" s="94"/>
      <c r="F78" s="94">
        <f>31*0.3</f>
        <v>9.2999999999999989</v>
      </c>
      <c r="G78" s="94"/>
      <c r="H78" s="94"/>
      <c r="I78" s="94"/>
      <c r="J78" s="94"/>
      <c r="K78" s="94"/>
      <c r="L78" s="94"/>
      <c r="M78" s="94"/>
    </row>
    <row r="79" spans="1:13">
      <c r="A79" s="93"/>
      <c r="B79" s="135"/>
      <c r="C79" s="123"/>
      <c r="D79" s="92" t="s">
        <v>94</v>
      </c>
      <c r="E79" s="94"/>
      <c r="F79" s="108">
        <f>F78/100</f>
        <v>9.2999999999999985E-2</v>
      </c>
      <c r="G79" s="94"/>
      <c r="H79" s="94"/>
      <c r="I79" s="94"/>
      <c r="J79" s="94"/>
      <c r="K79" s="94"/>
      <c r="L79" s="94"/>
      <c r="M79" s="94"/>
    </row>
    <row r="80" spans="1:13">
      <c r="A80" s="92" t="s">
        <v>67</v>
      </c>
      <c r="B80" s="135"/>
      <c r="C80" s="123" t="s">
        <v>40</v>
      </c>
      <c r="D80" s="92" t="s">
        <v>1</v>
      </c>
      <c r="E80" s="94">
        <v>33.1</v>
      </c>
      <c r="F80" s="94">
        <f>E80*F79</f>
        <v>3.0782999999999996</v>
      </c>
      <c r="G80" s="94"/>
      <c r="H80" s="94"/>
      <c r="I80" s="94"/>
      <c r="J80" s="94"/>
      <c r="K80" s="94"/>
      <c r="L80" s="94"/>
      <c r="M80" s="94"/>
    </row>
    <row r="81" spans="1:13">
      <c r="A81" s="92" t="s">
        <v>68</v>
      </c>
      <c r="B81" s="135"/>
      <c r="C81" s="123" t="s">
        <v>13</v>
      </c>
      <c r="D81" s="92" t="s">
        <v>25</v>
      </c>
      <c r="E81" s="94">
        <v>0.47</v>
      </c>
      <c r="F81" s="94">
        <f>E81*F79</f>
        <v>4.3709999999999992E-2</v>
      </c>
      <c r="G81" s="94"/>
      <c r="H81" s="94"/>
      <c r="I81" s="94"/>
      <c r="J81" s="94"/>
      <c r="K81" s="94"/>
      <c r="L81" s="94"/>
      <c r="M81" s="94"/>
    </row>
    <row r="82" spans="1:13" s="71" customFormat="1">
      <c r="A82" s="92" t="s">
        <v>212</v>
      </c>
      <c r="B82" s="135" t="s">
        <v>399</v>
      </c>
      <c r="C82" s="123" t="s">
        <v>400</v>
      </c>
      <c r="D82" s="92" t="s">
        <v>98</v>
      </c>
      <c r="E82" s="94" t="s">
        <v>401</v>
      </c>
      <c r="F82" s="94">
        <v>5</v>
      </c>
      <c r="G82" s="94"/>
      <c r="H82" s="94"/>
      <c r="I82" s="94"/>
      <c r="J82" s="94"/>
      <c r="K82" s="94"/>
      <c r="L82" s="94"/>
      <c r="M82" s="94"/>
    </row>
    <row r="83" spans="1:13" s="71" customFormat="1">
      <c r="A83" s="92" t="s">
        <v>213</v>
      </c>
      <c r="B83" s="135"/>
      <c r="C83" s="123" t="s">
        <v>101</v>
      </c>
      <c r="D83" s="92" t="s">
        <v>25</v>
      </c>
      <c r="E83" s="94">
        <v>10.9</v>
      </c>
      <c r="F83" s="94">
        <f>E83*F79</f>
        <v>1.0136999999999998</v>
      </c>
      <c r="G83" s="94"/>
      <c r="H83" s="94"/>
      <c r="I83" s="94"/>
      <c r="J83" s="94"/>
      <c r="K83" s="94"/>
      <c r="L83" s="94"/>
      <c r="M83" s="94"/>
    </row>
    <row r="84" spans="1:13" s="71" customFormat="1">
      <c r="A84" s="92"/>
      <c r="B84" s="98"/>
      <c r="C84" s="109"/>
      <c r="D84" s="92"/>
      <c r="E84" s="94"/>
      <c r="F84" s="94"/>
      <c r="G84" s="94"/>
      <c r="H84" s="94"/>
      <c r="I84" s="94"/>
      <c r="J84" s="122"/>
      <c r="K84" s="94"/>
      <c r="L84" s="94"/>
      <c r="M84" s="122"/>
    </row>
    <row r="85" spans="1:13" s="71" customFormat="1">
      <c r="A85" s="93">
        <v>1.1100000000000001</v>
      </c>
      <c r="B85" s="98" t="s">
        <v>424</v>
      </c>
      <c r="C85" s="123" t="s">
        <v>441</v>
      </c>
      <c r="D85" s="92" t="s">
        <v>329</v>
      </c>
      <c r="E85" s="94"/>
      <c r="F85" s="94">
        <v>23</v>
      </c>
      <c r="G85" s="94"/>
      <c r="H85" s="94"/>
      <c r="I85" s="94"/>
      <c r="J85" s="94"/>
      <c r="K85" s="94"/>
      <c r="L85" s="94"/>
      <c r="M85" s="122"/>
    </row>
    <row r="86" spans="1:13" s="71" customFormat="1">
      <c r="A86" s="93"/>
      <c r="B86" s="98"/>
      <c r="C86" s="123"/>
      <c r="D86" s="92" t="s">
        <v>330</v>
      </c>
      <c r="E86" s="94"/>
      <c r="F86" s="108">
        <f>F85/1000</f>
        <v>2.3E-2</v>
      </c>
      <c r="G86" s="94"/>
      <c r="H86" s="94"/>
      <c r="I86" s="94"/>
      <c r="J86" s="94"/>
      <c r="K86" s="94"/>
      <c r="L86" s="94"/>
      <c r="M86" s="122"/>
    </row>
    <row r="87" spans="1:13">
      <c r="A87" s="92" t="s">
        <v>69</v>
      </c>
      <c r="B87" s="98" t="s">
        <v>425</v>
      </c>
      <c r="C87" s="123" t="s">
        <v>426</v>
      </c>
      <c r="D87" s="92" t="s">
        <v>24</v>
      </c>
      <c r="E87" s="94">
        <f>5.13+(4*2.04)</f>
        <v>13.29</v>
      </c>
      <c r="F87" s="94">
        <f>E87*F86</f>
        <v>0.30567</v>
      </c>
      <c r="G87" s="94"/>
      <c r="H87" s="94"/>
      <c r="I87" s="94"/>
      <c r="J87" s="94"/>
      <c r="K87" s="94"/>
      <c r="L87" s="94"/>
      <c r="M87" s="122"/>
    </row>
    <row r="88" spans="1:13">
      <c r="A88" s="92" t="s">
        <v>198</v>
      </c>
      <c r="B88" s="98" t="s">
        <v>427</v>
      </c>
      <c r="C88" s="123" t="s">
        <v>290</v>
      </c>
      <c r="D88" s="92" t="s">
        <v>329</v>
      </c>
      <c r="E88" s="94">
        <v>1010</v>
      </c>
      <c r="F88" s="94">
        <f>E88*F86</f>
        <v>23.23</v>
      </c>
      <c r="G88" s="94"/>
      <c r="H88" s="94"/>
      <c r="I88" s="94"/>
      <c r="J88" s="94"/>
      <c r="K88" s="94"/>
      <c r="L88" s="94"/>
      <c r="M88" s="122"/>
    </row>
    <row r="89" spans="1:13">
      <c r="A89" s="92"/>
      <c r="B89" s="98"/>
      <c r="C89" s="123"/>
      <c r="D89" s="92"/>
      <c r="E89" s="94"/>
      <c r="F89" s="94"/>
      <c r="G89" s="94"/>
      <c r="H89" s="94"/>
      <c r="I89" s="94"/>
      <c r="J89" s="94"/>
      <c r="K89" s="94"/>
      <c r="L89" s="94"/>
      <c r="M89" s="122"/>
    </row>
    <row r="90" spans="1:13">
      <c r="A90" s="92">
        <v>1.1299999999999999</v>
      </c>
      <c r="B90" s="98" t="s">
        <v>183</v>
      </c>
      <c r="C90" s="123" t="s">
        <v>243</v>
      </c>
      <c r="D90" s="92" t="s">
        <v>329</v>
      </c>
      <c r="E90" s="94"/>
      <c r="F90" s="94">
        <v>100</v>
      </c>
      <c r="G90" s="94"/>
      <c r="H90" s="94"/>
      <c r="I90" s="94"/>
      <c r="J90" s="94"/>
      <c r="K90" s="94"/>
      <c r="L90" s="94"/>
      <c r="M90" s="122"/>
    </row>
    <row r="91" spans="1:13">
      <c r="A91" s="92"/>
      <c r="B91" s="98"/>
      <c r="C91" s="123"/>
      <c r="D91" s="92" t="s">
        <v>330</v>
      </c>
      <c r="E91" s="94"/>
      <c r="F91" s="108">
        <f>F90/1000</f>
        <v>0.1</v>
      </c>
      <c r="G91" s="94"/>
      <c r="H91" s="94"/>
      <c r="I91" s="94"/>
      <c r="J91" s="94"/>
      <c r="K91" s="94"/>
      <c r="L91" s="94"/>
      <c r="M91" s="122"/>
    </row>
    <row r="92" spans="1:13">
      <c r="A92" s="92" t="s">
        <v>70</v>
      </c>
      <c r="B92" s="98"/>
      <c r="C92" s="140" t="s">
        <v>15</v>
      </c>
      <c r="D92" s="92" t="s">
        <v>1</v>
      </c>
      <c r="E92" s="94">
        <v>15.5</v>
      </c>
      <c r="F92" s="94">
        <f>E92*F91</f>
        <v>1.55</v>
      </c>
      <c r="G92" s="94"/>
      <c r="H92" s="94"/>
      <c r="I92" s="94"/>
      <c r="J92" s="94"/>
      <c r="K92" s="94"/>
      <c r="L92" s="94"/>
      <c r="M92" s="122"/>
    </row>
    <row r="93" spans="1:13">
      <c r="A93" s="92" t="s">
        <v>71</v>
      </c>
      <c r="B93" s="98" t="s">
        <v>331</v>
      </c>
      <c r="C93" s="109" t="s">
        <v>332</v>
      </c>
      <c r="D93" s="92" t="s">
        <v>24</v>
      </c>
      <c r="E93" s="94">
        <v>34.700000000000003</v>
      </c>
      <c r="F93" s="94">
        <f>E93*F91</f>
        <v>3.4700000000000006</v>
      </c>
      <c r="G93" s="94"/>
      <c r="H93" s="94"/>
      <c r="I93" s="94"/>
      <c r="J93" s="94"/>
      <c r="K93" s="94"/>
      <c r="L93" s="94"/>
      <c r="M93" s="122"/>
    </row>
    <row r="94" spans="1:13">
      <c r="A94" s="92" t="s">
        <v>293</v>
      </c>
      <c r="B94" s="98"/>
      <c r="C94" s="109" t="s">
        <v>13</v>
      </c>
      <c r="D94" s="92" t="s">
        <v>25</v>
      </c>
      <c r="E94" s="94">
        <v>2.09</v>
      </c>
      <c r="F94" s="94">
        <f>E94*F91</f>
        <v>0.20899999999999999</v>
      </c>
      <c r="G94" s="94"/>
      <c r="H94" s="94"/>
      <c r="I94" s="94"/>
      <c r="J94" s="94"/>
      <c r="K94" s="94"/>
      <c r="L94" s="94"/>
      <c r="M94" s="122"/>
    </row>
    <row r="95" spans="1:13">
      <c r="A95" s="92" t="s">
        <v>294</v>
      </c>
      <c r="B95" s="98" t="s">
        <v>333</v>
      </c>
      <c r="C95" s="109" t="s">
        <v>334</v>
      </c>
      <c r="D95" s="92" t="s">
        <v>329</v>
      </c>
      <c r="E95" s="94">
        <v>0.04</v>
      </c>
      <c r="F95" s="108">
        <f>E95*F91</f>
        <v>4.0000000000000001E-3</v>
      </c>
      <c r="G95" s="94"/>
      <c r="H95" s="94"/>
      <c r="I95" s="94"/>
      <c r="J95" s="94"/>
      <c r="K95" s="94"/>
      <c r="L95" s="94"/>
      <c r="M95" s="122"/>
    </row>
    <row r="96" spans="1:13">
      <c r="A96" s="92"/>
      <c r="B96" s="98"/>
      <c r="C96" s="123"/>
      <c r="D96" s="92"/>
      <c r="E96" s="94"/>
      <c r="F96" s="94"/>
      <c r="G96" s="94"/>
      <c r="H96" s="94"/>
      <c r="I96" s="94"/>
      <c r="J96" s="94"/>
      <c r="K96" s="94"/>
      <c r="L96" s="94"/>
      <c r="M96" s="122"/>
    </row>
    <row r="97" spans="1:13">
      <c r="A97" s="93">
        <v>1.1399999999999999</v>
      </c>
      <c r="B97" s="98" t="s">
        <v>383</v>
      </c>
      <c r="C97" s="123" t="s">
        <v>295</v>
      </c>
      <c r="D97" s="92" t="s">
        <v>337</v>
      </c>
      <c r="E97" s="94"/>
      <c r="F97" s="94">
        <v>180</v>
      </c>
      <c r="G97" s="94"/>
      <c r="H97" s="94"/>
      <c r="I97" s="94"/>
      <c r="J97" s="94"/>
      <c r="K97" s="94"/>
      <c r="L97" s="94"/>
      <c r="M97" s="122"/>
    </row>
    <row r="98" spans="1:13">
      <c r="A98" s="93"/>
      <c r="B98" s="98"/>
      <c r="C98" s="123"/>
      <c r="D98" s="92" t="s">
        <v>384</v>
      </c>
      <c r="E98" s="94"/>
      <c r="F98" s="108">
        <f>F97/100</f>
        <v>1.8</v>
      </c>
      <c r="G98" s="94"/>
      <c r="H98" s="94"/>
      <c r="I98" s="94"/>
      <c r="J98" s="94"/>
      <c r="K98" s="94"/>
      <c r="L98" s="94"/>
      <c r="M98" s="94"/>
    </row>
    <row r="99" spans="1:13">
      <c r="A99" s="92" t="s">
        <v>199</v>
      </c>
      <c r="B99" s="98"/>
      <c r="C99" s="123" t="s">
        <v>15</v>
      </c>
      <c r="D99" s="92" t="s">
        <v>1</v>
      </c>
      <c r="E99" s="94">
        <v>33.6</v>
      </c>
      <c r="F99" s="94">
        <f>E99*F98</f>
        <v>60.480000000000004</v>
      </c>
      <c r="G99" s="94"/>
      <c r="H99" s="94"/>
      <c r="I99" s="94"/>
      <c r="J99" s="94"/>
      <c r="K99" s="94"/>
      <c r="L99" s="94"/>
      <c r="M99" s="94"/>
    </row>
    <row r="100" spans="1:13">
      <c r="A100" s="92" t="s">
        <v>219</v>
      </c>
      <c r="B100" s="98"/>
      <c r="C100" s="123" t="s">
        <v>13</v>
      </c>
      <c r="D100" s="92" t="s">
        <v>25</v>
      </c>
      <c r="E100" s="94">
        <v>1.5</v>
      </c>
      <c r="F100" s="94">
        <f>E100*F98</f>
        <v>2.7</v>
      </c>
      <c r="G100" s="94"/>
      <c r="H100" s="94"/>
      <c r="I100" s="94"/>
      <c r="J100" s="94"/>
      <c r="K100" s="94"/>
      <c r="L100" s="94"/>
      <c r="M100" s="94"/>
    </row>
    <row r="101" spans="1:13">
      <c r="A101" s="92" t="s">
        <v>220</v>
      </c>
      <c r="B101" s="98" t="s">
        <v>385</v>
      </c>
      <c r="C101" s="123" t="s">
        <v>386</v>
      </c>
      <c r="D101" s="92" t="s">
        <v>23</v>
      </c>
      <c r="E101" s="94">
        <v>0.24</v>
      </c>
      <c r="F101" s="94">
        <f>E101*F98</f>
        <v>0.432</v>
      </c>
      <c r="G101" s="94"/>
      <c r="H101" s="94"/>
      <c r="I101" s="94"/>
      <c r="J101" s="94"/>
      <c r="K101" s="94"/>
      <c r="L101" s="94"/>
      <c r="M101" s="94"/>
    </row>
    <row r="102" spans="1:13">
      <c r="A102" s="92" t="s">
        <v>221</v>
      </c>
      <c r="B102" s="98"/>
      <c r="C102" s="137" t="s">
        <v>104</v>
      </c>
      <c r="D102" s="138" t="s">
        <v>329</v>
      </c>
      <c r="E102" s="139">
        <v>0</v>
      </c>
      <c r="F102" s="139">
        <f>E102*F98</f>
        <v>0</v>
      </c>
      <c r="G102" s="139"/>
      <c r="H102" s="139"/>
      <c r="I102" s="139"/>
      <c r="J102" s="139"/>
      <c r="K102" s="139"/>
      <c r="L102" s="139"/>
      <c r="M102" s="139"/>
    </row>
    <row r="103" spans="1:13">
      <c r="A103" s="92" t="s">
        <v>296</v>
      </c>
      <c r="B103" s="98"/>
      <c r="C103" s="123" t="s">
        <v>101</v>
      </c>
      <c r="D103" s="92" t="s">
        <v>25</v>
      </c>
      <c r="E103" s="94">
        <v>2.2799999999999998</v>
      </c>
      <c r="F103" s="94">
        <f>E103*F98</f>
        <v>4.1040000000000001</v>
      </c>
      <c r="G103" s="94"/>
      <c r="H103" s="94"/>
      <c r="I103" s="94"/>
      <c r="J103" s="94"/>
      <c r="K103" s="94"/>
      <c r="L103" s="94"/>
      <c r="M103" s="94"/>
    </row>
    <row r="104" spans="1:13">
      <c r="A104" s="92"/>
      <c r="B104" s="98"/>
      <c r="C104" s="123"/>
      <c r="D104" s="92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s="47" customFormat="1">
      <c r="A105" s="92">
        <v>1.19</v>
      </c>
      <c r="B105" s="98" t="s">
        <v>406</v>
      </c>
      <c r="C105" s="65" t="s">
        <v>310</v>
      </c>
      <c r="D105" s="92" t="s">
        <v>337</v>
      </c>
      <c r="E105" s="127"/>
      <c r="F105" s="127">
        <v>78</v>
      </c>
      <c r="G105" s="94"/>
      <c r="H105" s="94"/>
      <c r="I105" s="94"/>
      <c r="J105" s="94"/>
      <c r="K105" s="94"/>
      <c r="L105" s="94"/>
      <c r="M105" s="94"/>
    </row>
    <row r="106" spans="1:13" s="47" customFormat="1">
      <c r="A106" s="92"/>
      <c r="B106" s="98"/>
      <c r="C106" s="65"/>
      <c r="D106" s="92" t="s">
        <v>384</v>
      </c>
      <c r="E106" s="127"/>
      <c r="F106" s="128">
        <f>F105/100</f>
        <v>0.78</v>
      </c>
      <c r="G106" s="94"/>
      <c r="H106" s="94"/>
      <c r="I106" s="94"/>
      <c r="J106" s="94"/>
      <c r="K106" s="94"/>
      <c r="L106" s="94"/>
      <c r="M106" s="94"/>
    </row>
    <row r="107" spans="1:13" s="47" customFormat="1">
      <c r="A107" s="92" t="s">
        <v>312</v>
      </c>
      <c r="B107" s="98"/>
      <c r="C107" s="65" t="s">
        <v>92</v>
      </c>
      <c r="D107" s="92" t="s">
        <v>1</v>
      </c>
      <c r="E107" s="94">
        <v>880</v>
      </c>
      <c r="F107" s="127">
        <f>F106*E107</f>
        <v>686.4</v>
      </c>
      <c r="G107" s="94"/>
      <c r="H107" s="94"/>
      <c r="I107" s="94"/>
      <c r="J107" s="94"/>
      <c r="K107" s="94"/>
      <c r="L107" s="94"/>
      <c r="M107" s="94"/>
    </row>
    <row r="108" spans="1:13" s="47" customFormat="1">
      <c r="A108" s="92" t="s">
        <v>313</v>
      </c>
      <c r="B108" s="135"/>
      <c r="C108" s="123" t="s">
        <v>13</v>
      </c>
      <c r="D108" s="92" t="s">
        <v>25</v>
      </c>
      <c r="E108" s="94">
        <v>5</v>
      </c>
      <c r="F108" s="94">
        <f>E108*F106</f>
        <v>3.9000000000000004</v>
      </c>
      <c r="G108" s="94"/>
      <c r="H108" s="94"/>
      <c r="I108" s="94"/>
      <c r="J108" s="94"/>
      <c r="K108" s="94"/>
      <c r="L108" s="94"/>
      <c r="M108" s="94"/>
    </row>
    <row r="109" spans="1:13" s="47" customFormat="1">
      <c r="A109" s="92" t="s">
        <v>407</v>
      </c>
      <c r="B109" s="98" t="s">
        <v>408</v>
      </c>
      <c r="C109" s="65" t="s">
        <v>311</v>
      </c>
      <c r="D109" s="92" t="s">
        <v>337</v>
      </c>
      <c r="E109" s="94">
        <v>100</v>
      </c>
      <c r="F109" s="127">
        <f>F106*E109</f>
        <v>78</v>
      </c>
      <c r="G109" s="94"/>
      <c r="H109" s="94"/>
      <c r="I109" s="94"/>
      <c r="J109" s="94"/>
      <c r="K109" s="94"/>
      <c r="L109" s="94"/>
      <c r="M109" s="94"/>
    </row>
    <row r="110" spans="1:13" s="47" customFormat="1">
      <c r="A110" s="92" t="s">
        <v>409</v>
      </c>
      <c r="B110" s="98" t="s">
        <v>410</v>
      </c>
      <c r="C110" s="123" t="s">
        <v>105</v>
      </c>
      <c r="D110" s="92" t="s">
        <v>329</v>
      </c>
      <c r="E110" s="94">
        <v>52.5</v>
      </c>
      <c r="F110" s="94">
        <f>E110*F106</f>
        <v>40.950000000000003</v>
      </c>
      <c r="G110" s="94"/>
      <c r="H110" s="94"/>
      <c r="I110" s="94"/>
      <c r="J110" s="94"/>
      <c r="K110" s="94"/>
      <c r="L110" s="94"/>
      <c r="M110" s="94"/>
    </row>
    <row r="111" spans="1:13" s="47" customFormat="1">
      <c r="A111" s="92" t="s">
        <v>411</v>
      </c>
      <c r="B111" s="98"/>
      <c r="C111" s="123" t="s">
        <v>101</v>
      </c>
      <c r="D111" s="92" t="s">
        <v>25</v>
      </c>
      <c r="E111" s="94">
        <v>11</v>
      </c>
      <c r="F111" s="94">
        <f>E111*F106</f>
        <v>8.58</v>
      </c>
      <c r="G111" s="94"/>
      <c r="H111" s="94"/>
      <c r="I111" s="94"/>
      <c r="J111" s="94"/>
      <c r="K111" s="94"/>
      <c r="L111" s="94"/>
      <c r="M111" s="94"/>
    </row>
    <row r="112" spans="1:13" s="47" customFormat="1">
      <c r="A112" s="92"/>
      <c r="B112" s="98"/>
      <c r="C112" s="65"/>
      <c r="D112" s="92"/>
      <c r="E112" s="94"/>
      <c r="F112" s="127"/>
      <c r="G112" s="94"/>
      <c r="H112" s="94"/>
      <c r="I112" s="94"/>
      <c r="J112" s="94"/>
      <c r="K112" s="94"/>
      <c r="L112" s="94"/>
      <c r="M112" s="94"/>
    </row>
    <row r="113" spans="1:13">
      <c r="A113" s="59"/>
      <c r="B113" s="97"/>
      <c r="C113" s="59" t="s">
        <v>4</v>
      </c>
      <c r="D113" s="59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>
      <c r="A114" s="92"/>
      <c r="B114" s="98"/>
      <c r="C114" s="92"/>
      <c r="D114" s="92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>
      <c r="A115" s="92"/>
      <c r="B115" s="98"/>
      <c r="C115" s="92" t="s">
        <v>10</v>
      </c>
      <c r="D115" s="99">
        <v>0.1</v>
      </c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>
      <c r="A116" s="92"/>
      <c r="B116" s="98"/>
      <c r="C116" s="92" t="s">
        <v>4</v>
      </c>
      <c r="D116" s="99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>
      <c r="A117" s="92"/>
      <c r="B117" s="98"/>
      <c r="C117" s="92" t="s">
        <v>11</v>
      </c>
      <c r="D117" s="99">
        <v>0.08</v>
      </c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>
      <c r="A118" s="92"/>
      <c r="B118" s="98"/>
      <c r="C118" s="92"/>
      <c r="D118" s="99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>
      <c r="A119" s="59"/>
      <c r="B119" s="98"/>
      <c r="C119" s="59" t="s">
        <v>4</v>
      </c>
      <c r="D119" s="59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1:13">
      <c r="B120" s="101"/>
      <c r="C120" s="102"/>
      <c r="D120" s="101"/>
      <c r="E120" s="101"/>
      <c r="F120" s="101"/>
      <c r="G120" s="101"/>
      <c r="H120" s="101"/>
      <c r="I120" s="101"/>
      <c r="J120" s="101"/>
      <c r="K120" s="101"/>
      <c r="L120" s="101"/>
      <c r="M120" s="103"/>
    </row>
    <row r="121" spans="1:13">
      <c r="B121" s="101"/>
      <c r="C121" s="102"/>
      <c r="D121" s="101"/>
      <c r="E121" s="101"/>
      <c r="F121" s="101"/>
      <c r="G121" s="101"/>
      <c r="H121" s="101"/>
      <c r="I121" s="101"/>
      <c r="J121" s="101"/>
      <c r="K121" s="101"/>
      <c r="L121" s="101"/>
      <c r="M121" s="103"/>
    </row>
    <row r="122" spans="1:13">
      <c r="B122" s="101"/>
      <c r="C122" s="102"/>
      <c r="D122" s="101"/>
      <c r="E122" s="101"/>
      <c r="F122" s="101"/>
      <c r="G122" s="101"/>
      <c r="H122" s="101"/>
      <c r="I122" s="101"/>
      <c r="J122" s="101"/>
      <c r="K122" s="101"/>
      <c r="L122" s="101"/>
      <c r="M122" s="103"/>
    </row>
    <row r="123" spans="1:13">
      <c r="B123" s="101"/>
      <c r="C123" s="102"/>
      <c r="D123" s="101"/>
      <c r="E123" s="101"/>
      <c r="F123" s="101"/>
      <c r="G123" s="101"/>
      <c r="H123" s="101"/>
      <c r="I123" s="101"/>
      <c r="J123" s="101"/>
      <c r="K123" s="101"/>
      <c r="L123" s="101"/>
      <c r="M123" s="103"/>
    </row>
    <row r="124" spans="1:13">
      <c r="B124" s="101"/>
      <c r="C124" s="102"/>
      <c r="D124" s="101"/>
      <c r="E124" s="101"/>
      <c r="F124" s="101"/>
      <c r="G124" s="101"/>
      <c r="H124" s="101"/>
      <c r="I124" s="101"/>
      <c r="J124" s="101"/>
      <c r="K124" s="101"/>
      <c r="L124" s="101"/>
      <c r="M124" s="103"/>
    </row>
    <row r="125" spans="1:13">
      <c r="B125" s="101"/>
      <c r="C125" s="102"/>
      <c r="D125" s="101"/>
      <c r="E125" s="101"/>
      <c r="F125" s="101"/>
      <c r="G125" s="101"/>
      <c r="H125" s="101"/>
      <c r="I125" s="101"/>
      <c r="J125" s="101"/>
      <c r="K125" s="101"/>
      <c r="L125" s="101"/>
      <c r="M125" s="103"/>
    </row>
    <row r="126" spans="1:13">
      <c r="B126" s="101"/>
      <c r="C126" s="102"/>
      <c r="D126" s="101"/>
      <c r="E126" s="101"/>
      <c r="F126" s="101"/>
      <c r="G126" s="101"/>
      <c r="H126" s="101"/>
      <c r="I126" s="101"/>
      <c r="J126" s="101"/>
      <c r="K126" s="101"/>
      <c r="L126" s="101"/>
      <c r="M126" s="103"/>
    </row>
    <row r="127" spans="1:13">
      <c r="B127" s="101"/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3"/>
    </row>
    <row r="128" spans="1:13">
      <c r="B128" s="101"/>
      <c r="C128" s="102"/>
      <c r="D128" s="101"/>
      <c r="E128" s="101"/>
      <c r="F128" s="101"/>
      <c r="G128" s="101"/>
      <c r="H128" s="101"/>
      <c r="I128" s="101"/>
      <c r="J128" s="101"/>
      <c r="K128" s="101"/>
      <c r="L128" s="101"/>
      <c r="M128" s="103"/>
    </row>
    <row r="129" spans="2:13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4"/>
    </row>
    <row r="130" spans="2:13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4"/>
    </row>
    <row r="131" spans="2:13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4"/>
    </row>
    <row r="132" spans="2:13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4"/>
    </row>
    <row r="133" spans="2:13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4"/>
    </row>
    <row r="134" spans="2:13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4"/>
    </row>
    <row r="135" spans="2:13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4"/>
    </row>
    <row r="136" spans="2:13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4"/>
    </row>
    <row r="137" spans="2:13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4"/>
    </row>
    <row r="138" spans="2:13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4"/>
    </row>
    <row r="139" spans="2:13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4"/>
    </row>
    <row r="140" spans="2:13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4"/>
    </row>
    <row r="141" spans="2:13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4"/>
    </row>
  </sheetData>
  <mergeCells count="10">
    <mergeCell ref="A1:M1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conditionalFormatting sqref="L106:L107">
    <cfRule type="cellIs" dxfId="11" priority="2" stopIfTrue="1" operator="equal">
      <formula>8223.307275</formula>
    </cfRule>
  </conditionalFormatting>
  <conditionalFormatting sqref="L73">
    <cfRule type="cellIs" dxfId="10" priority="3" stopIfTrue="1" operator="equal">
      <formula>8223.307275</formula>
    </cfRule>
  </conditionalFormatting>
  <conditionalFormatting sqref="L105">
    <cfRule type="cellIs" dxfId="9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view="pageBreakPreview" zoomScaleNormal="60" zoomScaleSheetLayoutView="100" workbookViewId="0">
      <selection activeCell="I15" sqref="I15"/>
    </sheetView>
  </sheetViews>
  <sheetFormatPr defaultRowHeight="12.75"/>
  <cols>
    <col min="1" max="1" width="6.85546875" style="111" customWidth="1"/>
    <col min="2" max="2" width="14.28515625" style="100" customWidth="1"/>
    <col min="3" max="3" width="65.28515625" style="100" customWidth="1"/>
    <col min="4" max="4" width="9.85546875" style="100" customWidth="1"/>
    <col min="5" max="12" width="9.7109375" style="100" customWidth="1"/>
    <col min="13" max="13" width="12.28515625" style="105" customWidth="1"/>
    <col min="14" max="16384" width="9.140625" style="47"/>
  </cols>
  <sheetData>
    <row r="1" spans="1:13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14.25" customHeight="1">
      <c r="A2" s="164" t="str">
        <f>'1-1'!A6</f>
        <v>დაბა მესტიაში ბ.ხერგიანის ქუჩის სარეაბილიტაციო სამუშაოების ლოკალურ-რესურსული ხარჯთაღრიცხვა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4.2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48" customFormat="1" ht="24" customHeight="1">
      <c r="A4" s="160" t="s">
        <v>319</v>
      </c>
      <c r="B4" s="161" t="s">
        <v>320</v>
      </c>
      <c r="C4" s="161" t="s">
        <v>321</v>
      </c>
      <c r="D4" s="161" t="s">
        <v>322</v>
      </c>
      <c r="E4" s="160" t="s">
        <v>323</v>
      </c>
      <c r="F4" s="160"/>
      <c r="G4" s="161" t="s">
        <v>324</v>
      </c>
      <c r="H4" s="161"/>
      <c r="I4" s="161" t="s">
        <v>6</v>
      </c>
      <c r="J4" s="161"/>
      <c r="K4" s="160" t="s">
        <v>325</v>
      </c>
      <c r="L4" s="160"/>
      <c r="M4" s="160" t="s">
        <v>4</v>
      </c>
    </row>
    <row r="5" spans="1:13" s="48" customFormat="1" ht="18" customHeight="1">
      <c r="A5" s="160"/>
      <c r="B5" s="161"/>
      <c r="C5" s="161"/>
      <c r="D5" s="161"/>
      <c r="E5" s="59" t="s">
        <v>326</v>
      </c>
      <c r="F5" s="59" t="s">
        <v>249</v>
      </c>
      <c r="G5" s="59" t="s">
        <v>326</v>
      </c>
      <c r="H5" s="59" t="s">
        <v>249</v>
      </c>
      <c r="I5" s="59" t="s">
        <v>326</v>
      </c>
      <c r="J5" s="59" t="s">
        <v>249</v>
      </c>
      <c r="K5" s="59" t="s">
        <v>326</v>
      </c>
      <c r="L5" s="59" t="s">
        <v>249</v>
      </c>
      <c r="M5" s="160"/>
    </row>
    <row r="6" spans="1:13" s="48" customFormat="1">
      <c r="A6" s="59">
        <v>1</v>
      </c>
      <c r="B6" s="59">
        <v>2</v>
      </c>
      <c r="C6" s="58">
        <v>3</v>
      </c>
      <c r="D6" s="59">
        <v>4</v>
      </c>
      <c r="E6" s="59">
        <v>5</v>
      </c>
      <c r="F6" s="59">
        <v>6</v>
      </c>
      <c r="G6" s="59">
        <v>7</v>
      </c>
      <c r="H6" s="53">
        <v>8</v>
      </c>
      <c r="I6" s="59">
        <v>9</v>
      </c>
      <c r="J6" s="53">
        <v>10</v>
      </c>
      <c r="K6" s="59">
        <v>11</v>
      </c>
      <c r="L6" s="53">
        <v>12</v>
      </c>
      <c r="M6" s="53">
        <v>13</v>
      </c>
    </row>
    <row r="7" spans="1:13" s="48" customForma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45"/>
    </row>
    <row r="8" spans="1:13" s="48" customFormat="1">
      <c r="A8" s="59"/>
      <c r="B8" s="92"/>
      <c r="C8" s="58" t="s">
        <v>314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48" customFormat="1">
      <c r="A9" s="59"/>
      <c r="B9" s="92"/>
      <c r="C9" s="58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25.5">
      <c r="A10" s="92">
        <v>1.1000000000000001</v>
      </c>
      <c r="B10" s="98" t="s">
        <v>247</v>
      </c>
      <c r="C10" s="123" t="s">
        <v>253</v>
      </c>
      <c r="D10" s="92" t="s">
        <v>329</v>
      </c>
      <c r="E10" s="94"/>
      <c r="F10" s="94">
        <v>465</v>
      </c>
      <c r="G10" s="94"/>
      <c r="H10" s="94"/>
      <c r="I10" s="94"/>
      <c r="J10" s="94"/>
      <c r="K10" s="94"/>
      <c r="L10" s="94"/>
      <c r="M10" s="94"/>
    </row>
    <row r="11" spans="1:13">
      <c r="A11" s="92"/>
      <c r="B11" s="98"/>
      <c r="C11" s="123"/>
      <c r="D11" s="92" t="s">
        <v>330</v>
      </c>
      <c r="E11" s="94"/>
      <c r="F11" s="108">
        <f>F10/1000</f>
        <v>0.46500000000000002</v>
      </c>
      <c r="G11" s="94"/>
      <c r="H11" s="94"/>
      <c r="I11" s="94"/>
      <c r="J11" s="94"/>
      <c r="K11" s="94"/>
      <c r="L11" s="94"/>
      <c r="M11" s="94"/>
    </row>
    <row r="12" spans="1:13">
      <c r="A12" s="92" t="s">
        <v>0</v>
      </c>
      <c r="B12" s="98"/>
      <c r="C12" s="123" t="s">
        <v>15</v>
      </c>
      <c r="D12" s="92" t="s">
        <v>1</v>
      </c>
      <c r="E12" s="94">
        <v>27</v>
      </c>
      <c r="F12" s="94">
        <f>E12*F11</f>
        <v>12.555000000000001</v>
      </c>
      <c r="G12" s="94"/>
      <c r="H12" s="94"/>
      <c r="I12" s="94"/>
      <c r="J12" s="94"/>
      <c r="K12" s="94"/>
      <c r="L12" s="94"/>
      <c r="M12" s="94"/>
    </row>
    <row r="13" spans="1:13">
      <c r="A13" s="92" t="s">
        <v>189</v>
      </c>
      <c r="B13" s="98" t="s">
        <v>331</v>
      </c>
      <c r="C13" s="109" t="s">
        <v>332</v>
      </c>
      <c r="D13" s="92" t="s">
        <v>24</v>
      </c>
      <c r="E13" s="94">
        <v>60.5</v>
      </c>
      <c r="F13" s="94">
        <f>E13*F11</f>
        <v>28.1325</v>
      </c>
      <c r="G13" s="94"/>
      <c r="H13" s="94"/>
      <c r="I13" s="94"/>
      <c r="J13" s="94"/>
      <c r="K13" s="94"/>
      <c r="L13" s="94"/>
      <c r="M13" s="94"/>
    </row>
    <row r="14" spans="1:13">
      <c r="A14" s="92" t="s">
        <v>190</v>
      </c>
      <c r="B14" s="98"/>
      <c r="C14" s="123" t="s">
        <v>13</v>
      </c>
      <c r="D14" s="92" t="s">
        <v>25</v>
      </c>
      <c r="E14" s="94">
        <v>2.21</v>
      </c>
      <c r="F14" s="94">
        <f>E14*F11</f>
        <v>1.02765</v>
      </c>
      <c r="G14" s="94"/>
      <c r="H14" s="94"/>
      <c r="I14" s="94"/>
      <c r="J14" s="94"/>
      <c r="K14" s="94"/>
      <c r="L14" s="94"/>
      <c r="M14" s="94"/>
    </row>
    <row r="15" spans="1:13" s="57" customFormat="1">
      <c r="A15" s="92" t="s">
        <v>191</v>
      </c>
      <c r="B15" s="98" t="s">
        <v>333</v>
      </c>
      <c r="C15" s="109" t="s">
        <v>334</v>
      </c>
      <c r="D15" s="92" t="s">
        <v>329</v>
      </c>
      <c r="E15" s="94">
        <v>0.06</v>
      </c>
      <c r="F15" s="94">
        <f>E15*F11</f>
        <v>2.7900000000000001E-2</v>
      </c>
      <c r="G15" s="94"/>
      <c r="H15" s="94"/>
      <c r="I15" s="94"/>
      <c r="J15" s="94"/>
      <c r="K15" s="94"/>
      <c r="L15" s="94"/>
      <c r="M15" s="94"/>
    </row>
    <row r="16" spans="1:13">
      <c r="A16" s="92"/>
      <c r="B16" s="98"/>
      <c r="C16" s="123"/>
      <c r="D16" s="92"/>
      <c r="E16" s="94"/>
      <c r="F16" s="94"/>
      <c r="G16" s="94"/>
      <c r="H16" s="94"/>
      <c r="I16" s="94"/>
      <c r="J16" s="94"/>
      <c r="K16" s="94"/>
      <c r="L16" s="94"/>
      <c r="M16" s="94"/>
    </row>
    <row r="17" spans="1:13">
      <c r="A17" s="92">
        <v>1.2</v>
      </c>
      <c r="B17" s="135" t="s">
        <v>366</v>
      </c>
      <c r="C17" s="109" t="s">
        <v>254</v>
      </c>
      <c r="D17" s="92" t="s">
        <v>329</v>
      </c>
      <c r="E17" s="94"/>
      <c r="F17" s="94">
        <v>5</v>
      </c>
      <c r="G17" s="94"/>
      <c r="H17" s="94"/>
      <c r="I17" s="94"/>
      <c r="J17" s="94"/>
      <c r="K17" s="94"/>
      <c r="L17" s="94"/>
      <c r="M17" s="94"/>
    </row>
    <row r="18" spans="1:13">
      <c r="A18" s="92"/>
      <c r="B18" s="98" t="s">
        <v>435</v>
      </c>
      <c r="C18" s="109"/>
      <c r="D18" s="92" t="s">
        <v>342</v>
      </c>
      <c r="E18" s="94"/>
      <c r="F18" s="94">
        <v>0.16</v>
      </c>
      <c r="G18" s="94"/>
      <c r="H18" s="94"/>
      <c r="I18" s="94"/>
      <c r="J18" s="94"/>
      <c r="K18" s="94"/>
      <c r="L18" s="94"/>
      <c r="M18" s="94"/>
    </row>
    <row r="19" spans="1:13">
      <c r="A19" s="92" t="s">
        <v>21</v>
      </c>
      <c r="B19" s="135"/>
      <c r="C19" s="123" t="s">
        <v>15</v>
      </c>
      <c r="D19" s="92" t="s">
        <v>1</v>
      </c>
      <c r="E19" s="94">
        <f>1.2*299</f>
        <v>358.8</v>
      </c>
      <c r="F19" s="94">
        <f>E19*F18</f>
        <v>57.408000000000001</v>
      </c>
      <c r="G19" s="94"/>
      <c r="H19" s="94"/>
      <c r="I19" s="94"/>
      <c r="J19" s="94"/>
      <c r="K19" s="94"/>
      <c r="L19" s="94"/>
      <c r="M19" s="94"/>
    </row>
    <row r="20" spans="1:13">
      <c r="A20" s="92"/>
      <c r="B20" s="135"/>
      <c r="C20" s="123"/>
      <c r="D20" s="92"/>
      <c r="E20" s="94"/>
      <c r="F20" s="94"/>
      <c r="G20" s="94"/>
      <c r="H20" s="94"/>
      <c r="I20" s="94"/>
      <c r="J20" s="94"/>
      <c r="K20" s="94"/>
      <c r="L20" s="94"/>
      <c r="M20" s="94"/>
    </row>
    <row r="21" spans="1:13">
      <c r="A21" s="92">
        <v>1.3</v>
      </c>
      <c r="B21" s="63" t="s">
        <v>367</v>
      </c>
      <c r="C21" s="123" t="s">
        <v>95</v>
      </c>
      <c r="D21" s="92" t="s">
        <v>23</v>
      </c>
      <c r="E21" s="94">
        <v>1.95</v>
      </c>
      <c r="F21" s="94">
        <f>E21*F17</f>
        <v>9.75</v>
      </c>
      <c r="G21" s="94"/>
      <c r="H21" s="94"/>
      <c r="I21" s="94"/>
      <c r="J21" s="94"/>
      <c r="K21" s="94"/>
      <c r="L21" s="94"/>
      <c r="M21" s="94"/>
    </row>
    <row r="22" spans="1:13">
      <c r="A22" s="92" t="s">
        <v>30</v>
      </c>
      <c r="B22" s="64" t="s">
        <v>368</v>
      </c>
      <c r="C22" s="123" t="s">
        <v>15</v>
      </c>
      <c r="D22" s="92" t="s">
        <v>1</v>
      </c>
      <c r="E22" s="94">
        <v>0.53</v>
      </c>
      <c r="F22" s="94">
        <f>E22*F21</f>
        <v>5.1675000000000004</v>
      </c>
      <c r="G22" s="94"/>
      <c r="H22" s="94"/>
      <c r="I22" s="94"/>
      <c r="J22" s="94"/>
      <c r="K22" s="94"/>
      <c r="L22" s="94"/>
      <c r="M22" s="94"/>
    </row>
    <row r="23" spans="1:13">
      <c r="A23" s="92"/>
      <c r="B23" s="98"/>
      <c r="C23" s="109"/>
      <c r="D23" s="92"/>
      <c r="E23" s="94"/>
      <c r="F23" s="94"/>
      <c r="G23" s="94"/>
      <c r="H23" s="94"/>
      <c r="I23" s="94"/>
      <c r="J23" s="94"/>
      <c r="K23" s="94"/>
      <c r="L23" s="94"/>
      <c r="M23" s="94"/>
    </row>
    <row r="24" spans="1:13">
      <c r="A24" s="92">
        <v>1.4</v>
      </c>
      <c r="B24" s="98" t="s">
        <v>335</v>
      </c>
      <c r="C24" s="123" t="s">
        <v>31</v>
      </c>
      <c r="D24" s="92" t="s">
        <v>23</v>
      </c>
      <c r="E24" s="94">
        <v>1.95</v>
      </c>
      <c r="F24" s="94">
        <f>E24*(F10+F17)</f>
        <v>916.5</v>
      </c>
      <c r="G24" s="94"/>
      <c r="H24" s="94"/>
      <c r="I24" s="94"/>
      <c r="J24" s="94"/>
      <c r="K24" s="94"/>
      <c r="L24" s="94"/>
      <c r="M24" s="94"/>
    </row>
    <row r="25" spans="1:13">
      <c r="A25" s="92"/>
      <c r="B25" s="98"/>
      <c r="C25" s="123"/>
      <c r="D25" s="92"/>
      <c r="E25" s="94"/>
      <c r="F25" s="94"/>
      <c r="G25" s="94"/>
      <c r="H25" s="94"/>
      <c r="I25" s="94"/>
      <c r="J25" s="94"/>
      <c r="K25" s="94"/>
      <c r="L25" s="94"/>
      <c r="M25" s="94"/>
    </row>
    <row r="26" spans="1:13">
      <c r="A26" s="92">
        <v>1.5</v>
      </c>
      <c r="B26" s="98" t="s">
        <v>83</v>
      </c>
      <c r="C26" s="123" t="s">
        <v>436</v>
      </c>
      <c r="D26" s="92" t="s">
        <v>329</v>
      </c>
      <c r="E26" s="94"/>
      <c r="F26" s="94">
        <f>F10+F17</f>
        <v>470</v>
      </c>
      <c r="G26" s="94"/>
      <c r="H26" s="94"/>
      <c r="I26" s="94"/>
      <c r="J26" s="94"/>
      <c r="K26" s="94"/>
      <c r="L26" s="94"/>
      <c r="M26" s="94"/>
    </row>
    <row r="27" spans="1:13">
      <c r="A27" s="92"/>
      <c r="B27" s="98"/>
      <c r="C27" s="107"/>
      <c r="D27" s="92" t="s">
        <v>330</v>
      </c>
      <c r="E27" s="94"/>
      <c r="F27" s="108">
        <f>F26/1000</f>
        <v>0.47</v>
      </c>
      <c r="G27" s="94"/>
      <c r="H27" s="94"/>
      <c r="I27" s="94"/>
      <c r="J27" s="94"/>
      <c r="K27" s="94"/>
      <c r="L27" s="94"/>
      <c r="M27" s="94"/>
    </row>
    <row r="28" spans="1:13">
      <c r="A28" s="92" t="s">
        <v>192</v>
      </c>
      <c r="B28" s="98"/>
      <c r="C28" s="107" t="s">
        <v>15</v>
      </c>
      <c r="D28" s="92" t="s">
        <v>1</v>
      </c>
      <c r="E28" s="94">
        <v>3.23</v>
      </c>
      <c r="F28" s="94">
        <f>E28*F27</f>
        <v>1.5181</v>
      </c>
      <c r="G28" s="94"/>
      <c r="H28" s="94"/>
      <c r="I28" s="94"/>
      <c r="J28" s="94"/>
      <c r="K28" s="94"/>
      <c r="L28" s="94"/>
      <c r="M28" s="94"/>
    </row>
    <row r="29" spans="1:13">
      <c r="A29" s="92" t="s">
        <v>193</v>
      </c>
      <c r="B29" s="98" t="s">
        <v>336</v>
      </c>
      <c r="C29" s="107" t="s">
        <v>84</v>
      </c>
      <c r="D29" s="92" t="s">
        <v>24</v>
      </c>
      <c r="E29" s="94">
        <v>3.62</v>
      </c>
      <c r="F29" s="94">
        <f>E29*F27</f>
        <v>1.7014</v>
      </c>
      <c r="G29" s="94"/>
      <c r="H29" s="94"/>
      <c r="I29" s="94"/>
      <c r="J29" s="94"/>
      <c r="K29" s="94"/>
      <c r="L29" s="94"/>
      <c r="M29" s="94"/>
    </row>
    <row r="30" spans="1:13">
      <c r="A30" s="92" t="s">
        <v>194</v>
      </c>
      <c r="B30" s="98"/>
      <c r="C30" s="107" t="s">
        <v>13</v>
      </c>
      <c r="D30" s="92" t="s">
        <v>25</v>
      </c>
      <c r="E30" s="94">
        <v>0.18</v>
      </c>
      <c r="F30" s="94">
        <f>E30*F27</f>
        <v>8.4599999999999995E-2</v>
      </c>
      <c r="G30" s="94"/>
      <c r="H30" s="94"/>
      <c r="I30" s="94"/>
      <c r="J30" s="94"/>
      <c r="K30" s="94"/>
      <c r="L30" s="94"/>
      <c r="M30" s="94"/>
    </row>
    <row r="31" spans="1:13">
      <c r="A31" s="92" t="s">
        <v>195</v>
      </c>
      <c r="B31" s="98" t="s">
        <v>333</v>
      </c>
      <c r="C31" s="109" t="s">
        <v>334</v>
      </c>
      <c r="D31" s="92" t="s">
        <v>329</v>
      </c>
      <c r="E31" s="94">
        <v>0.04</v>
      </c>
      <c r="F31" s="94">
        <f>E31*F27</f>
        <v>1.8800000000000001E-2</v>
      </c>
      <c r="G31" s="94"/>
      <c r="H31" s="94"/>
      <c r="I31" s="94"/>
      <c r="J31" s="94"/>
      <c r="K31" s="94"/>
      <c r="L31" s="94"/>
      <c r="M31" s="94"/>
    </row>
    <row r="32" spans="1:13">
      <c r="A32" s="92"/>
      <c r="B32" s="98"/>
      <c r="C32" s="123"/>
      <c r="D32" s="92"/>
      <c r="E32" s="94"/>
      <c r="F32" s="94"/>
      <c r="G32" s="94"/>
      <c r="H32" s="94"/>
      <c r="I32" s="94"/>
      <c r="J32" s="94"/>
      <c r="K32" s="94"/>
      <c r="L32" s="94"/>
      <c r="M32" s="94"/>
    </row>
    <row r="33" spans="1:13">
      <c r="A33" s="92">
        <v>1.6</v>
      </c>
      <c r="B33" s="98" t="s">
        <v>255</v>
      </c>
      <c r="C33" s="123" t="s">
        <v>284</v>
      </c>
      <c r="D33" s="92" t="s">
        <v>337</v>
      </c>
      <c r="E33" s="94"/>
      <c r="F33" s="94">
        <f>F10+F17</f>
        <v>470</v>
      </c>
      <c r="G33" s="94"/>
      <c r="H33" s="94"/>
      <c r="I33" s="94"/>
      <c r="J33" s="94"/>
      <c r="K33" s="94"/>
      <c r="L33" s="94"/>
      <c r="M33" s="94"/>
    </row>
    <row r="34" spans="1:13">
      <c r="A34" s="92"/>
      <c r="B34" s="98"/>
      <c r="C34" s="123"/>
      <c r="D34" s="92" t="s">
        <v>360</v>
      </c>
      <c r="E34" s="94"/>
      <c r="F34" s="94">
        <v>0.22</v>
      </c>
      <c r="G34" s="94"/>
      <c r="H34" s="94"/>
      <c r="I34" s="94"/>
      <c r="J34" s="94"/>
      <c r="K34" s="94"/>
      <c r="L34" s="94"/>
      <c r="M34" s="94"/>
    </row>
    <row r="35" spans="1:13">
      <c r="A35" s="92" t="s">
        <v>59</v>
      </c>
      <c r="B35" s="98"/>
      <c r="C35" s="123" t="s">
        <v>15</v>
      </c>
      <c r="D35" s="92" t="s">
        <v>1</v>
      </c>
      <c r="E35" s="94">
        <v>91</v>
      </c>
      <c r="F35" s="94">
        <f>E35*F34</f>
        <v>20.02</v>
      </c>
      <c r="G35" s="94"/>
      <c r="H35" s="94"/>
      <c r="I35" s="94"/>
      <c r="J35" s="94"/>
      <c r="K35" s="94"/>
      <c r="L35" s="94"/>
      <c r="M35" s="94"/>
    </row>
    <row r="36" spans="1:13">
      <c r="A36" s="92"/>
      <c r="B36" s="98"/>
      <c r="C36" s="123"/>
      <c r="D36" s="92"/>
      <c r="E36" s="94"/>
      <c r="F36" s="94"/>
      <c r="G36" s="94"/>
      <c r="H36" s="94"/>
      <c r="I36" s="94"/>
      <c r="J36" s="94"/>
      <c r="K36" s="94"/>
      <c r="L36" s="94"/>
      <c r="M36" s="94"/>
    </row>
    <row r="37" spans="1:13">
      <c r="A37" s="92">
        <v>1.7</v>
      </c>
      <c r="B37" s="98" t="s">
        <v>369</v>
      </c>
      <c r="C37" s="123" t="s">
        <v>241</v>
      </c>
      <c r="D37" s="92" t="s">
        <v>329</v>
      </c>
      <c r="E37" s="94"/>
      <c r="F37" s="94">
        <v>30</v>
      </c>
      <c r="G37" s="94"/>
      <c r="H37" s="94"/>
      <c r="I37" s="94"/>
      <c r="J37" s="94"/>
      <c r="K37" s="94"/>
      <c r="L37" s="94"/>
      <c r="M37" s="94"/>
    </row>
    <row r="38" spans="1:13">
      <c r="A38" s="92"/>
      <c r="B38" s="98"/>
      <c r="C38" s="123"/>
      <c r="D38" s="92" t="s">
        <v>370</v>
      </c>
      <c r="E38" s="94"/>
      <c r="F38" s="94">
        <f>F37</f>
        <v>30</v>
      </c>
      <c r="G38" s="94"/>
      <c r="H38" s="94"/>
      <c r="I38" s="94"/>
      <c r="J38" s="94"/>
      <c r="K38" s="94"/>
      <c r="L38" s="94"/>
      <c r="M38" s="94"/>
    </row>
    <row r="39" spans="1:13">
      <c r="A39" s="92" t="s">
        <v>61</v>
      </c>
      <c r="B39" s="98"/>
      <c r="C39" s="123" t="s">
        <v>15</v>
      </c>
      <c r="D39" s="92" t="s">
        <v>1</v>
      </c>
      <c r="E39" s="94">
        <v>0.89</v>
      </c>
      <c r="F39" s="94">
        <f>E39*F38</f>
        <v>26.7</v>
      </c>
      <c r="G39" s="94"/>
      <c r="H39" s="94"/>
      <c r="I39" s="94"/>
      <c r="J39" s="94"/>
      <c r="K39" s="94"/>
      <c r="L39" s="94"/>
      <c r="M39" s="94"/>
    </row>
    <row r="40" spans="1:13">
      <c r="A40" s="92" t="s">
        <v>62</v>
      </c>
      <c r="B40" s="98" t="s">
        <v>345</v>
      </c>
      <c r="C40" s="123" t="s">
        <v>96</v>
      </c>
      <c r="D40" s="92" t="s">
        <v>329</v>
      </c>
      <c r="E40" s="94">
        <v>1.1499999999999999</v>
      </c>
      <c r="F40" s="94">
        <f>E40*F38</f>
        <v>34.5</v>
      </c>
      <c r="G40" s="94"/>
      <c r="H40" s="94"/>
      <c r="I40" s="94"/>
      <c r="J40" s="94"/>
      <c r="K40" s="94"/>
      <c r="L40" s="94"/>
      <c r="M40" s="94"/>
    </row>
    <row r="41" spans="1:13">
      <c r="A41" s="92" t="s">
        <v>371</v>
      </c>
      <c r="B41" s="98"/>
      <c r="C41" s="107" t="s">
        <v>13</v>
      </c>
      <c r="D41" s="92" t="s">
        <v>25</v>
      </c>
      <c r="E41" s="94">
        <v>0.37</v>
      </c>
      <c r="F41" s="94">
        <f>E41*F38</f>
        <v>11.1</v>
      </c>
      <c r="G41" s="94"/>
      <c r="H41" s="94"/>
      <c r="I41" s="94"/>
      <c r="J41" s="94"/>
      <c r="K41" s="94"/>
      <c r="L41" s="94"/>
      <c r="M41" s="94"/>
    </row>
    <row r="42" spans="1:13">
      <c r="A42" s="92" t="s">
        <v>372</v>
      </c>
      <c r="B42" s="135"/>
      <c r="C42" s="123" t="s">
        <v>14</v>
      </c>
      <c r="D42" s="92" t="s">
        <v>25</v>
      </c>
      <c r="E42" s="94">
        <v>0.02</v>
      </c>
      <c r="F42" s="94">
        <f>E42*F38</f>
        <v>0.6</v>
      </c>
      <c r="G42" s="94"/>
      <c r="H42" s="94"/>
      <c r="I42" s="94"/>
      <c r="J42" s="94"/>
      <c r="K42" s="94"/>
      <c r="L42" s="94"/>
      <c r="M42" s="94"/>
    </row>
    <row r="43" spans="1:13">
      <c r="A43" s="92"/>
      <c r="B43" s="98"/>
      <c r="C43" s="123"/>
      <c r="D43" s="92"/>
      <c r="E43" s="94"/>
      <c r="F43" s="94"/>
      <c r="G43" s="94"/>
      <c r="H43" s="94"/>
      <c r="I43" s="94"/>
      <c r="J43" s="94"/>
      <c r="K43" s="94"/>
      <c r="L43" s="94"/>
      <c r="M43" s="94"/>
    </row>
    <row r="44" spans="1:13">
      <c r="A44" s="92">
        <v>1.8</v>
      </c>
      <c r="B44" s="135" t="s">
        <v>373</v>
      </c>
      <c r="C44" s="123" t="s">
        <v>242</v>
      </c>
      <c r="D44" s="92" t="s">
        <v>329</v>
      </c>
      <c r="E44" s="94"/>
      <c r="F44" s="94">
        <v>6</v>
      </c>
      <c r="G44" s="94"/>
      <c r="H44" s="94"/>
      <c r="I44" s="94"/>
      <c r="J44" s="94"/>
      <c r="K44" s="94"/>
      <c r="L44" s="94"/>
      <c r="M44" s="94"/>
    </row>
    <row r="45" spans="1:13">
      <c r="A45" s="92"/>
      <c r="B45" s="135"/>
      <c r="C45" s="123"/>
      <c r="D45" s="92" t="s">
        <v>342</v>
      </c>
      <c r="E45" s="94"/>
      <c r="F45" s="108">
        <f>F44/100</f>
        <v>0.06</v>
      </c>
      <c r="G45" s="94"/>
      <c r="H45" s="94"/>
      <c r="I45" s="94"/>
      <c r="J45" s="94"/>
      <c r="K45" s="94"/>
      <c r="L45" s="94"/>
      <c r="M45" s="94"/>
    </row>
    <row r="46" spans="1:13">
      <c r="A46" s="92" t="s">
        <v>63</v>
      </c>
      <c r="B46" s="135"/>
      <c r="C46" s="123" t="s">
        <v>15</v>
      </c>
      <c r="D46" s="92" t="s">
        <v>1</v>
      </c>
      <c r="E46" s="94">
        <v>137</v>
      </c>
      <c r="F46" s="94">
        <f>E46*F45</f>
        <v>8.2199999999999989</v>
      </c>
      <c r="G46" s="94"/>
      <c r="H46" s="94"/>
      <c r="I46" s="94"/>
      <c r="J46" s="94"/>
      <c r="K46" s="94"/>
      <c r="L46" s="94"/>
      <c r="M46" s="94"/>
    </row>
    <row r="47" spans="1:13">
      <c r="A47" s="92" t="s">
        <v>64</v>
      </c>
      <c r="B47" s="135"/>
      <c r="C47" s="123" t="s">
        <v>13</v>
      </c>
      <c r="D47" s="92" t="s">
        <v>25</v>
      </c>
      <c r="E47" s="94">
        <v>28.3</v>
      </c>
      <c r="F47" s="94">
        <f>E47*F45</f>
        <v>1.698</v>
      </c>
      <c r="G47" s="94"/>
      <c r="H47" s="94"/>
      <c r="I47" s="94"/>
      <c r="J47" s="94"/>
      <c r="K47" s="94"/>
      <c r="L47" s="94"/>
      <c r="M47" s="94"/>
    </row>
    <row r="48" spans="1:13">
      <c r="A48" s="92" t="s">
        <v>206</v>
      </c>
      <c r="B48" s="135" t="s">
        <v>374</v>
      </c>
      <c r="C48" s="123" t="s">
        <v>166</v>
      </c>
      <c r="D48" s="92" t="s">
        <v>329</v>
      </c>
      <c r="E48" s="94">
        <v>102</v>
      </c>
      <c r="F48" s="94">
        <f>E48*F45</f>
        <v>6.12</v>
      </c>
      <c r="G48" s="94"/>
      <c r="H48" s="94"/>
      <c r="I48" s="94"/>
      <c r="J48" s="94"/>
      <c r="K48" s="94"/>
      <c r="L48" s="94"/>
      <c r="M48" s="94"/>
    </row>
    <row r="49" spans="1:13">
      <c r="A49" s="92" t="s">
        <v>207</v>
      </c>
      <c r="B49" s="135"/>
      <c r="C49" s="123" t="s">
        <v>14</v>
      </c>
      <c r="D49" s="92" t="s">
        <v>25</v>
      </c>
      <c r="E49" s="94">
        <v>62</v>
      </c>
      <c r="F49" s="94">
        <f>E49*F45</f>
        <v>3.7199999999999998</v>
      </c>
      <c r="G49" s="94"/>
      <c r="H49" s="94"/>
      <c r="I49" s="94"/>
      <c r="J49" s="94"/>
      <c r="K49" s="94"/>
      <c r="L49" s="94"/>
      <c r="M49" s="94"/>
    </row>
    <row r="50" spans="1:13">
      <c r="A50" s="92"/>
      <c r="B50" s="135"/>
      <c r="C50" s="123"/>
      <c r="D50" s="92"/>
      <c r="E50" s="94"/>
      <c r="F50" s="94"/>
      <c r="G50" s="94"/>
      <c r="H50" s="94"/>
      <c r="I50" s="94"/>
      <c r="J50" s="94"/>
      <c r="K50" s="94"/>
      <c r="L50" s="94"/>
      <c r="M50" s="94"/>
    </row>
    <row r="51" spans="1:13">
      <c r="A51" s="92">
        <v>1.9</v>
      </c>
      <c r="B51" s="135" t="s">
        <v>375</v>
      </c>
      <c r="C51" s="123" t="s">
        <v>299</v>
      </c>
      <c r="D51" s="92" t="s">
        <v>329</v>
      </c>
      <c r="E51" s="94"/>
      <c r="F51" s="94">
        <v>22.35</v>
      </c>
      <c r="G51" s="94"/>
      <c r="H51" s="94"/>
      <c r="I51" s="94"/>
      <c r="J51" s="94"/>
      <c r="K51" s="94"/>
      <c r="L51" s="94"/>
      <c r="M51" s="94"/>
    </row>
    <row r="52" spans="1:13">
      <c r="A52" s="92"/>
      <c r="B52" s="135"/>
      <c r="C52" s="123"/>
      <c r="D52" s="92" t="s">
        <v>342</v>
      </c>
      <c r="E52" s="94"/>
      <c r="F52" s="108">
        <f>F51/100</f>
        <v>0.2235</v>
      </c>
      <c r="G52" s="94"/>
      <c r="H52" s="94"/>
      <c r="I52" s="94"/>
      <c r="J52" s="94"/>
      <c r="K52" s="94"/>
      <c r="L52" s="94"/>
      <c r="M52" s="94"/>
    </row>
    <row r="53" spans="1:13">
      <c r="A53" s="92" t="s">
        <v>65</v>
      </c>
      <c r="B53" s="135"/>
      <c r="C53" s="123" t="s">
        <v>15</v>
      </c>
      <c r="D53" s="92" t="s">
        <v>1</v>
      </c>
      <c r="E53" s="94">
        <v>187</v>
      </c>
      <c r="F53" s="94">
        <f>E53*F52</f>
        <v>41.794499999999999</v>
      </c>
      <c r="G53" s="94"/>
      <c r="H53" s="94"/>
      <c r="I53" s="94"/>
      <c r="J53" s="94"/>
      <c r="K53" s="94"/>
      <c r="L53" s="94"/>
      <c r="M53" s="94"/>
    </row>
    <row r="54" spans="1:13">
      <c r="A54" s="92" t="s">
        <v>66</v>
      </c>
      <c r="B54" s="135"/>
      <c r="C54" s="123" t="s">
        <v>13</v>
      </c>
      <c r="D54" s="92" t="s">
        <v>25</v>
      </c>
      <c r="E54" s="94">
        <v>77</v>
      </c>
      <c r="F54" s="94">
        <f>E54*F52</f>
        <v>17.209500000000002</v>
      </c>
      <c r="G54" s="94"/>
      <c r="H54" s="94"/>
      <c r="I54" s="94"/>
      <c r="J54" s="94"/>
      <c r="K54" s="94"/>
      <c r="L54" s="94"/>
      <c r="M54" s="94"/>
    </row>
    <row r="55" spans="1:13">
      <c r="A55" s="92" t="s">
        <v>208</v>
      </c>
      <c r="B55" s="135" t="s">
        <v>376</v>
      </c>
      <c r="C55" s="123" t="s">
        <v>177</v>
      </c>
      <c r="D55" s="92" t="s">
        <v>329</v>
      </c>
      <c r="E55" s="94">
        <v>101.5</v>
      </c>
      <c r="F55" s="94">
        <f>E55*F52</f>
        <v>22.68525</v>
      </c>
      <c r="G55" s="94"/>
      <c r="H55" s="94"/>
      <c r="I55" s="94"/>
      <c r="J55" s="94"/>
      <c r="K55" s="94"/>
      <c r="L55" s="94"/>
      <c r="M55" s="94"/>
    </row>
    <row r="56" spans="1:13">
      <c r="A56" s="92" t="s">
        <v>209</v>
      </c>
      <c r="B56" s="135" t="s">
        <v>348</v>
      </c>
      <c r="C56" s="123" t="s">
        <v>349</v>
      </c>
      <c r="D56" s="92" t="s">
        <v>23</v>
      </c>
      <c r="E56" s="94" t="s">
        <v>91</v>
      </c>
      <c r="F56" s="108">
        <v>0.20100000000000001</v>
      </c>
      <c r="G56" s="94"/>
      <c r="H56" s="94"/>
      <c r="I56" s="94"/>
      <c r="J56" s="94"/>
      <c r="K56" s="122"/>
      <c r="L56" s="94"/>
      <c r="M56" s="94"/>
    </row>
    <row r="57" spans="1:13">
      <c r="A57" s="92" t="s">
        <v>210</v>
      </c>
      <c r="B57" s="135" t="s">
        <v>350</v>
      </c>
      <c r="C57" s="123" t="s">
        <v>127</v>
      </c>
      <c r="D57" s="92" t="s">
        <v>23</v>
      </c>
      <c r="E57" s="94" t="s">
        <v>91</v>
      </c>
      <c r="F57" s="108">
        <v>2.012</v>
      </c>
      <c r="G57" s="94"/>
      <c r="H57" s="94"/>
      <c r="I57" s="94"/>
      <c r="J57" s="94"/>
      <c r="K57" s="122"/>
      <c r="L57" s="94"/>
      <c r="M57" s="94"/>
    </row>
    <row r="58" spans="1:13">
      <c r="A58" s="92" t="s">
        <v>211</v>
      </c>
      <c r="B58" s="135" t="s">
        <v>351</v>
      </c>
      <c r="C58" s="123" t="s">
        <v>352</v>
      </c>
      <c r="D58" s="92" t="s">
        <v>337</v>
      </c>
      <c r="E58" s="94">
        <v>7.54</v>
      </c>
      <c r="F58" s="94">
        <f>E58*F52</f>
        <v>1.68519</v>
      </c>
      <c r="G58" s="94"/>
      <c r="H58" s="94"/>
      <c r="I58" s="94"/>
      <c r="J58" s="94"/>
      <c r="K58" s="94"/>
      <c r="L58" s="94"/>
      <c r="M58" s="94"/>
    </row>
    <row r="59" spans="1:13">
      <c r="A59" s="92" t="s">
        <v>226</v>
      </c>
      <c r="B59" s="135" t="s">
        <v>353</v>
      </c>
      <c r="C59" s="123" t="s">
        <v>437</v>
      </c>
      <c r="D59" s="92" t="s">
        <v>329</v>
      </c>
      <c r="E59" s="94">
        <v>0.08</v>
      </c>
      <c r="F59" s="94">
        <f>E59*F52</f>
        <v>1.788E-2</v>
      </c>
      <c r="G59" s="94"/>
      <c r="H59" s="94"/>
      <c r="I59" s="94"/>
      <c r="J59" s="94"/>
      <c r="K59" s="94"/>
      <c r="L59" s="94"/>
      <c r="M59" s="94"/>
    </row>
    <row r="60" spans="1:13">
      <c r="A60" s="92" t="s">
        <v>244</v>
      </c>
      <c r="B60" s="135"/>
      <c r="C60" s="123" t="s">
        <v>14</v>
      </c>
      <c r="D60" s="92" t="s">
        <v>25</v>
      </c>
      <c r="E60" s="94">
        <v>7</v>
      </c>
      <c r="F60" s="94">
        <f>E60*F52</f>
        <v>1.5645</v>
      </c>
      <c r="G60" s="94"/>
      <c r="H60" s="94"/>
      <c r="I60" s="94"/>
      <c r="J60" s="94"/>
      <c r="K60" s="94"/>
      <c r="L60" s="94"/>
      <c r="M60" s="94"/>
    </row>
    <row r="61" spans="1:13">
      <c r="A61" s="92"/>
      <c r="B61" s="135"/>
      <c r="C61" s="123"/>
      <c r="D61" s="92"/>
      <c r="E61" s="94"/>
      <c r="F61" s="94"/>
      <c r="G61" s="94"/>
      <c r="H61" s="94"/>
      <c r="I61" s="94"/>
      <c r="J61" s="94"/>
      <c r="K61" s="94"/>
      <c r="L61" s="94"/>
      <c r="M61" s="94"/>
    </row>
    <row r="62" spans="1:13">
      <c r="A62" s="93">
        <v>1.1000000000000001</v>
      </c>
      <c r="B62" s="135" t="s">
        <v>377</v>
      </c>
      <c r="C62" s="123" t="s">
        <v>438</v>
      </c>
      <c r="D62" s="92" t="s">
        <v>329</v>
      </c>
      <c r="E62" s="94"/>
      <c r="F62" s="94">
        <v>26.25</v>
      </c>
      <c r="G62" s="94"/>
      <c r="H62" s="94"/>
      <c r="I62" s="94"/>
      <c r="J62" s="94"/>
      <c r="K62" s="94"/>
      <c r="L62" s="94"/>
      <c r="M62" s="94"/>
    </row>
    <row r="63" spans="1:13">
      <c r="A63" s="93"/>
      <c r="B63" s="135"/>
      <c r="C63" s="123"/>
      <c r="D63" s="92" t="s">
        <v>342</v>
      </c>
      <c r="E63" s="94"/>
      <c r="F63" s="108">
        <f>F62/100</f>
        <v>0.26250000000000001</v>
      </c>
      <c r="G63" s="94"/>
      <c r="H63" s="94"/>
      <c r="I63" s="94"/>
      <c r="J63" s="94"/>
      <c r="K63" s="94"/>
      <c r="L63" s="94"/>
      <c r="M63" s="94"/>
    </row>
    <row r="64" spans="1:13">
      <c r="A64" s="92" t="s">
        <v>67</v>
      </c>
      <c r="B64" s="135"/>
      <c r="C64" s="123" t="s">
        <v>40</v>
      </c>
      <c r="D64" s="92" t="s">
        <v>1</v>
      </c>
      <c r="E64" s="94">
        <v>599</v>
      </c>
      <c r="F64" s="94">
        <f>E64*F63</f>
        <v>157.23750000000001</v>
      </c>
      <c r="G64" s="94"/>
      <c r="H64" s="94"/>
      <c r="I64" s="94"/>
      <c r="J64" s="94"/>
      <c r="K64" s="94"/>
      <c r="L64" s="94"/>
      <c r="M64" s="94"/>
    </row>
    <row r="65" spans="1:13">
      <c r="A65" s="92" t="s">
        <v>68</v>
      </c>
      <c r="B65" s="135"/>
      <c r="C65" s="137" t="s">
        <v>124</v>
      </c>
      <c r="D65" s="138" t="s">
        <v>24</v>
      </c>
      <c r="E65" s="139">
        <v>0</v>
      </c>
      <c r="F65" s="139">
        <f>E65*F63</f>
        <v>0</v>
      </c>
      <c r="G65" s="139"/>
      <c r="H65" s="139"/>
      <c r="I65" s="139"/>
      <c r="J65" s="139"/>
      <c r="K65" s="139"/>
      <c r="L65" s="139"/>
      <c r="M65" s="139"/>
    </row>
    <row r="66" spans="1:13">
      <c r="A66" s="92" t="s">
        <v>212</v>
      </c>
      <c r="B66" s="135"/>
      <c r="C66" s="123" t="s">
        <v>439</v>
      </c>
      <c r="D66" s="92" t="s">
        <v>25</v>
      </c>
      <c r="E66" s="94">
        <v>109</v>
      </c>
      <c r="F66" s="94">
        <f>E66*F63</f>
        <v>28.612500000000001</v>
      </c>
      <c r="G66" s="94"/>
      <c r="H66" s="94"/>
      <c r="I66" s="94"/>
      <c r="J66" s="94"/>
      <c r="K66" s="94"/>
      <c r="L66" s="94"/>
      <c r="M66" s="94"/>
    </row>
    <row r="67" spans="1:13">
      <c r="A67" s="92" t="s">
        <v>213</v>
      </c>
      <c r="B67" s="135" t="s">
        <v>376</v>
      </c>
      <c r="C67" s="123" t="s">
        <v>177</v>
      </c>
      <c r="D67" s="92" t="s">
        <v>329</v>
      </c>
      <c r="E67" s="94">
        <v>101.5</v>
      </c>
      <c r="F67" s="94">
        <f>E67*F63</f>
        <v>26.643750000000001</v>
      </c>
      <c r="G67" s="94"/>
      <c r="H67" s="94"/>
      <c r="I67" s="94"/>
      <c r="J67" s="94"/>
      <c r="K67" s="94"/>
      <c r="L67" s="94"/>
      <c r="M67" s="94"/>
    </row>
    <row r="68" spans="1:13">
      <c r="A68" s="92" t="s">
        <v>256</v>
      </c>
      <c r="B68" s="135" t="s">
        <v>348</v>
      </c>
      <c r="C68" s="123" t="s">
        <v>349</v>
      </c>
      <c r="D68" s="92" t="s">
        <v>23</v>
      </c>
      <c r="E68" s="94" t="s">
        <v>91</v>
      </c>
      <c r="F68" s="108">
        <v>0.23599999999999999</v>
      </c>
      <c r="G68" s="94"/>
      <c r="H68" s="94"/>
      <c r="I68" s="94"/>
      <c r="J68" s="94"/>
      <c r="K68" s="122"/>
      <c r="L68" s="94"/>
      <c r="M68" s="94"/>
    </row>
    <row r="69" spans="1:13">
      <c r="A69" s="92" t="s">
        <v>300</v>
      </c>
      <c r="B69" s="135" t="s">
        <v>350</v>
      </c>
      <c r="C69" s="123" t="s">
        <v>127</v>
      </c>
      <c r="D69" s="92" t="s">
        <v>23</v>
      </c>
      <c r="E69" s="122" t="s">
        <v>91</v>
      </c>
      <c r="F69" s="146">
        <v>2.363</v>
      </c>
      <c r="G69" s="94"/>
      <c r="H69" s="94"/>
      <c r="I69" s="94"/>
      <c r="J69" s="94"/>
      <c r="K69" s="122"/>
      <c r="L69" s="94"/>
      <c r="M69" s="94"/>
    </row>
    <row r="70" spans="1:13">
      <c r="A70" s="92" t="s">
        <v>301</v>
      </c>
      <c r="B70" s="135"/>
      <c r="C70" s="137" t="s">
        <v>122</v>
      </c>
      <c r="D70" s="138" t="s">
        <v>329</v>
      </c>
      <c r="E70" s="139">
        <v>0</v>
      </c>
      <c r="F70" s="139">
        <f>E70*F63</f>
        <v>0</v>
      </c>
      <c r="G70" s="139"/>
      <c r="H70" s="139"/>
      <c r="I70" s="139"/>
      <c r="J70" s="139"/>
      <c r="K70" s="139"/>
      <c r="L70" s="139"/>
      <c r="M70" s="139"/>
    </row>
    <row r="71" spans="1:13">
      <c r="A71" s="92" t="s">
        <v>302</v>
      </c>
      <c r="B71" s="135"/>
      <c r="C71" s="137" t="s">
        <v>125</v>
      </c>
      <c r="D71" s="138" t="s">
        <v>329</v>
      </c>
      <c r="E71" s="139">
        <v>0</v>
      </c>
      <c r="F71" s="139">
        <f>E71*F63</f>
        <v>0</v>
      </c>
      <c r="G71" s="139"/>
      <c r="H71" s="139"/>
      <c r="I71" s="139"/>
      <c r="J71" s="139"/>
      <c r="K71" s="139"/>
      <c r="L71" s="139"/>
      <c r="M71" s="139"/>
    </row>
    <row r="72" spans="1:13">
      <c r="A72" s="92" t="s">
        <v>303</v>
      </c>
      <c r="B72" s="135" t="s">
        <v>351</v>
      </c>
      <c r="C72" s="123" t="s">
        <v>352</v>
      </c>
      <c r="D72" s="92" t="s">
        <v>337</v>
      </c>
      <c r="E72" s="94">
        <v>118</v>
      </c>
      <c r="F72" s="94">
        <f>E72*F63</f>
        <v>30.975000000000001</v>
      </c>
      <c r="G72" s="94"/>
      <c r="H72" s="94"/>
      <c r="I72" s="94"/>
      <c r="J72" s="94"/>
      <c r="K72" s="94"/>
      <c r="L72" s="94"/>
      <c r="M72" s="94"/>
    </row>
    <row r="73" spans="1:13">
      <c r="A73" s="92" t="s">
        <v>354</v>
      </c>
      <c r="B73" s="135" t="s">
        <v>353</v>
      </c>
      <c r="C73" s="123" t="s">
        <v>437</v>
      </c>
      <c r="D73" s="92" t="s">
        <v>329</v>
      </c>
      <c r="E73" s="94">
        <f>0.21+2.78</f>
        <v>2.9899999999999998</v>
      </c>
      <c r="F73" s="94">
        <f>E73*F63</f>
        <v>0.78487499999999999</v>
      </c>
      <c r="G73" s="94"/>
      <c r="H73" s="94"/>
      <c r="I73" s="94"/>
      <c r="J73" s="94"/>
      <c r="K73" s="94"/>
      <c r="L73" s="94"/>
      <c r="M73" s="94"/>
    </row>
    <row r="74" spans="1:13">
      <c r="A74" s="92" t="s">
        <v>378</v>
      </c>
      <c r="B74" s="135" t="s">
        <v>355</v>
      </c>
      <c r="C74" s="123" t="s">
        <v>356</v>
      </c>
      <c r="D74" s="92" t="s">
        <v>357</v>
      </c>
      <c r="E74" s="94">
        <v>110</v>
      </c>
      <c r="F74" s="94">
        <f>E74*F63</f>
        <v>28.875</v>
      </c>
      <c r="G74" s="94"/>
      <c r="H74" s="94"/>
      <c r="I74" s="94"/>
      <c r="J74" s="94"/>
      <c r="K74" s="94"/>
      <c r="L74" s="94"/>
      <c r="M74" s="94"/>
    </row>
    <row r="75" spans="1:13">
      <c r="A75" s="92" t="s">
        <v>381</v>
      </c>
      <c r="B75" s="135" t="s">
        <v>379</v>
      </c>
      <c r="C75" s="123" t="s">
        <v>380</v>
      </c>
      <c r="D75" s="92" t="s">
        <v>357</v>
      </c>
      <c r="E75" s="94">
        <v>140</v>
      </c>
      <c r="F75" s="94">
        <f>E75*F63</f>
        <v>36.75</v>
      </c>
      <c r="G75" s="94"/>
      <c r="H75" s="94"/>
      <c r="I75" s="94"/>
      <c r="J75" s="94"/>
      <c r="K75" s="94"/>
      <c r="L75" s="94"/>
      <c r="M75" s="94"/>
    </row>
    <row r="76" spans="1:13">
      <c r="A76" s="92" t="s">
        <v>382</v>
      </c>
      <c r="B76" s="135"/>
      <c r="C76" s="123" t="s">
        <v>101</v>
      </c>
      <c r="D76" s="92" t="s">
        <v>25</v>
      </c>
      <c r="E76" s="94">
        <v>32</v>
      </c>
      <c r="F76" s="94">
        <f>E76*F63</f>
        <v>8.4</v>
      </c>
      <c r="G76" s="94"/>
      <c r="H76" s="94"/>
      <c r="I76" s="94"/>
      <c r="J76" s="94"/>
      <c r="K76" s="94"/>
      <c r="L76" s="94"/>
      <c r="M76" s="94"/>
    </row>
    <row r="77" spans="1:13">
      <c r="A77" s="92"/>
      <c r="B77" s="135"/>
      <c r="C77" s="123"/>
      <c r="D77" s="92"/>
      <c r="E77" s="94"/>
      <c r="F77" s="94"/>
      <c r="G77" s="94"/>
      <c r="H77" s="94"/>
      <c r="I77" s="94"/>
      <c r="J77" s="94"/>
      <c r="K77" s="94"/>
      <c r="L77" s="94"/>
      <c r="M77" s="94"/>
    </row>
    <row r="78" spans="1:13">
      <c r="A78" s="93">
        <v>1.1100000000000001</v>
      </c>
      <c r="B78" s="98" t="s">
        <v>383</v>
      </c>
      <c r="C78" s="123" t="s">
        <v>257</v>
      </c>
      <c r="D78" s="92" t="s">
        <v>337</v>
      </c>
      <c r="E78" s="94"/>
      <c r="F78" s="94">
        <v>105</v>
      </c>
      <c r="G78" s="94"/>
      <c r="H78" s="94"/>
      <c r="I78" s="94"/>
      <c r="J78" s="94"/>
      <c r="K78" s="94"/>
      <c r="L78" s="94"/>
      <c r="M78" s="94"/>
    </row>
    <row r="79" spans="1:13">
      <c r="A79" s="93"/>
      <c r="B79" s="98"/>
      <c r="C79" s="123"/>
      <c r="D79" s="92" t="s">
        <v>384</v>
      </c>
      <c r="E79" s="94"/>
      <c r="F79" s="108">
        <f>F78/100</f>
        <v>1.05</v>
      </c>
      <c r="G79" s="94"/>
      <c r="H79" s="94"/>
      <c r="I79" s="94"/>
      <c r="J79" s="94"/>
      <c r="K79" s="94"/>
      <c r="L79" s="94"/>
      <c r="M79" s="94"/>
    </row>
    <row r="80" spans="1:13">
      <c r="A80" s="92" t="s">
        <v>69</v>
      </c>
      <c r="B80" s="98"/>
      <c r="C80" s="123" t="s">
        <v>15</v>
      </c>
      <c r="D80" s="92" t="s">
        <v>1</v>
      </c>
      <c r="E80" s="94">
        <v>33.6</v>
      </c>
      <c r="F80" s="94">
        <f>E80*F79</f>
        <v>35.28</v>
      </c>
      <c r="G80" s="94"/>
      <c r="H80" s="94"/>
      <c r="I80" s="94"/>
      <c r="J80" s="94"/>
      <c r="K80" s="94"/>
      <c r="L80" s="94"/>
      <c r="M80" s="94"/>
    </row>
    <row r="81" spans="1:13">
      <c r="A81" s="92" t="s">
        <v>198</v>
      </c>
      <c r="B81" s="98"/>
      <c r="C81" s="123" t="s">
        <v>13</v>
      </c>
      <c r="D81" s="92" t="s">
        <v>25</v>
      </c>
      <c r="E81" s="94">
        <v>1.5</v>
      </c>
      <c r="F81" s="94">
        <f>E81*F79</f>
        <v>1.5750000000000002</v>
      </c>
      <c r="G81" s="94"/>
      <c r="H81" s="94"/>
      <c r="I81" s="94"/>
      <c r="J81" s="94"/>
      <c r="K81" s="94"/>
      <c r="L81" s="94"/>
      <c r="M81" s="94"/>
    </row>
    <row r="82" spans="1:13">
      <c r="A82" s="92" t="s">
        <v>264</v>
      </c>
      <c r="B82" s="98" t="s">
        <v>385</v>
      </c>
      <c r="C82" s="123" t="s">
        <v>386</v>
      </c>
      <c r="D82" s="92" t="s">
        <v>23</v>
      </c>
      <c r="E82" s="94">
        <v>0.24</v>
      </c>
      <c r="F82" s="94">
        <f>E82*F79</f>
        <v>0.252</v>
      </c>
      <c r="G82" s="94"/>
      <c r="H82" s="94"/>
      <c r="I82" s="94"/>
      <c r="J82" s="94"/>
      <c r="K82" s="94"/>
      <c r="L82" s="94"/>
      <c r="M82" s="94"/>
    </row>
    <row r="83" spans="1:13">
      <c r="A83" s="92" t="s">
        <v>265</v>
      </c>
      <c r="B83" s="98"/>
      <c r="C83" s="137" t="s">
        <v>104</v>
      </c>
      <c r="D83" s="138" t="s">
        <v>329</v>
      </c>
      <c r="E83" s="139">
        <v>0</v>
      </c>
      <c r="F83" s="139">
        <f>E83*F79</f>
        <v>0</v>
      </c>
      <c r="G83" s="139"/>
      <c r="H83" s="139"/>
      <c r="I83" s="139"/>
      <c r="J83" s="139"/>
      <c r="K83" s="139"/>
      <c r="L83" s="139"/>
      <c r="M83" s="139"/>
    </row>
    <row r="84" spans="1:13">
      <c r="A84" s="92" t="s">
        <v>304</v>
      </c>
      <c r="B84" s="98"/>
      <c r="C84" s="123" t="s">
        <v>101</v>
      </c>
      <c r="D84" s="92" t="s">
        <v>25</v>
      </c>
      <c r="E84" s="94">
        <v>2.2799999999999998</v>
      </c>
      <c r="F84" s="94">
        <f>E84*F79</f>
        <v>2.3939999999999997</v>
      </c>
      <c r="G84" s="94"/>
      <c r="H84" s="94"/>
      <c r="I84" s="94"/>
      <c r="J84" s="94"/>
      <c r="K84" s="94"/>
      <c r="L84" s="94"/>
      <c r="M84" s="94"/>
    </row>
    <row r="85" spans="1:13">
      <c r="A85" s="92"/>
      <c r="B85" s="98"/>
      <c r="C85" s="123"/>
      <c r="D85" s="92"/>
      <c r="E85" s="94"/>
      <c r="F85" s="94"/>
      <c r="G85" s="94"/>
      <c r="H85" s="94"/>
      <c r="I85" s="94"/>
      <c r="J85" s="94"/>
      <c r="K85" s="94"/>
      <c r="L85" s="94"/>
      <c r="M85" s="94"/>
    </row>
    <row r="86" spans="1:13">
      <c r="A86" s="93">
        <v>1.1200000000000001</v>
      </c>
      <c r="B86" s="98" t="s">
        <v>387</v>
      </c>
      <c r="C86" s="123" t="s">
        <v>259</v>
      </c>
      <c r="D86" s="92" t="s">
        <v>337</v>
      </c>
      <c r="E86" s="94"/>
      <c r="F86" s="94">
        <v>210</v>
      </c>
      <c r="G86" s="94"/>
      <c r="H86" s="94"/>
      <c r="I86" s="94"/>
      <c r="J86" s="94"/>
      <c r="K86" s="94"/>
      <c r="L86" s="94"/>
      <c r="M86" s="94"/>
    </row>
    <row r="87" spans="1:13">
      <c r="A87" s="93"/>
      <c r="B87" s="98" t="s">
        <v>388</v>
      </c>
      <c r="C87" s="123"/>
      <c r="D87" s="92" t="s">
        <v>384</v>
      </c>
      <c r="E87" s="94"/>
      <c r="F87" s="108">
        <f>F86/100</f>
        <v>2.1</v>
      </c>
      <c r="G87" s="94"/>
      <c r="H87" s="94"/>
      <c r="I87" s="94"/>
      <c r="J87" s="94"/>
      <c r="K87" s="94"/>
      <c r="L87" s="94"/>
      <c r="M87" s="94"/>
    </row>
    <row r="88" spans="1:13">
      <c r="A88" s="92" t="s">
        <v>214</v>
      </c>
      <c r="B88" s="98"/>
      <c r="C88" s="123" t="s">
        <v>15</v>
      </c>
      <c r="D88" s="92" t="s">
        <v>1</v>
      </c>
      <c r="E88" s="94">
        <f>95.94-14.36</f>
        <v>81.58</v>
      </c>
      <c r="F88" s="94">
        <f>E88*F87</f>
        <v>171.31800000000001</v>
      </c>
      <c r="G88" s="94"/>
      <c r="H88" s="94"/>
      <c r="I88" s="94"/>
      <c r="J88" s="94"/>
      <c r="K88" s="94"/>
      <c r="L88" s="94"/>
      <c r="M88" s="94"/>
    </row>
    <row r="89" spans="1:13">
      <c r="A89" s="92" t="s">
        <v>215</v>
      </c>
      <c r="B89" s="98"/>
      <c r="C89" s="137" t="s">
        <v>13</v>
      </c>
      <c r="D89" s="138" t="s">
        <v>25</v>
      </c>
      <c r="E89" s="139">
        <v>0</v>
      </c>
      <c r="F89" s="139">
        <f>E89*F87</f>
        <v>0</v>
      </c>
      <c r="G89" s="139"/>
      <c r="H89" s="139"/>
      <c r="I89" s="139"/>
      <c r="J89" s="139"/>
      <c r="K89" s="139"/>
      <c r="L89" s="139"/>
      <c r="M89" s="139"/>
    </row>
    <row r="90" spans="1:13">
      <c r="A90" s="92" t="s">
        <v>262</v>
      </c>
      <c r="B90" s="98" t="s">
        <v>389</v>
      </c>
      <c r="C90" s="123" t="s">
        <v>258</v>
      </c>
      <c r="D90" s="92" t="s">
        <v>337</v>
      </c>
      <c r="E90" s="94">
        <v>206</v>
      </c>
      <c r="F90" s="94">
        <f>E90*F87</f>
        <v>432.6</v>
      </c>
      <c r="G90" s="94"/>
      <c r="H90" s="94"/>
      <c r="I90" s="94"/>
      <c r="J90" s="94"/>
      <c r="K90" s="94"/>
      <c r="L90" s="94"/>
      <c r="M90" s="94"/>
    </row>
    <row r="91" spans="1:13">
      <c r="A91" s="92" t="s">
        <v>263</v>
      </c>
      <c r="B91" s="98"/>
      <c r="C91" s="137" t="s">
        <v>101</v>
      </c>
      <c r="D91" s="138" t="s">
        <v>25</v>
      </c>
      <c r="E91" s="139">
        <v>0</v>
      </c>
      <c r="F91" s="139">
        <f>E91*F87</f>
        <v>0</v>
      </c>
      <c r="G91" s="139"/>
      <c r="H91" s="139"/>
      <c r="I91" s="139"/>
      <c r="J91" s="139"/>
      <c r="K91" s="139"/>
      <c r="L91" s="139"/>
      <c r="M91" s="139"/>
    </row>
    <row r="92" spans="1:13">
      <c r="A92" s="92"/>
      <c r="B92" s="98"/>
      <c r="C92" s="123"/>
      <c r="D92" s="92"/>
      <c r="E92" s="94"/>
      <c r="F92" s="94"/>
      <c r="G92" s="94"/>
      <c r="H92" s="94"/>
      <c r="I92" s="94"/>
      <c r="J92" s="94"/>
      <c r="K92" s="94"/>
      <c r="L92" s="94"/>
      <c r="M92" s="94"/>
    </row>
    <row r="93" spans="1:13">
      <c r="A93" s="92">
        <v>1.1299999999999999</v>
      </c>
      <c r="B93" s="98" t="s">
        <v>390</v>
      </c>
      <c r="C93" s="123" t="s">
        <v>260</v>
      </c>
      <c r="D93" s="92" t="s">
        <v>337</v>
      </c>
      <c r="E93" s="94"/>
      <c r="F93" s="94">
        <v>75</v>
      </c>
      <c r="G93" s="94"/>
      <c r="H93" s="94"/>
      <c r="I93" s="94"/>
      <c r="J93" s="94"/>
      <c r="K93" s="94"/>
      <c r="L93" s="94"/>
      <c r="M93" s="94"/>
    </row>
    <row r="94" spans="1:13">
      <c r="A94" s="92"/>
      <c r="B94" s="98"/>
      <c r="C94" s="123"/>
      <c r="D94" s="92" t="s">
        <v>384</v>
      </c>
      <c r="E94" s="94"/>
      <c r="F94" s="108">
        <f>F93/100</f>
        <v>0.75</v>
      </c>
      <c r="G94" s="94"/>
      <c r="H94" s="94"/>
      <c r="I94" s="94"/>
      <c r="J94" s="94"/>
      <c r="K94" s="94"/>
      <c r="L94" s="94"/>
      <c r="M94" s="94"/>
    </row>
    <row r="95" spans="1:13">
      <c r="A95" s="92" t="s">
        <v>70</v>
      </c>
      <c r="B95" s="98"/>
      <c r="C95" s="123" t="s">
        <v>15</v>
      </c>
      <c r="D95" s="92" t="s">
        <v>1</v>
      </c>
      <c r="E95" s="94">
        <v>7</v>
      </c>
      <c r="F95" s="94">
        <f>E95*F94</f>
        <v>5.25</v>
      </c>
      <c r="G95" s="94"/>
      <c r="H95" s="94"/>
      <c r="I95" s="94"/>
      <c r="J95" s="94"/>
      <c r="K95" s="94"/>
      <c r="L95" s="94"/>
      <c r="M95" s="94"/>
    </row>
    <row r="96" spans="1:13">
      <c r="A96" s="92" t="s">
        <v>71</v>
      </c>
      <c r="B96" s="98"/>
      <c r="C96" s="137" t="s">
        <v>13</v>
      </c>
      <c r="D96" s="138" t="s">
        <v>25</v>
      </c>
      <c r="E96" s="139">
        <v>0</v>
      </c>
      <c r="F96" s="139">
        <f>E96*F94</f>
        <v>0</v>
      </c>
      <c r="G96" s="139"/>
      <c r="H96" s="139"/>
      <c r="I96" s="139"/>
      <c r="J96" s="139"/>
      <c r="K96" s="139"/>
      <c r="L96" s="139"/>
      <c r="M96" s="139"/>
    </row>
    <row r="97" spans="1:13">
      <c r="A97" s="92" t="s">
        <v>293</v>
      </c>
      <c r="B97" s="98" t="s">
        <v>391</v>
      </c>
      <c r="C97" s="123" t="s">
        <v>261</v>
      </c>
      <c r="D97" s="92" t="s">
        <v>337</v>
      </c>
      <c r="E97" s="94">
        <v>115</v>
      </c>
      <c r="F97" s="94">
        <f>E97*F94</f>
        <v>86.25</v>
      </c>
      <c r="G97" s="94"/>
      <c r="H97" s="94"/>
      <c r="I97" s="94"/>
      <c r="J97" s="94"/>
      <c r="K97" s="94"/>
      <c r="L97" s="94"/>
      <c r="M97" s="94"/>
    </row>
    <row r="98" spans="1:13">
      <c r="A98" s="92" t="s">
        <v>294</v>
      </c>
      <c r="B98" s="98"/>
      <c r="C98" s="137" t="s">
        <v>101</v>
      </c>
      <c r="D98" s="138" t="s">
        <v>25</v>
      </c>
      <c r="E98" s="139">
        <v>0</v>
      </c>
      <c r="F98" s="139">
        <f>E98*F94</f>
        <v>0</v>
      </c>
      <c r="G98" s="139"/>
      <c r="H98" s="139"/>
      <c r="I98" s="139"/>
      <c r="J98" s="139"/>
      <c r="K98" s="139"/>
      <c r="L98" s="139"/>
      <c r="M98" s="139"/>
    </row>
    <row r="99" spans="1:13">
      <c r="A99" s="92" t="s">
        <v>392</v>
      </c>
      <c r="B99" s="98" t="s">
        <v>393</v>
      </c>
      <c r="C99" s="109" t="s">
        <v>394</v>
      </c>
      <c r="D99" s="92" t="s">
        <v>395</v>
      </c>
      <c r="E99" s="94">
        <v>400</v>
      </c>
      <c r="F99" s="94">
        <f>E99*F94</f>
        <v>300</v>
      </c>
      <c r="G99" s="94"/>
      <c r="H99" s="94"/>
      <c r="I99" s="94"/>
      <c r="J99" s="94"/>
      <c r="K99" s="94"/>
      <c r="L99" s="94"/>
      <c r="M99" s="94"/>
    </row>
    <row r="100" spans="1:13">
      <c r="A100" s="92"/>
      <c r="B100" s="98"/>
      <c r="C100" s="109"/>
      <c r="D100" s="92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>
      <c r="A101" s="93">
        <v>1.1399999999999999</v>
      </c>
      <c r="B101" s="98" t="s">
        <v>396</v>
      </c>
      <c r="C101" s="123" t="s">
        <v>266</v>
      </c>
      <c r="D101" s="92" t="s">
        <v>329</v>
      </c>
      <c r="E101" s="94"/>
      <c r="F101" s="94">
        <v>45</v>
      </c>
      <c r="G101" s="94"/>
      <c r="H101" s="94"/>
      <c r="I101" s="94"/>
      <c r="J101" s="94"/>
      <c r="K101" s="94"/>
      <c r="L101" s="94"/>
      <c r="M101" s="94"/>
    </row>
    <row r="102" spans="1:13">
      <c r="A102" s="93"/>
      <c r="B102" s="98"/>
      <c r="C102" s="123"/>
      <c r="D102" s="92" t="s">
        <v>397</v>
      </c>
      <c r="E102" s="94"/>
      <c r="F102" s="94">
        <f>F101/10</f>
        <v>4.5</v>
      </c>
      <c r="G102" s="94"/>
      <c r="H102" s="94"/>
      <c r="I102" s="94"/>
      <c r="J102" s="94"/>
      <c r="K102" s="94"/>
      <c r="L102" s="94"/>
      <c r="M102" s="94"/>
    </row>
    <row r="103" spans="1:13">
      <c r="A103" s="92" t="s">
        <v>199</v>
      </c>
      <c r="B103" s="98"/>
      <c r="C103" s="123" t="s">
        <v>15</v>
      </c>
      <c r="D103" s="92" t="s">
        <v>1</v>
      </c>
      <c r="E103" s="94">
        <v>17.8</v>
      </c>
      <c r="F103" s="94">
        <f>E103*F102</f>
        <v>80.100000000000009</v>
      </c>
      <c r="G103" s="94"/>
      <c r="H103" s="94"/>
      <c r="I103" s="94"/>
      <c r="J103" s="94"/>
      <c r="K103" s="94"/>
      <c r="L103" s="94"/>
      <c r="M103" s="94"/>
    </row>
    <row r="104" spans="1:13">
      <c r="A104" s="92" t="s">
        <v>219</v>
      </c>
      <c r="B104" s="98" t="s">
        <v>333</v>
      </c>
      <c r="C104" s="109" t="s">
        <v>334</v>
      </c>
      <c r="D104" s="92" t="s">
        <v>329</v>
      </c>
      <c r="E104" s="94">
        <v>11</v>
      </c>
      <c r="F104" s="94">
        <f>E104*F102</f>
        <v>49.5</v>
      </c>
      <c r="G104" s="94"/>
      <c r="H104" s="94"/>
      <c r="I104" s="94"/>
      <c r="J104" s="94"/>
      <c r="K104" s="94"/>
      <c r="L104" s="94"/>
      <c r="M104" s="94"/>
    </row>
    <row r="105" spans="1:13">
      <c r="A105" s="92"/>
      <c r="B105" s="98"/>
      <c r="C105" s="123"/>
      <c r="D105" s="92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>
      <c r="A106" s="92">
        <v>1.1499999999999999</v>
      </c>
      <c r="B106" s="135" t="s">
        <v>398</v>
      </c>
      <c r="C106" s="123" t="s">
        <v>440</v>
      </c>
      <c r="D106" s="92" t="s">
        <v>98</v>
      </c>
      <c r="E106" s="94"/>
      <c r="F106" s="94">
        <v>4</v>
      </c>
      <c r="G106" s="94"/>
      <c r="H106" s="94"/>
      <c r="I106" s="94"/>
      <c r="J106" s="94"/>
      <c r="K106" s="94"/>
      <c r="L106" s="94"/>
      <c r="M106" s="94"/>
    </row>
    <row r="107" spans="1:13">
      <c r="A107" s="92"/>
      <c r="B107" s="135"/>
      <c r="C107" s="123"/>
      <c r="D107" s="92" t="s">
        <v>94</v>
      </c>
      <c r="E107" s="94"/>
      <c r="F107" s="108">
        <f>F106/100</f>
        <v>0.04</v>
      </c>
      <c r="G107" s="94"/>
      <c r="H107" s="94"/>
      <c r="I107" s="94"/>
      <c r="J107" s="94"/>
      <c r="K107" s="94"/>
      <c r="L107" s="94"/>
      <c r="M107" s="94"/>
    </row>
    <row r="108" spans="1:13">
      <c r="A108" s="92" t="s">
        <v>75</v>
      </c>
      <c r="B108" s="135"/>
      <c r="C108" s="123" t="s">
        <v>40</v>
      </c>
      <c r="D108" s="92" t="s">
        <v>1</v>
      </c>
      <c r="E108" s="94">
        <v>33.1</v>
      </c>
      <c r="F108" s="94">
        <f>E108*F107</f>
        <v>1.3240000000000001</v>
      </c>
      <c r="G108" s="94"/>
      <c r="H108" s="94"/>
      <c r="I108" s="94"/>
      <c r="J108" s="94"/>
      <c r="K108" s="94"/>
      <c r="L108" s="94"/>
      <c r="M108" s="94"/>
    </row>
    <row r="109" spans="1:13">
      <c r="A109" s="92" t="s">
        <v>76</v>
      </c>
      <c r="B109" s="135"/>
      <c r="C109" s="123" t="s">
        <v>13</v>
      </c>
      <c r="D109" s="92" t="s">
        <v>25</v>
      </c>
      <c r="E109" s="94">
        <v>0.47</v>
      </c>
      <c r="F109" s="94">
        <f>E109*F107</f>
        <v>1.8800000000000001E-2</v>
      </c>
      <c r="G109" s="94"/>
      <c r="H109" s="94"/>
      <c r="I109" s="94"/>
      <c r="J109" s="94"/>
      <c r="K109" s="94"/>
      <c r="L109" s="94"/>
      <c r="M109" s="94"/>
    </row>
    <row r="110" spans="1:13" ht="23.25" customHeight="1">
      <c r="A110" s="92" t="s">
        <v>77</v>
      </c>
      <c r="B110" s="135" t="s">
        <v>399</v>
      </c>
      <c r="C110" s="123" t="s">
        <v>400</v>
      </c>
      <c r="D110" s="92" t="s">
        <v>98</v>
      </c>
      <c r="E110" s="94" t="s">
        <v>401</v>
      </c>
      <c r="F110" s="94">
        <v>13</v>
      </c>
      <c r="G110" s="94"/>
      <c r="H110" s="94"/>
      <c r="I110" s="94"/>
      <c r="J110" s="94"/>
      <c r="K110" s="94"/>
      <c r="L110" s="94"/>
      <c r="M110" s="94"/>
    </row>
    <row r="111" spans="1:13">
      <c r="A111" s="92" t="s">
        <v>78</v>
      </c>
      <c r="B111" s="135"/>
      <c r="C111" s="123" t="s">
        <v>101</v>
      </c>
      <c r="D111" s="92" t="s">
        <v>25</v>
      </c>
      <c r="E111" s="94">
        <v>10.9</v>
      </c>
      <c r="F111" s="94">
        <f>E111*F107</f>
        <v>0.436</v>
      </c>
      <c r="G111" s="94"/>
      <c r="H111" s="94"/>
      <c r="I111" s="94"/>
      <c r="J111" s="94"/>
      <c r="K111" s="94"/>
      <c r="L111" s="94"/>
      <c r="M111" s="94"/>
    </row>
    <row r="112" spans="1:13">
      <c r="A112" s="92"/>
      <c r="B112" s="135"/>
      <c r="C112" s="123"/>
      <c r="D112" s="92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>
      <c r="A113" s="93">
        <v>1.1599999999999999</v>
      </c>
      <c r="B113" s="98" t="s">
        <v>183</v>
      </c>
      <c r="C113" s="123" t="s">
        <v>243</v>
      </c>
      <c r="D113" s="92" t="s">
        <v>329</v>
      </c>
      <c r="E113" s="94"/>
      <c r="F113" s="94">
        <v>285</v>
      </c>
      <c r="G113" s="94"/>
      <c r="H113" s="94"/>
      <c r="I113" s="94"/>
      <c r="J113" s="94"/>
      <c r="K113" s="94"/>
      <c r="L113" s="94"/>
      <c r="M113" s="94"/>
    </row>
    <row r="114" spans="1:13">
      <c r="A114" s="93"/>
      <c r="B114" s="98"/>
      <c r="C114" s="123"/>
      <c r="D114" s="92" t="s">
        <v>330</v>
      </c>
      <c r="E114" s="94"/>
      <c r="F114" s="108">
        <f>F113/1000</f>
        <v>0.28499999999999998</v>
      </c>
      <c r="G114" s="94"/>
      <c r="H114" s="94"/>
      <c r="I114" s="94"/>
      <c r="J114" s="94"/>
      <c r="K114" s="94"/>
      <c r="L114" s="94"/>
      <c r="M114" s="94"/>
    </row>
    <row r="115" spans="1:13">
      <c r="A115" s="92" t="s">
        <v>79</v>
      </c>
      <c r="B115" s="98"/>
      <c r="C115" s="123" t="s">
        <v>15</v>
      </c>
      <c r="D115" s="92" t="s">
        <v>1</v>
      </c>
      <c r="E115" s="94">
        <v>15.5</v>
      </c>
      <c r="F115" s="94">
        <f>E115*F114</f>
        <v>4.4174999999999995</v>
      </c>
      <c r="G115" s="94"/>
      <c r="H115" s="94"/>
      <c r="I115" s="94"/>
      <c r="J115" s="94"/>
      <c r="K115" s="94"/>
      <c r="L115" s="94"/>
      <c r="M115" s="94"/>
    </row>
    <row r="116" spans="1:13">
      <c r="A116" s="92" t="s">
        <v>184</v>
      </c>
      <c r="B116" s="98" t="s">
        <v>331</v>
      </c>
      <c r="C116" s="109" t="s">
        <v>332</v>
      </c>
      <c r="D116" s="92" t="s">
        <v>24</v>
      </c>
      <c r="E116" s="94">
        <v>34.700000000000003</v>
      </c>
      <c r="F116" s="94">
        <f>E116*F114</f>
        <v>9.8895</v>
      </c>
      <c r="G116" s="94"/>
      <c r="H116" s="94"/>
      <c r="I116" s="94"/>
      <c r="J116" s="94"/>
      <c r="K116" s="94"/>
      <c r="L116" s="94"/>
      <c r="M116" s="94"/>
    </row>
    <row r="117" spans="1:13" s="50" customFormat="1">
      <c r="A117" s="92" t="s">
        <v>185</v>
      </c>
      <c r="B117" s="98"/>
      <c r="C117" s="123" t="s">
        <v>13</v>
      </c>
      <c r="D117" s="92" t="s">
        <v>25</v>
      </c>
      <c r="E117" s="94">
        <v>2.1</v>
      </c>
      <c r="F117" s="94">
        <f>E117*F114</f>
        <v>0.59849999999999992</v>
      </c>
      <c r="G117" s="94"/>
      <c r="H117" s="94"/>
      <c r="I117" s="94"/>
      <c r="J117" s="94"/>
      <c r="K117" s="94"/>
      <c r="L117" s="94"/>
      <c r="M117" s="94"/>
    </row>
    <row r="118" spans="1:13" s="50" customFormat="1">
      <c r="A118" s="92" t="s">
        <v>297</v>
      </c>
      <c r="B118" s="98" t="s">
        <v>333</v>
      </c>
      <c r="C118" s="109" t="s">
        <v>334</v>
      </c>
      <c r="D118" s="92" t="s">
        <v>329</v>
      </c>
      <c r="E118" s="94">
        <v>0.04</v>
      </c>
      <c r="F118" s="94">
        <f>E118*F114</f>
        <v>1.1399999999999999E-2</v>
      </c>
      <c r="G118" s="94"/>
      <c r="H118" s="94"/>
      <c r="I118" s="94"/>
      <c r="J118" s="94"/>
      <c r="K118" s="94"/>
      <c r="L118" s="94"/>
      <c r="M118" s="94"/>
    </row>
    <row r="119" spans="1:13" s="50" customFormat="1">
      <c r="A119" s="92"/>
      <c r="B119" s="98"/>
      <c r="C119" s="123"/>
      <c r="D119" s="92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s="50" customFormat="1">
      <c r="A120" s="92">
        <v>1.17</v>
      </c>
      <c r="B120" s="98" t="s">
        <v>267</v>
      </c>
      <c r="C120" s="123" t="s">
        <v>269</v>
      </c>
      <c r="D120" s="92" t="s">
        <v>329</v>
      </c>
      <c r="E120" s="94"/>
      <c r="F120" s="94">
        <f>F113</f>
        <v>285</v>
      </c>
      <c r="G120" s="94"/>
      <c r="H120" s="94"/>
      <c r="I120" s="94"/>
      <c r="J120" s="94"/>
      <c r="K120" s="94"/>
      <c r="L120" s="94"/>
      <c r="M120" s="94"/>
    </row>
    <row r="121" spans="1:13" s="50" customFormat="1">
      <c r="A121" s="92"/>
      <c r="B121" s="98"/>
      <c r="C121" s="123"/>
      <c r="D121" s="92" t="s">
        <v>342</v>
      </c>
      <c r="E121" s="94"/>
      <c r="F121" s="108">
        <f>F120/100</f>
        <v>2.85</v>
      </c>
      <c r="G121" s="94"/>
      <c r="H121" s="94"/>
      <c r="I121" s="94"/>
      <c r="J121" s="94"/>
      <c r="K121" s="94"/>
      <c r="L121" s="94"/>
      <c r="M121" s="94"/>
    </row>
    <row r="122" spans="1:13">
      <c r="A122" s="92" t="s">
        <v>186</v>
      </c>
      <c r="B122" s="98"/>
      <c r="C122" s="123" t="s">
        <v>15</v>
      </c>
      <c r="D122" s="92" t="s">
        <v>1</v>
      </c>
      <c r="E122" s="94">
        <v>13.4</v>
      </c>
      <c r="F122" s="94">
        <f>E122*F121</f>
        <v>38.190000000000005</v>
      </c>
      <c r="G122" s="94"/>
      <c r="H122" s="94"/>
      <c r="I122" s="94"/>
      <c r="J122" s="94"/>
      <c r="K122" s="94"/>
      <c r="L122" s="94"/>
      <c r="M122" s="94"/>
    </row>
    <row r="123" spans="1:13">
      <c r="A123" s="92" t="s">
        <v>305</v>
      </c>
      <c r="B123" s="98" t="s">
        <v>402</v>
      </c>
      <c r="C123" s="123" t="s">
        <v>268</v>
      </c>
      <c r="D123" s="92" t="s">
        <v>24</v>
      </c>
      <c r="E123" s="94">
        <v>13</v>
      </c>
      <c r="F123" s="94">
        <f>E123*F121</f>
        <v>37.050000000000004</v>
      </c>
      <c r="G123" s="94"/>
      <c r="H123" s="94"/>
      <c r="I123" s="94"/>
      <c r="J123" s="94"/>
      <c r="K123" s="94"/>
      <c r="L123" s="94"/>
      <c r="M123" s="94"/>
    </row>
    <row r="124" spans="1:13">
      <c r="A124" s="92" t="s">
        <v>306</v>
      </c>
      <c r="B124" s="98" t="s">
        <v>403</v>
      </c>
      <c r="C124" s="123" t="s">
        <v>404</v>
      </c>
      <c r="D124" s="92" t="s">
        <v>24</v>
      </c>
      <c r="E124" s="94">
        <f>E123/4</f>
        <v>3.25</v>
      </c>
      <c r="F124" s="94">
        <f>E124*F121</f>
        <v>9.2625000000000011</v>
      </c>
      <c r="G124" s="94"/>
      <c r="H124" s="94"/>
      <c r="I124" s="94"/>
      <c r="J124" s="94"/>
      <c r="K124" s="94"/>
      <c r="L124" s="94"/>
      <c r="M124" s="94"/>
    </row>
    <row r="125" spans="1:13">
      <c r="A125" s="92"/>
      <c r="B125" s="98"/>
      <c r="C125" s="123"/>
      <c r="D125" s="92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>
      <c r="A126" s="92">
        <v>1.18</v>
      </c>
      <c r="B126" s="98" t="s">
        <v>93</v>
      </c>
      <c r="C126" s="65" t="s">
        <v>271</v>
      </c>
      <c r="D126" s="92" t="s">
        <v>337</v>
      </c>
      <c r="E126" s="127"/>
      <c r="F126" s="127">
        <v>6.5</v>
      </c>
      <c r="G126" s="94"/>
      <c r="H126" s="94"/>
      <c r="I126" s="94"/>
      <c r="J126" s="94"/>
      <c r="K126" s="94"/>
      <c r="L126" s="94"/>
      <c r="M126" s="94"/>
    </row>
    <row r="127" spans="1:13">
      <c r="A127" s="92" t="s">
        <v>307</v>
      </c>
      <c r="B127" s="98"/>
      <c r="C127" s="65" t="s">
        <v>92</v>
      </c>
      <c r="D127" s="92" t="s">
        <v>1</v>
      </c>
      <c r="E127" s="94">
        <v>2</v>
      </c>
      <c r="F127" s="127">
        <f>F126*E127</f>
        <v>13</v>
      </c>
      <c r="G127" s="94"/>
      <c r="H127" s="94"/>
      <c r="I127" s="94"/>
      <c r="J127" s="94"/>
      <c r="K127" s="94"/>
      <c r="L127" s="94"/>
      <c r="M127" s="94"/>
    </row>
    <row r="128" spans="1:13">
      <c r="A128" s="92" t="s">
        <v>308</v>
      </c>
      <c r="B128" s="98" t="s">
        <v>405</v>
      </c>
      <c r="C128" s="65" t="s">
        <v>270</v>
      </c>
      <c r="D128" s="92" t="s">
        <v>337</v>
      </c>
      <c r="E128" s="94">
        <v>1.1000000000000001</v>
      </c>
      <c r="F128" s="127">
        <f>F126*E128</f>
        <v>7.15</v>
      </c>
      <c r="G128" s="94"/>
      <c r="H128" s="94"/>
      <c r="I128" s="94"/>
      <c r="J128" s="94"/>
      <c r="K128" s="94"/>
      <c r="L128" s="94"/>
      <c r="M128" s="94"/>
    </row>
    <row r="129" spans="1:13">
      <c r="A129" s="92"/>
      <c r="B129" s="98"/>
      <c r="C129" s="65"/>
      <c r="D129" s="92"/>
      <c r="E129" s="94"/>
      <c r="F129" s="127"/>
      <c r="G129" s="94"/>
      <c r="H129" s="94"/>
      <c r="I129" s="94"/>
      <c r="J129" s="94"/>
      <c r="K129" s="94"/>
      <c r="L129" s="94"/>
      <c r="M129" s="94"/>
    </row>
    <row r="130" spans="1:13">
      <c r="A130" s="92">
        <v>1.19</v>
      </c>
      <c r="B130" s="98" t="s">
        <v>406</v>
      </c>
      <c r="C130" s="65" t="s">
        <v>310</v>
      </c>
      <c r="D130" s="92" t="s">
        <v>337</v>
      </c>
      <c r="E130" s="127"/>
      <c r="F130" s="127">
        <v>60</v>
      </c>
      <c r="G130" s="94"/>
      <c r="H130" s="94"/>
      <c r="I130" s="94"/>
      <c r="J130" s="94"/>
      <c r="K130" s="94"/>
      <c r="L130" s="94"/>
      <c r="M130" s="94"/>
    </row>
    <row r="131" spans="1:13">
      <c r="A131" s="92"/>
      <c r="B131" s="98"/>
      <c r="C131" s="65"/>
      <c r="D131" s="92" t="s">
        <v>384</v>
      </c>
      <c r="E131" s="127"/>
      <c r="F131" s="128">
        <f>F130/100</f>
        <v>0.6</v>
      </c>
      <c r="G131" s="94"/>
      <c r="H131" s="94"/>
      <c r="I131" s="94"/>
      <c r="J131" s="94"/>
      <c r="K131" s="94"/>
      <c r="L131" s="94"/>
      <c r="M131" s="94"/>
    </row>
    <row r="132" spans="1:13">
      <c r="A132" s="92" t="s">
        <v>312</v>
      </c>
      <c r="B132" s="98"/>
      <c r="C132" s="65" t="s">
        <v>92</v>
      </c>
      <c r="D132" s="92" t="s">
        <v>1</v>
      </c>
      <c r="E132" s="94">
        <v>880</v>
      </c>
      <c r="F132" s="127">
        <f>F131*E132</f>
        <v>528</v>
      </c>
      <c r="G132" s="94"/>
      <c r="H132" s="94"/>
      <c r="I132" s="94"/>
      <c r="J132" s="94"/>
      <c r="K132" s="94"/>
      <c r="L132" s="94"/>
      <c r="M132" s="94"/>
    </row>
    <row r="133" spans="1:13">
      <c r="A133" s="92" t="s">
        <v>313</v>
      </c>
      <c r="B133" s="135"/>
      <c r="C133" s="123" t="s">
        <v>13</v>
      </c>
      <c r="D133" s="92" t="s">
        <v>25</v>
      </c>
      <c r="E133" s="94">
        <v>5</v>
      </c>
      <c r="F133" s="94">
        <f>E133*F131</f>
        <v>3</v>
      </c>
      <c r="G133" s="94"/>
      <c r="H133" s="94"/>
      <c r="I133" s="94"/>
      <c r="J133" s="94"/>
      <c r="K133" s="94"/>
      <c r="L133" s="94"/>
      <c r="M133" s="94"/>
    </row>
    <row r="134" spans="1:13">
      <c r="A134" s="92" t="s">
        <v>407</v>
      </c>
      <c r="B134" s="98" t="s">
        <v>408</v>
      </c>
      <c r="C134" s="65" t="s">
        <v>311</v>
      </c>
      <c r="D134" s="92" t="s">
        <v>337</v>
      </c>
      <c r="E134" s="94">
        <v>100</v>
      </c>
      <c r="F134" s="127">
        <f>F131*E134</f>
        <v>60</v>
      </c>
      <c r="G134" s="94"/>
      <c r="H134" s="94"/>
      <c r="I134" s="94"/>
      <c r="J134" s="94"/>
      <c r="K134" s="94"/>
      <c r="L134" s="94"/>
      <c r="M134" s="94"/>
    </row>
    <row r="135" spans="1:13">
      <c r="A135" s="92" t="s">
        <v>409</v>
      </c>
      <c r="B135" s="98" t="s">
        <v>410</v>
      </c>
      <c r="C135" s="123" t="s">
        <v>105</v>
      </c>
      <c r="D135" s="92" t="s">
        <v>329</v>
      </c>
      <c r="E135" s="94">
        <v>52.5</v>
      </c>
      <c r="F135" s="94">
        <f>E135*F131</f>
        <v>31.5</v>
      </c>
      <c r="G135" s="94"/>
      <c r="H135" s="94"/>
      <c r="I135" s="94"/>
      <c r="J135" s="94"/>
      <c r="K135" s="94"/>
      <c r="L135" s="94"/>
      <c r="M135" s="94"/>
    </row>
    <row r="136" spans="1:13">
      <c r="A136" s="92" t="s">
        <v>411</v>
      </c>
      <c r="B136" s="98"/>
      <c r="C136" s="123" t="s">
        <v>101</v>
      </c>
      <c r="D136" s="92" t="s">
        <v>25</v>
      </c>
      <c r="E136" s="94">
        <v>11</v>
      </c>
      <c r="F136" s="94">
        <f>E136*F131</f>
        <v>6.6</v>
      </c>
      <c r="G136" s="94"/>
      <c r="H136" s="94"/>
      <c r="I136" s="94"/>
      <c r="J136" s="94"/>
      <c r="K136" s="94"/>
      <c r="L136" s="94"/>
      <c r="M136" s="94"/>
    </row>
    <row r="137" spans="1:13">
      <c r="A137" s="92"/>
      <c r="B137" s="98"/>
      <c r="C137" s="65"/>
      <c r="D137" s="92"/>
      <c r="E137" s="94"/>
      <c r="F137" s="127"/>
      <c r="G137" s="94"/>
      <c r="H137" s="94"/>
      <c r="I137" s="94"/>
      <c r="J137" s="94"/>
      <c r="K137" s="94"/>
      <c r="L137" s="94"/>
      <c r="M137" s="94"/>
    </row>
    <row r="138" spans="1:13">
      <c r="A138" s="92"/>
      <c r="B138" s="98"/>
      <c r="C138" s="129"/>
      <c r="D138" s="147"/>
      <c r="E138" s="148"/>
      <c r="F138" s="94"/>
      <c r="G138" s="132"/>
      <c r="H138" s="132"/>
      <c r="I138" s="132"/>
      <c r="J138" s="132"/>
      <c r="K138" s="94"/>
      <c r="L138" s="94"/>
      <c r="M138" s="94"/>
    </row>
    <row r="139" spans="1:13">
      <c r="A139" s="152"/>
      <c r="B139" s="97"/>
      <c r="C139" s="59" t="s">
        <v>4</v>
      </c>
      <c r="D139" s="59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1:13">
      <c r="A140" s="136"/>
      <c r="B140" s="98"/>
      <c r="C140" s="92"/>
      <c r="D140" s="92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>
      <c r="A141" s="136"/>
      <c r="B141" s="98"/>
      <c r="C141" s="92" t="s">
        <v>10</v>
      </c>
      <c r="D141" s="99">
        <v>0.1</v>
      </c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>
      <c r="A142" s="136"/>
      <c r="B142" s="98"/>
      <c r="C142" s="92" t="s">
        <v>4</v>
      </c>
      <c r="D142" s="99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>
      <c r="A143" s="136"/>
      <c r="B143" s="98"/>
      <c r="C143" s="92" t="s">
        <v>11</v>
      </c>
      <c r="D143" s="99">
        <v>0.08</v>
      </c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>
      <c r="A144" s="136"/>
      <c r="B144" s="98"/>
      <c r="C144" s="92"/>
      <c r="D144" s="99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1:13">
      <c r="A145" s="152"/>
      <c r="B145" s="97"/>
      <c r="C145" s="59" t="s">
        <v>4</v>
      </c>
      <c r="D145" s="59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1:13">
      <c r="B146" s="101"/>
      <c r="C146" s="102"/>
      <c r="D146" s="101"/>
      <c r="E146" s="101"/>
      <c r="F146" s="101"/>
      <c r="G146" s="101"/>
      <c r="H146" s="101"/>
      <c r="I146" s="101"/>
      <c r="J146" s="101"/>
      <c r="K146" s="101"/>
      <c r="L146" s="101"/>
      <c r="M146" s="103"/>
    </row>
    <row r="147" spans="1:13">
      <c r="B147" s="101"/>
      <c r="C147" s="102"/>
      <c r="D147" s="101"/>
      <c r="E147" s="101"/>
      <c r="F147" s="101"/>
      <c r="G147" s="101"/>
      <c r="H147" s="101"/>
      <c r="I147" s="101"/>
      <c r="J147" s="101"/>
      <c r="K147" s="101"/>
      <c r="L147" s="101"/>
      <c r="M147" s="103"/>
    </row>
    <row r="148" spans="1:13">
      <c r="B148" s="101"/>
      <c r="C148" s="102"/>
      <c r="D148" s="101"/>
      <c r="E148" s="101"/>
      <c r="F148" s="101"/>
      <c r="G148" s="101"/>
      <c r="H148" s="101"/>
      <c r="I148" s="101"/>
      <c r="J148" s="101"/>
      <c r="K148" s="101"/>
      <c r="L148" s="101"/>
      <c r="M148" s="103"/>
    </row>
    <row r="149" spans="1:13">
      <c r="B149" s="101"/>
      <c r="C149" s="102"/>
      <c r="D149" s="101"/>
      <c r="E149" s="101"/>
      <c r="F149" s="101"/>
      <c r="G149" s="101"/>
      <c r="H149" s="101"/>
      <c r="I149" s="101"/>
      <c r="J149" s="101"/>
      <c r="K149" s="101"/>
      <c r="L149" s="101"/>
      <c r="M149" s="103"/>
    </row>
    <row r="150" spans="1:13">
      <c r="B150" s="101"/>
      <c r="C150" s="102"/>
      <c r="D150" s="101"/>
      <c r="E150" s="101"/>
      <c r="F150" s="101"/>
      <c r="G150" s="101"/>
      <c r="H150" s="101"/>
      <c r="I150" s="101"/>
      <c r="J150" s="101"/>
      <c r="K150" s="101"/>
      <c r="L150" s="101"/>
      <c r="M150" s="103"/>
    </row>
    <row r="151" spans="1:13">
      <c r="B151" s="101"/>
      <c r="C151" s="102"/>
      <c r="D151" s="101"/>
      <c r="E151" s="101"/>
      <c r="F151" s="101"/>
      <c r="G151" s="101"/>
      <c r="H151" s="101"/>
      <c r="I151" s="101"/>
      <c r="J151" s="101"/>
      <c r="K151" s="101"/>
      <c r="L151" s="101"/>
      <c r="M151" s="103"/>
    </row>
    <row r="152" spans="1:13">
      <c r="B152" s="101"/>
      <c r="C152" s="102"/>
      <c r="D152" s="101"/>
      <c r="E152" s="101"/>
      <c r="F152" s="101"/>
      <c r="G152" s="101"/>
      <c r="H152" s="101"/>
      <c r="I152" s="101"/>
      <c r="J152" s="101"/>
      <c r="K152" s="101"/>
      <c r="L152" s="101"/>
      <c r="M152" s="103"/>
    </row>
    <row r="153" spans="1:13">
      <c r="B153" s="101"/>
      <c r="C153" s="102"/>
      <c r="D153" s="101"/>
      <c r="E153" s="101"/>
      <c r="F153" s="101"/>
      <c r="G153" s="101"/>
      <c r="H153" s="101"/>
      <c r="I153" s="101"/>
      <c r="J153" s="101"/>
      <c r="K153" s="101"/>
      <c r="L153" s="101"/>
      <c r="M153" s="103"/>
    </row>
    <row r="154" spans="1:13">
      <c r="B154" s="101"/>
      <c r="C154" s="102"/>
      <c r="D154" s="101"/>
      <c r="E154" s="101"/>
      <c r="F154" s="101"/>
      <c r="G154" s="101"/>
      <c r="H154" s="101"/>
      <c r="I154" s="101"/>
      <c r="J154" s="101"/>
      <c r="K154" s="101"/>
      <c r="L154" s="101"/>
      <c r="M154" s="103"/>
    </row>
    <row r="155" spans="1:13">
      <c r="B155" s="101"/>
      <c r="C155" s="102"/>
      <c r="D155" s="101"/>
      <c r="E155" s="101"/>
      <c r="F155" s="101"/>
      <c r="G155" s="101"/>
      <c r="H155" s="101"/>
      <c r="I155" s="101"/>
      <c r="J155" s="101"/>
      <c r="K155" s="101"/>
      <c r="L155" s="101"/>
      <c r="M155" s="103"/>
    </row>
    <row r="156" spans="1:13">
      <c r="B156" s="101"/>
      <c r="C156" s="102"/>
      <c r="D156" s="101"/>
      <c r="E156" s="101"/>
      <c r="F156" s="101"/>
      <c r="G156" s="101"/>
      <c r="H156" s="101"/>
      <c r="I156" s="101"/>
      <c r="J156" s="101"/>
      <c r="K156" s="101"/>
      <c r="L156" s="101"/>
      <c r="M156" s="103"/>
    </row>
    <row r="157" spans="1:13">
      <c r="B157" s="101"/>
      <c r="C157" s="102"/>
      <c r="D157" s="101"/>
      <c r="E157" s="101"/>
      <c r="F157" s="101"/>
      <c r="G157" s="101"/>
      <c r="H157" s="101"/>
      <c r="I157" s="101"/>
      <c r="J157" s="101"/>
      <c r="K157" s="101"/>
      <c r="L157" s="101"/>
      <c r="M157" s="103"/>
    </row>
    <row r="158" spans="1:13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4"/>
    </row>
    <row r="159" spans="1:13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4"/>
    </row>
    <row r="160" spans="1:13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4"/>
    </row>
    <row r="161" spans="2:13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4"/>
    </row>
    <row r="162" spans="2:13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4"/>
    </row>
    <row r="163" spans="2:13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4"/>
    </row>
    <row r="164" spans="2:13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4"/>
    </row>
    <row r="165" spans="2:13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4"/>
    </row>
    <row r="166" spans="2:13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4"/>
    </row>
    <row r="167" spans="2:13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4"/>
    </row>
    <row r="168" spans="2:13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4"/>
    </row>
    <row r="169" spans="2:13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4"/>
    </row>
    <row r="170" spans="2:13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4"/>
    </row>
  </sheetData>
  <autoFilter ref="A1:M170"/>
  <mergeCells count="10">
    <mergeCell ref="A2:M2"/>
    <mergeCell ref="A4:A5"/>
    <mergeCell ref="M4:M5"/>
    <mergeCell ref="B4:B5"/>
    <mergeCell ref="C4:C5"/>
    <mergeCell ref="D4:D5"/>
    <mergeCell ref="E4:F4"/>
    <mergeCell ref="G4:H4"/>
    <mergeCell ref="I4:J4"/>
    <mergeCell ref="K4:L4"/>
  </mergeCells>
  <conditionalFormatting sqref="L126:L127">
    <cfRule type="cellIs" dxfId="8" priority="5" stopIfTrue="1" operator="equal">
      <formula>8223.307275</formula>
    </cfRule>
  </conditionalFormatting>
  <conditionalFormatting sqref="L86">
    <cfRule type="cellIs" dxfId="7" priority="4" stopIfTrue="1" operator="equal">
      <formula>8223.307275</formula>
    </cfRule>
  </conditionalFormatting>
  <conditionalFormatting sqref="L93">
    <cfRule type="cellIs" dxfId="6" priority="3" stopIfTrue="1" operator="equal">
      <formula>8223.307275</formula>
    </cfRule>
  </conditionalFormatting>
  <conditionalFormatting sqref="L99">
    <cfRule type="cellIs" dxfId="5" priority="2" stopIfTrue="1" operator="equal">
      <formula>8223.307275</formula>
    </cfRule>
  </conditionalFormatting>
  <conditionalFormatting sqref="L130">
    <cfRule type="cellIs" dxfId="4" priority="1" stopIfTrue="1" operator="equal">
      <formula>8223.307275</formula>
    </cfRule>
  </conditionalFormatting>
  <conditionalFormatting sqref="L87:L92">
    <cfRule type="cellIs" dxfId="3" priority="9" stopIfTrue="1" operator="equal">
      <formula>8223.307275</formula>
    </cfRule>
  </conditionalFormatting>
  <conditionalFormatting sqref="L94:L98 L100">
    <cfRule type="cellIs" dxfId="2" priority="8" stopIfTrue="1" operator="equal">
      <formula>8223.307275</formula>
    </cfRule>
  </conditionalFormatting>
  <conditionalFormatting sqref="L131:L132">
    <cfRule type="cellIs" dxfId="1" priority="7" stopIfTrue="1" operator="equal">
      <formula>8223.307275</formula>
    </cfRule>
  </conditionalFormatting>
  <conditionalFormatting sqref="L128:L129">
    <cfRule type="cellIs" dxfId="0" priority="6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view="pageBreakPreview" zoomScaleNormal="60" zoomScaleSheetLayoutView="100" workbookViewId="0">
      <selection activeCell="J17" sqref="J17"/>
    </sheetView>
  </sheetViews>
  <sheetFormatPr defaultRowHeight="12.75"/>
  <cols>
    <col min="1" max="1" width="7" style="111" customWidth="1"/>
    <col min="2" max="2" width="14.28515625" style="100" customWidth="1"/>
    <col min="3" max="3" width="52.42578125" style="100" customWidth="1"/>
    <col min="4" max="4" width="9.85546875" style="100" customWidth="1"/>
    <col min="5" max="12" width="11" style="100" customWidth="1"/>
    <col min="13" max="13" width="12.7109375" style="105" customWidth="1"/>
    <col min="14" max="16" width="20.7109375" style="47" customWidth="1"/>
    <col min="17" max="16384" width="9.140625" style="47"/>
  </cols>
  <sheetData>
    <row r="1" spans="1:13" s="52" customFormat="1">
      <c r="A1" s="164" t="s">
        <v>309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2" customForma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48" customFormat="1" ht="26.25" customHeight="1">
      <c r="A3" s="160" t="s">
        <v>319</v>
      </c>
      <c r="B3" s="161" t="s">
        <v>320</v>
      </c>
      <c r="C3" s="161" t="s">
        <v>321</v>
      </c>
      <c r="D3" s="161" t="s">
        <v>322</v>
      </c>
      <c r="E3" s="160" t="s">
        <v>323</v>
      </c>
      <c r="F3" s="160"/>
      <c r="G3" s="161" t="s">
        <v>324</v>
      </c>
      <c r="H3" s="161"/>
      <c r="I3" s="161" t="s">
        <v>6</v>
      </c>
      <c r="J3" s="161"/>
      <c r="K3" s="160" t="s">
        <v>325</v>
      </c>
      <c r="L3" s="160"/>
      <c r="M3" s="160" t="s">
        <v>4</v>
      </c>
    </row>
    <row r="4" spans="1:13" s="48" customFormat="1">
      <c r="A4" s="160"/>
      <c r="B4" s="161"/>
      <c r="C4" s="161"/>
      <c r="D4" s="161"/>
      <c r="E4" s="59" t="s">
        <v>326</v>
      </c>
      <c r="F4" s="59" t="s">
        <v>249</v>
      </c>
      <c r="G4" s="59" t="s">
        <v>326</v>
      </c>
      <c r="H4" s="59" t="s">
        <v>249</v>
      </c>
      <c r="I4" s="59" t="s">
        <v>326</v>
      </c>
      <c r="J4" s="59" t="s">
        <v>249</v>
      </c>
      <c r="K4" s="59" t="s">
        <v>326</v>
      </c>
      <c r="L4" s="59" t="s">
        <v>249</v>
      </c>
      <c r="M4" s="160"/>
    </row>
    <row r="5" spans="1:13" s="48" customFormat="1">
      <c r="A5" s="59">
        <v>1</v>
      </c>
      <c r="B5" s="59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3">
        <v>8</v>
      </c>
      <c r="I5" s="59">
        <v>9</v>
      </c>
      <c r="J5" s="53">
        <v>10</v>
      </c>
      <c r="K5" s="59">
        <v>11</v>
      </c>
      <c r="L5" s="53">
        <v>12</v>
      </c>
      <c r="M5" s="53">
        <v>13</v>
      </c>
    </row>
    <row r="6" spans="1:13" s="48" customFormat="1">
      <c r="A6" s="59"/>
      <c r="B6" s="59"/>
      <c r="C6" s="59"/>
      <c r="D6" s="59"/>
      <c r="E6" s="91"/>
      <c r="F6" s="91"/>
      <c r="G6" s="91"/>
      <c r="H6" s="91"/>
      <c r="I6" s="91"/>
      <c r="J6" s="91"/>
      <c r="K6" s="91"/>
      <c r="L6" s="91"/>
      <c r="M6" s="91"/>
    </row>
    <row r="7" spans="1:13" s="48" customFormat="1">
      <c r="A7" s="59"/>
      <c r="B7" s="92"/>
      <c r="C7" s="59" t="s">
        <v>340</v>
      </c>
      <c r="D7" s="92"/>
      <c r="E7" s="94"/>
      <c r="F7" s="94"/>
      <c r="G7" s="94"/>
      <c r="H7" s="94"/>
      <c r="I7" s="94"/>
      <c r="J7" s="94"/>
      <c r="K7" s="94"/>
      <c r="L7" s="94"/>
      <c r="M7" s="94"/>
    </row>
    <row r="8" spans="1:13">
      <c r="A8" s="59"/>
      <c r="B8" s="92"/>
      <c r="C8" s="59"/>
      <c r="D8" s="92"/>
      <c r="E8" s="94"/>
      <c r="F8" s="94"/>
      <c r="G8" s="94"/>
      <c r="H8" s="94"/>
      <c r="I8" s="94"/>
      <c r="J8" s="94"/>
      <c r="K8" s="94"/>
      <c r="L8" s="94"/>
      <c r="M8" s="94"/>
    </row>
    <row r="9" spans="1:13">
      <c r="A9" s="92">
        <v>1.1000000000000001</v>
      </c>
      <c r="B9" s="98" t="s">
        <v>341</v>
      </c>
      <c r="C9" s="109" t="s">
        <v>285</v>
      </c>
      <c r="D9" s="92" t="s">
        <v>329</v>
      </c>
      <c r="E9" s="94"/>
      <c r="F9" s="94">
        <v>119</v>
      </c>
      <c r="G9" s="94"/>
      <c r="H9" s="94"/>
      <c r="I9" s="94"/>
      <c r="J9" s="94"/>
      <c r="K9" s="94"/>
      <c r="L9" s="94"/>
      <c r="M9" s="94"/>
    </row>
    <row r="10" spans="1:13">
      <c r="A10" s="92"/>
      <c r="B10" s="98"/>
      <c r="C10" s="109"/>
      <c r="D10" s="92" t="s">
        <v>342</v>
      </c>
      <c r="E10" s="94"/>
      <c r="F10" s="94">
        <f>F9/100</f>
        <v>1.19</v>
      </c>
      <c r="G10" s="94"/>
      <c r="H10" s="94"/>
      <c r="I10" s="94"/>
      <c r="J10" s="94"/>
      <c r="K10" s="94"/>
      <c r="L10" s="94"/>
      <c r="M10" s="94"/>
    </row>
    <row r="11" spans="1:13">
      <c r="A11" s="92" t="s">
        <v>0</v>
      </c>
      <c r="B11" s="98"/>
      <c r="C11" s="109" t="s">
        <v>15</v>
      </c>
      <c r="D11" s="92" t="s">
        <v>1</v>
      </c>
      <c r="E11" s="94">
        <v>15</v>
      </c>
      <c r="F11" s="94">
        <f>E11*F10</f>
        <v>17.849999999999998</v>
      </c>
      <c r="G11" s="94"/>
      <c r="H11" s="94"/>
      <c r="I11" s="94"/>
      <c r="J11" s="94"/>
      <c r="K11" s="94"/>
      <c r="L11" s="94"/>
      <c r="M11" s="94"/>
    </row>
    <row r="12" spans="1:13">
      <c r="A12" s="92" t="s">
        <v>189</v>
      </c>
      <c r="B12" s="98" t="s">
        <v>339</v>
      </c>
      <c r="C12" s="109" t="s">
        <v>72</v>
      </c>
      <c r="D12" s="92" t="s">
        <v>24</v>
      </c>
      <c r="E12" s="94">
        <v>2.16</v>
      </c>
      <c r="F12" s="94">
        <f>E12*F10</f>
        <v>2.5704000000000002</v>
      </c>
      <c r="G12" s="94"/>
      <c r="H12" s="94"/>
      <c r="I12" s="94"/>
      <c r="J12" s="94"/>
      <c r="K12" s="94"/>
      <c r="L12" s="94"/>
      <c r="M12" s="94"/>
    </row>
    <row r="13" spans="1:13">
      <c r="A13" s="92" t="s">
        <v>190</v>
      </c>
      <c r="B13" s="98" t="s">
        <v>343</v>
      </c>
      <c r="C13" s="109" t="s">
        <v>85</v>
      </c>
      <c r="D13" s="92" t="s">
        <v>24</v>
      </c>
      <c r="E13" s="94">
        <v>2.73</v>
      </c>
      <c r="F13" s="94">
        <f>E13*F10</f>
        <v>3.2486999999999999</v>
      </c>
      <c r="G13" s="94"/>
      <c r="H13" s="94"/>
      <c r="I13" s="94"/>
      <c r="J13" s="94"/>
      <c r="K13" s="94"/>
      <c r="L13" s="94"/>
      <c r="M13" s="94"/>
    </row>
    <row r="14" spans="1:13">
      <c r="A14" s="92" t="s">
        <v>191</v>
      </c>
      <c r="B14" s="98" t="s">
        <v>344</v>
      </c>
      <c r="C14" s="109" t="s">
        <v>73</v>
      </c>
      <c r="D14" s="92" t="s">
        <v>24</v>
      </c>
      <c r="E14" s="94">
        <v>0.97</v>
      </c>
      <c r="F14" s="94">
        <f>E14*F10</f>
        <v>1.1542999999999999</v>
      </c>
      <c r="G14" s="94"/>
      <c r="H14" s="94"/>
      <c r="I14" s="94"/>
      <c r="J14" s="94"/>
      <c r="K14" s="94"/>
      <c r="L14" s="94"/>
      <c r="M14" s="94"/>
    </row>
    <row r="15" spans="1:13">
      <c r="A15" s="92" t="s">
        <v>196</v>
      </c>
      <c r="B15" s="98"/>
      <c r="C15" s="109" t="s">
        <v>74</v>
      </c>
      <c r="D15" s="92" t="s">
        <v>329</v>
      </c>
      <c r="E15" s="94">
        <v>7</v>
      </c>
      <c r="F15" s="94">
        <f>E15*F10</f>
        <v>8.33</v>
      </c>
      <c r="G15" s="94"/>
      <c r="H15" s="94"/>
      <c r="I15" s="94"/>
      <c r="J15" s="94"/>
      <c r="K15" s="94"/>
      <c r="L15" s="94"/>
      <c r="M15" s="94"/>
    </row>
    <row r="16" spans="1:13">
      <c r="A16" s="92" t="s">
        <v>197</v>
      </c>
      <c r="B16" s="98" t="s">
        <v>345</v>
      </c>
      <c r="C16" s="109" t="s">
        <v>155</v>
      </c>
      <c r="D16" s="92" t="s">
        <v>329</v>
      </c>
      <c r="E16" s="94">
        <v>122</v>
      </c>
      <c r="F16" s="94">
        <f>E16*F10</f>
        <v>145.18</v>
      </c>
      <c r="G16" s="94"/>
      <c r="H16" s="94"/>
      <c r="I16" s="94"/>
      <c r="J16" s="94"/>
      <c r="K16" s="94"/>
      <c r="L16" s="94"/>
      <c r="M16" s="94"/>
    </row>
    <row r="17" spans="1:13">
      <c r="A17" s="92"/>
      <c r="B17" s="98"/>
      <c r="C17" s="109"/>
      <c r="D17" s="92"/>
      <c r="E17" s="94"/>
      <c r="F17" s="94"/>
      <c r="G17" s="94"/>
      <c r="H17" s="94"/>
      <c r="I17" s="94"/>
      <c r="J17" s="94"/>
      <c r="K17" s="94"/>
      <c r="L17" s="94"/>
      <c r="M17" s="94"/>
    </row>
    <row r="18" spans="1:13">
      <c r="A18" s="92">
        <v>1.2</v>
      </c>
      <c r="B18" s="98" t="s">
        <v>346</v>
      </c>
      <c r="C18" s="109" t="s">
        <v>274</v>
      </c>
      <c r="D18" s="92" t="s">
        <v>98</v>
      </c>
      <c r="E18" s="94"/>
      <c r="F18" s="94">
        <v>667</v>
      </c>
      <c r="G18" s="94"/>
      <c r="H18" s="94"/>
      <c r="I18" s="94"/>
      <c r="J18" s="94"/>
      <c r="K18" s="94"/>
      <c r="L18" s="94"/>
      <c r="M18" s="94"/>
    </row>
    <row r="19" spans="1:13">
      <c r="A19" s="92">
        <v>1.2</v>
      </c>
      <c r="B19" s="98"/>
      <c r="C19" s="109"/>
      <c r="D19" s="92" t="s">
        <v>342</v>
      </c>
      <c r="E19" s="94">
        <v>0.04</v>
      </c>
      <c r="F19" s="94">
        <f>F18*E19/100</f>
        <v>0.26679999999999998</v>
      </c>
      <c r="G19" s="94"/>
      <c r="H19" s="94"/>
      <c r="I19" s="94"/>
      <c r="J19" s="94"/>
      <c r="K19" s="94"/>
      <c r="L19" s="94"/>
      <c r="M19" s="94"/>
    </row>
    <row r="20" spans="1:13">
      <c r="A20" s="92" t="s">
        <v>21</v>
      </c>
      <c r="B20" s="98"/>
      <c r="C20" s="109" t="s">
        <v>15</v>
      </c>
      <c r="D20" s="92" t="s">
        <v>1</v>
      </c>
      <c r="E20" s="94">
        <v>854</v>
      </c>
      <c r="F20" s="94">
        <f>E20*F19</f>
        <v>227.84719999999999</v>
      </c>
      <c r="G20" s="94"/>
      <c r="H20" s="94"/>
      <c r="I20" s="94"/>
      <c r="J20" s="94"/>
      <c r="K20" s="94"/>
      <c r="L20" s="94"/>
      <c r="M20" s="94"/>
    </row>
    <row r="21" spans="1:13">
      <c r="A21" s="92" t="s">
        <v>35</v>
      </c>
      <c r="B21" s="98"/>
      <c r="C21" s="109" t="s">
        <v>13</v>
      </c>
      <c r="D21" s="92" t="s">
        <v>25</v>
      </c>
      <c r="E21" s="94">
        <v>106</v>
      </c>
      <c r="F21" s="94">
        <f>E21*F19</f>
        <v>28.280799999999999</v>
      </c>
      <c r="G21" s="94"/>
      <c r="H21" s="94"/>
      <c r="I21" s="94"/>
      <c r="J21" s="94"/>
      <c r="K21" s="94"/>
      <c r="L21" s="94"/>
      <c r="M21" s="94"/>
    </row>
    <row r="22" spans="1:13">
      <c r="A22" s="92" t="s">
        <v>36</v>
      </c>
      <c r="B22" s="98" t="s">
        <v>347</v>
      </c>
      <c r="C22" s="109" t="s">
        <v>109</v>
      </c>
      <c r="D22" s="92" t="s">
        <v>329</v>
      </c>
      <c r="E22" s="94">
        <v>101.5</v>
      </c>
      <c r="F22" s="94">
        <f>E22*F19</f>
        <v>27.080199999999998</v>
      </c>
      <c r="G22" s="94"/>
      <c r="H22" s="94"/>
      <c r="I22" s="94"/>
      <c r="J22" s="94"/>
      <c r="K22" s="94"/>
      <c r="L22" s="94"/>
      <c r="M22" s="94"/>
    </row>
    <row r="23" spans="1:13">
      <c r="A23" s="92" t="s">
        <v>37</v>
      </c>
      <c r="B23" s="98" t="s">
        <v>348</v>
      </c>
      <c r="C23" s="109" t="s">
        <v>349</v>
      </c>
      <c r="D23" s="92" t="s">
        <v>23</v>
      </c>
      <c r="E23" s="94">
        <v>0.2</v>
      </c>
      <c r="F23" s="108">
        <f>F18*E23/1000</f>
        <v>0.13340000000000002</v>
      </c>
      <c r="G23" s="94"/>
      <c r="H23" s="94"/>
      <c r="I23" s="94"/>
      <c r="J23" s="94"/>
      <c r="K23" s="94"/>
      <c r="L23" s="94"/>
      <c r="M23" s="94"/>
    </row>
    <row r="24" spans="1:13">
      <c r="A24" s="92" t="s">
        <v>37</v>
      </c>
      <c r="B24" s="98" t="s">
        <v>350</v>
      </c>
      <c r="C24" s="109" t="s">
        <v>127</v>
      </c>
      <c r="D24" s="92" t="s">
        <v>23</v>
      </c>
      <c r="E24" s="94">
        <v>3.6</v>
      </c>
      <c r="F24" s="94">
        <f>F18*E24/1000</f>
        <v>2.4012000000000002</v>
      </c>
      <c r="G24" s="94"/>
      <c r="H24" s="94"/>
      <c r="I24" s="94"/>
      <c r="J24" s="94"/>
      <c r="K24" s="94"/>
      <c r="L24" s="94"/>
      <c r="M24" s="94"/>
    </row>
    <row r="25" spans="1:13">
      <c r="A25" s="92" t="s">
        <v>38</v>
      </c>
      <c r="B25" s="135" t="s">
        <v>351</v>
      </c>
      <c r="C25" s="123" t="s">
        <v>352</v>
      </c>
      <c r="D25" s="92" t="s">
        <v>337</v>
      </c>
      <c r="E25" s="94">
        <v>140</v>
      </c>
      <c r="F25" s="94">
        <f>E25*F19</f>
        <v>37.351999999999997</v>
      </c>
      <c r="G25" s="94"/>
      <c r="H25" s="94"/>
      <c r="I25" s="94"/>
      <c r="J25" s="94"/>
      <c r="K25" s="94"/>
      <c r="L25" s="94"/>
      <c r="M25" s="94"/>
    </row>
    <row r="26" spans="1:13">
      <c r="A26" s="92" t="s">
        <v>39</v>
      </c>
      <c r="B26" s="135" t="s">
        <v>353</v>
      </c>
      <c r="C26" s="123" t="s">
        <v>90</v>
      </c>
      <c r="D26" s="92" t="s">
        <v>329</v>
      </c>
      <c r="E26" s="94">
        <v>1.45</v>
      </c>
      <c r="F26" s="94">
        <f>E26*F19</f>
        <v>0.38685999999999998</v>
      </c>
      <c r="G26" s="94"/>
      <c r="H26" s="94"/>
      <c r="I26" s="94"/>
      <c r="J26" s="94"/>
      <c r="K26" s="94"/>
      <c r="L26" s="94"/>
      <c r="M26" s="94"/>
    </row>
    <row r="27" spans="1:13">
      <c r="A27" s="92" t="s">
        <v>354</v>
      </c>
      <c r="B27" s="135" t="s">
        <v>355</v>
      </c>
      <c r="C27" s="123" t="s">
        <v>356</v>
      </c>
      <c r="D27" s="92" t="s">
        <v>357</v>
      </c>
      <c r="E27" s="94">
        <v>250</v>
      </c>
      <c r="F27" s="94">
        <f>E27*F19</f>
        <v>66.699999999999989</v>
      </c>
      <c r="G27" s="94"/>
      <c r="H27" s="94"/>
      <c r="I27" s="94"/>
      <c r="J27" s="94"/>
      <c r="K27" s="94"/>
      <c r="L27" s="94"/>
      <c r="M27" s="94"/>
    </row>
    <row r="28" spans="1:13">
      <c r="A28" s="92" t="s">
        <v>222</v>
      </c>
      <c r="B28" s="98"/>
      <c r="C28" s="109" t="s">
        <v>14</v>
      </c>
      <c r="D28" s="92" t="s">
        <v>25</v>
      </c>
      <c r="E28" s="94">
        <v>74</v>
      </c>
      <c r="F28" s="94">
        <f>E28*F19</f>
        <v>19.743199999999998</v>
      </c>
      <c r="G28" s="94"/>
      <c r="H28" s="94"/>
      <c r="I28" s="94"/>
      <c r="J28" s="94"/>
      <c r="K28" s="94"/>
      <c r="L28" s="94"/>
      <c r="M28" s="94"/>
    </row>
    <row r="29" spans="1:13">
      <c r="A29" s="92"/>
      <c r="B29" s="98"/>
      <c r="C29" s="109"/>
      <c r="D29" s="92"/>
      <c r="E29" s="94"/>
      <c r="F29" s="94"/>
      <c r="G29" s="94"/>
      <c r="H29" s="94"/>
      <c r="I29" s="94"/>
      <c r="J29" s="94"/>
      <c r="K29" s="94"/>
      <c r="L29" s="94"/>
      <c r="M29" s="94"/>
    </row>
    <row r="30" spans="1:13">
      <c r="A30" s="92">
        <v>1.3</v>
      </c>
      <c r="B30" s="141" t="s">
        <v>272</v>
      </c>
      <c r="C30" s="153" t="s">
        <v>275</v>
      </c>
      <c r="D30" s="138" t="s">
        <v>94</v>
      </c>
      <c r="E30" s="139"/>
      <c r="F30" s="139">
        <v>0</v>
      </c>
      <c r="G30" s="139"/>
      <c r="H30" s="139"/>
      <c r="I30" s="139"/>
      <c r="J30" s="139"/>
      <c r="K30" s="139"/>
      <c r="L30" s="139"/>
      <c r="M30" s="139"/>
    </row>
    <row r="31" spans="1:13">
      <c r="A31" s="92" t="s">
        <v>30</v>
      </c>
      <c r="B31" s="141"/>
      <c r="C31" s="153" t="s">
        <v>15</v>
      </c>
      <c r="D31" s="138" t="s">
        <v>1</v>
      </c>
      <c r="E31" s="139">
        <v>74</v>
      </c>
      <c r="F31" s="139">
        <f>ROUND(E31*F30,2)</f>
        <v>0</v>
      </c>
      <c r="G31" s="139"/>
      <c r="H31" s="139"/>
      <c r="I31" s="139"/>
      <c r="J31" s="139"/>
      <c r="K31" s="139"/>
      <c r="L31" s="139"/>
      <c r="M31" s="139"/>
    </row>
    <row r="32" spans="1:13">
      <c r="A32" s="92" t="s">
        <v>45</v>
      </c>
      <c r="B32" s="141"/>
      <c r="C32" s="153" t="s">
        <v>13</v>
      </c>
      <c r="D32" s="138" t="s">
        <v>24</v>
      </c>
      <c r="E32" s="139">
        <v>0.71</v>
      </c>
      <c r="F32" s="139">
        <f>ROUND(E32*F30,1)</f>
        <v>0</v>
      </c>
      <c r="G32" s="139"/>
      <c r="H32" s="139"/>
      <c r="I32" s="139"/>
      <c r="J32" s="139"/>
      <c r="K32" s="139"/>
      <c r="L32" s="139"/>
      <c r="M32" s="139"/>
    </row>
    <row r="33" spans="1:13">
      <c r="A33" s="92" t="s">
        <v>46</v>
      </c>
      <c r="B33" s="141"/>
      <c r="C33" s="153" t="s">
        <v>273</v>
      </c>
      <c r="D33" s="138" t="s">
        <v>329</v>
      </c>
      <c r="E33" s="139">
        <v>5.9</v>
      </c>
      <c r="F33" s="139">
        <f>ROUND(E33*F30,2)</f>
        <v>0</v>
      </c>
      <c r="G33" s="139"/>
      <c r="H33" s="139"/>
      <c r="I33" s="139"/>
      <c r="J33" s="139"/>
      <c r="K33" s="139"/>
      <c r="L33" s="139"/>
      <c r="M33" s="139"/>
    </row>
    <row r="34" spans="1:13">
      <c r="A34" s="92" t="s">
        <v>47</v>
      </c>
      <c r="B34" s="141"/>
      <c r="C34" s="153" t="s">
        <v>14</v>
      </c>
      <c r="D34" s="138" t="s">
        <v>25</v>
      </c>
      <c r="E34" s="139">
        <v>9.6</v>
      </c>
      <c r="F34" s="139">
        <f>ROUND(E34*F30,1)</f>
        <v>0</v>
      </c>
      <c r="G34" s="139"/>
      <c r="H34" s="139"/>
      <c r="I34" s="139"/>
      <c r="J34" s="139"/>
      <c r="K34" s="139"/>
      <c r="L34" s="139"/>
      <c r="M34" s="139"/>
    </row>
    <row r="35" spans="1:13">
      <c r="A35" s="92"/>
      <c r="B35" s="98"/>
      <c r="C35" s="109"/>
      <c r="D35" s="92"/>
      <c r="E35" s="94"/>
      <c r="F35" s="94"/>
      <c r="G35" s="94"/>
      <c r="H35" s="94"/>
      <c r="I35" s="94"/>
      <c r="J35" s="94"/>
      <c r="K35" s="94"/>
      <c r="L35" s="94"/>
      <c r="M35" s="94"/>
    </row>
    <row r="36" spans="1:13">
      <c r="A36" s="92">
        <v>1.4</v>
      </c>
      <c r="B36" s="98" t="s">
        <v>341</v>
      </c>
      <c r="C36" s="109" t="s">
        <v>276</v>
      </c>
      <c r="D36" s="92" t="s">
        <v>329</v>
      </c>
      <c r="E36" s="94"/>
      <c r="F36" s="94">
        <v>66</v>
      </c>
      <c r="G36" s="94"/>
      <c r="H36" s="94"/>
      <c r="I36" s="94"/>
      <c r="J36" s="94"/>
      <c r="K36" s="94"/>
      <c r="L36" s="94"/>
      <c r="M36" s="94"/>
    </row>
    <row r="37" spans="1:13">
      <c r="A37" s="92"/>
      <c r="B37" s="98"/>
      <c r="C37" s="109"/>
      <c r="D37" s="92" t="s">
        <v>342</v>
      </c>
      <c r="E37" s="94"/>
      <c r="F37" s="108">
        <f>F36/100</f>
        <v>0.66</v>
      </c>
      <c r="G37" s="94"/>
      <c r="H37" s="94"/>
      <c r="I37" s="94"/>
      <c r="J37" s="94"/>
      <c r="K37" s="94"/>
      <c r="L37" s="94"/>
      <c r="M37" s="94"/>
    </row>
    <row r="38" spans="1:13">
      <c r="A38" s="92" t="s">
        <v>22</v>
      </c>
      <c r="B38" s="98"/>
      <c r="C38" s="109" t="s">
        <v>15</v>
      </c>
      <c r="D38" s="92" t="s">
        <v>1</v>
      </c>
      <c r="E38" s="94">
        <v>15</v>
      </c>
      <c r="F38" s="94">
        <f>E38*F37</f>
        <v>9.9</v>
      </c>
      <c r="G38" s="94"/>
      <c r="H38" s="94"/>
      <c r="I38" s="94"/>
      <c r="J38" s="94"/>
      <c r="K38" s="94"/>
      <c r="L38" s="94"/>
      <c r="M38" s="94"/>
    </row>
    <row r="39" spans="1:13">
      <c r="A39" s="92" t="s">
        <v>216</v>
      </c>
      <c r="B39" s="98" t="s">
        <v>339</v>
      </c>
      <c r="C39" s="109" t="s">
        <v>72</v>
      </c>
      <c r="D39" s="92" t="s">
        <v>24</v>
      </c>
      <c r="E39" s="94">
        <v>2.16</v>
      </c>
      <c r="F39" s="94">
        <f>E39*F37</f>
        <v>1.4256000000000002</v>
      </c>
      <c r="G39" s="94"/>
      <c r="H39" s="94"/>
      <c r="I39" s="94"/>
      <c r="J39" s="94"/>
      <c r="K39" s="94"/>
      <c r="L39" s="94"/>
      <c r="M39" s="94"/>
    </row>
    <row r="40" spans="1:13">
      <c r="A40" s="92" t="s">
        <v>217</v>
      </c>
      <c r="B40" s="98" t="s">
        <v>343</v>
      </c>
      <c r="C40" s="109" t="s">
        <v>85</v>
      </c>
      <c r="D40" s="92" t="s">
        <v>24</v>
      </c>
      <c r="E40" s="94">
        <v>2.73</v>
      </c>
      <c r="F40" s="94">
        <f>E40*F37</f>
        <v>1.8018000000000001</v>
      </c>
      <c r="G40" s="94"/>
      <c r="H40" s="94"/>
      <c r="I40" s="94"/>
      <c r="J40" s="94"/>
      <c r="K40" s="94"/>
      <c r="L40" s="94"/>
      <c r="M40" s="94"/>
    </row>
    <row r="41" spans="1:13">
      <c r="A41" s="92" t="s">
        <v>218</v>
      </c>
      <c r="B41" s="98" t="s">
        <v>344</v>
      </c>
      <c r="C41" s="109" t="s">
        <v>73</v>
      </c>
      <c r="D41" s="92" t="s">
        <v>24</v>
      </c>
      <c r="E41" s="94">
        <v>0.97</v>
      </c>
      <c r="F41" s="94">
        <f>E41*F37</f>
        <v>0.64019999999999999</v>
      </c>
      <c r="G41" s="94"/>
      <c r="H41" s="94"/>
      <c r="I41" s="94"/>
      <c r="J41" s="94"/>
      <c r="K41" s="94"/>
      <c r="L41" s="94"/>
      <c r="M41" s="94"/>
    </row>
    <row r="42" spans="1:13" s="57" customFormat="1">
      <c r="A42" s="92" t="s">
        <v>223</v>
      </c>
      <c r="B42" s="98"/>
      <c r="C42" s="109" t="s">
        <v>74</v>
      </c>
      <c r="D42" s="92" t="s">
        <v>329</v>
      </c>
      <c r="E42" s="94">
        <v>7</v>
      </c>
      <c r="F42" s="94">
        <f>E42*F37</f>
        <v>4.62</v>
      </c>
      <c r="G42" s="94"/>
      <c r="H42" s="94"/>
      <c r="I42" s="94"/>
      <c r="J42" s="94"/>
      <c r="K42" s="94"/>
      <c r="L42" s="94"/>
      <c r="M42" s="94"/>
    </row>
    <row r="43" spans="1:13">
      <c r="A43" s="92" t="s">
        <v>224</v>
      </c>
      <c r="B43" s="98" t="s">
        <v>358</v>
      </c>
      <c r="C43" s="109" t="s">
        <v>283</v>
      </c>
      <c r="D43" s="92" t="s">
        <v>329</v>
      </c>
      <c r="E43" s="94">
        <f>122*95%</f>
        <v>115.89999999999999</v>
      </c>
      <c r="F43" s="94">
        <f>E43*F37</f>
        <v>76.494</v>
      </c>
      <c r="G43" s="94"/>
      <c r="H43" s="94"/>
      <c r="I43" s="94"/>
      <c r="J43" s="94"/>
      <c r="K43" s="94"/>
      <c r="L43" s="94"/>
      <c r="M43" s="94"/>
    </row>
    <row r="44" spans="1:13">
      <c r="A44" s="92" t="s">
        <v>225</v>
      </c>
      <c r="B44" s="98" t="s">
        <v>359</v>
      </c>
      <c r="C44" s="109" t="s">
        <v>277</v>
      </c>
      <c r="D44" s="92" t="s">
        <v>23</v>
      </c>
      <c r="E44" s="94">
        <f>122*5%</f>
        <v>6.1000000000000005</v>
      </c>
      <c r="F44" s="94">
        <f>F37*E44</f>
        <v>4.0260000000000007</v>
      </c>
      <c r="G44" s="94"/>
      <c r="H44" s="94"/>
      <c r="I44" s="94"/>
      <c r="J44" s="94"/>
      <c r="K44" s="94"/>
      <c r="L44" s="94"/>
      <c r="M44" s="94"/>
    </row>
    <row r="45" spans="1:13">
      <c r="A45" s="92"/>
      <c r="B45" s="98"/>
      <c r="C45" s="109"/>
      <c r="D45" s="92"/>
      <c r="E45" s="94"/>
      <c r="F45" s="94"/>
      <c r="G45" s="94"/>
      <c r="H45" s="94"/>
      <c r="I45" s="94"/>
      <c r="J45" s="94"/>
      <c r="K45" s="94"/>
      <c r="L45" s="94"/>
      <c r="M45" s="94"/>
    </row>
    <row r="46" spans="1:13">
      <c r="A46" s="92">
        <v>1.5</v>
      </c>
      <c r="B46" s="98" t="s">
        <v>278</v>
      </c>
      <c r="C46" s="109" t="s">
        <v>280</v>
      </c>
      <c r="D46" s="92" t="s">
        <v>337</v>
      </c>
      <c r="E46" s="94"/>
      <c r="F46" s="94">
        <v>663</v>
      </c>
      <c r="G46" s="94"/>
      <c r="H46" s="94"/>
      <c r="I46" s="94"/>
      <c r="J46" s="94"/>
      <c r="K46" s="94"/>
      <c r="L46" s="94"/>
      <c r="M46" s="94"/>
    </row>
    <row r="47" spans="1:13">
      <c r="A47" s="92"/>
      <c r="B47" s="98"/>
      <c r="C47" s="109"/>
      <c r="D47" s="92" t="s">
        <v>360</v>
      </c>
      <c r="E47" s="94"/>
      <c r="F47" s="108">
        <f>F46/1000</f>
        <v>0.66300000000000003</v>
      </c>
      <c r="G47" s="94"/>
      <c r="H47" s="94"/>
      <c r="I47" s="94"/>
      <c r="J47" s="94"/>
      <c r="K47" s="94"/>
      <c r="L47" s="94"/>
      <c r="M47" s="94"/>
    </row>
    <row r="48" spans="1:13">
      <c r="A48" s="92" t="s">
        <v>192</v>
      </c>
      <c r="B48" s="98"/>
      <c r="C48" s="109" t="s">
        <v>15</v>
      </c>
      <c r="D48" s="92" t="s">
        <v>1</v>
      </c>
      <c r="E48" s="94">
        <v>737</v>
      </c>
      <c r="F48" s="94">
        <f>ROUND(E48*F47,2)</f>
        <v>488.63</v>
      </c>
      <c r="G48" s="94"/>
      <c r="H48" s="94"/>
      <c r="I48" s="94"/>
      <c r="J48" s="94"/>
      <c r="K48" s="94"/>
      <c r="L48" s="94"/>
      <c r="M48" s="94"/>
    </row>
    <row r="49" spans="1:13">
      <c r="A49" s="92" t="s">
        <v>193</v>
      </c>
      <c r="B49" s="98" t="s">
        <v>344</v>
      </c>
      <c r="C49" s="109" t="s">
        <v>73</v>
      </c>
      <c r="D49" s="92" t="s">
        <v>24</v>
      </c>
      <c r="E49" s="94">
        <v>15.3</v>
      </c>
      <c r="F49" s="94">
        <f>ROUND(E49*F47,1)</f>
        <v>10.1</v>
      </c>
      <c r="G49" s="94"/>
      <c r="H49" s="94"/>
      <c r="I49" s="94"/>
      <c r="J49" s="94"/>
      <c r="K49" s="94"/>
      <c r="L49" s="94"/>
      <c r="M49" s="94"/>
    </row>
    <row r="50" spans="1:13" s="50" customFormat="1">
      <c r="A50" s="92" t="s">
        <v>194</v>
      </c>
      <c r="B50" s="98" t="s">
        <v>361</v>
      </c>
      <c r="C50" s="109" t="s">
        <v>362</v>
      </c>
      <c r="D50" s="92" t="s">
        <v>329</v>
      </c>
      <c r="E50" s="94">
        <f>8+123</f>
        <v>131</v>
      </c>
      <c r="F50" s="94">
        <f>ROUND(E50*F47,1)</f>
        <v>86.9</v>
      </c>
      <c r="G50" s="94"/>
      <c r="H50" s="94"/>
      <c r="I50" s="94"/>
      <c r="J50" s="94"/>
      <c r="K50" s="94"/>
      <c r="L50" s="94"/>
      <c r="M50" s="94"/>
    </row>
    <row r="51" spans="1:13" s="50" customFormat="1">
      <c r="A51" s="92" t="s">
        <v>195</v>
      </c>
      <c r="B51" s="98" t="s">
        <v>363</v>
      </c>
      <c r="C51" s="109" t="s">
        <v>279</v>
      </c>
      <c r="D51" s="92" t="s">
        <v>329</v>
      </c>
      <c r="E51" s="94">
        <v>18.8</v>
      </c>
      <c r="F51" s="94">
        <f>ROUND(E51*F47,2)</f>
        <v>12.46</v>
      </c>
      <c r="G51" s="94"/>
      <c r="H51" s="94"/>
      <c r="I51" s="94"/>
      <c r="J51" s="94"/>
      <c r="K51" s="94"/>
      <c r="L51" s="94"/>
      <c r="M51" s="94"/>
    </row>
    <row r="52" spans="1:13" s="50" customFormat="1">
      <c r="A52" s="92" t="s">
        <v>200</v>
      </c>
      <c r="B52" s="98"/>
      <c r="C52" s="109" t="s">
        <v>14</v>
      </c>
      <c r="D52" s="92" t="s">
        <v>25</v>
      </c>
      <c r="E52" s="94">
        <v>3.32</v>
      </c>
      <c r="F52" s="94">
        <f>ROUND(E52*F47,1)</f>
        <v>2.2000000000000002</v>
      </c>
      <c r="G52" s="94"/>
      <c r="H52" s="94"/>
      <c r="I52" s="94"/>
      <c r="J52" s="94"/>
      <c r="K52" s="94"/>
      <c r="L52" s="94"/>
      <c r="M52" s="94"/>
    </row>
    <row r="53" spans="1:13" s="50" customFormat="1">
      <c r="A53" s="92" t="s">
        <v>364</v>
      </c>
      <c r="B53" s="98" t="s">
        <v>358</v>
      </c>
      <c r="C53" s="109" t="s">
        <v>365</v>
      </c>
      <c r="D53" s="92" t="s">
        <v>329</v>
      </c>
      <c r="E53" s="94">
        <v>9.1999999999999993</v>
      </c>
      <c r="F53" s="94">
        <f>E53*F47</f>
        <v>6.0995999999999997</v>
      </c>
      <c r="G53" s="94"/>
      <c r="H53" s="94"/>
      <c r="I53" s="94"/>
      <c r="J53" s="94"/>
      <c r="K53" s="94"/>
      <c r="L53" s="94"/>
      <c r="M53" s="94"/>
    </row>
    <row r="54" spans="1:13" s="50" customFormat="1">
      <c r="A54" s="92"/>
      <c r="B54" s="98"/>
      <c r="C54" s="109"/>
      <c r="D54" s="92"/>
      <c r="E54" s="94"/>
      <c r="F54" s="94"/>
      <c r="G54" s="94"/>
      <c r="H54" s="94"/>
      <c r="I54" s="94"/>
      <c r="J54" s="94"/>
      <c r="K54" s="94"/>
      <c r="L54" s="94"/>
      <c r="M54" s="94"/>
    </row>
    <row r="55" spans="1:13">
      <c r="A55" s="92">
        <v>1.6</v>
      </c>
      <c r="B55" s="141" t="s">
        <v>341</v>
      </c>
      <c r="C55" s="153" t="s">
        <v>282</v>
      </c>
      <c r="D55" s="138" t="s">
        <v>342</v>
      </c>
      <c r="E55" s="139"/>
      <c r="F55" s="139">
        <v>0</v>
      </c>
      <c r="G55" s="139"/>
      <c r="H55" s="139"/>
      <c r="I55" s="139"/>
      <c r="J55" s="139"/>
      <c r="K55" s="139"/>
      <c r="L55" s="139"/>
      <c r="M55" s="139"/>
    </row>
    <row r="56" spans="1:13">
      <c r="A56" s="92" t="s">
        <v>59</v>
      </c>
      <c r="B56" s="141"/>
      <c r="C56" s="153" t="s">
        <v>15</v>
      </c>
      <c r="D56" s="138" t="s">
        <v>1</v>
      </c>
      <c r="E56" s="139">
        <v>15</v>
      </c>
      <c r="F56" s="139">
        <f>E56*F55</f>
        <v>0</v>
      </c>
      <c r="G56" s="139"/>
      <c r="H56" s="139"/>
      <c r="I56" s="139"/>
      <c r="J56" s="139"/>
      <c r="K56" s="139"/>
      <c r="L56" s="139"/>
      <c r="M56" s="139"/>
    </row>
    <row r="57" spans="1:13">
      <c r="A57" s="92" t="s">
        <v>60</v>
      </c>
      <c r="B57" s="141"/>
      <c r="C57" s="153" t="s">
        <v>72</v>
      </c>
      <c r="D57" s="138" t="s">
        <v>24</v>
      </c>
      <c r="E57" s="139">
        <v>2.16</v>
      </c>
      <c r="F57" s="139">
        <f>E57*F55</f>
        <v>0</v>
      </c>
      <c r="G57" s="139"/>
      <c r="H57" s="139"/>
      <c r="I57" s="139"/>
      <c r="J57" s="139"/>
      <c r="K57" s="139"/>
      <c r="L57" s="139"/>
      <c r="M57" s="139"/>
    </row>
    <row r="58" spans="1:13">
      <c r="A58" s="92" t="s">
        <v>201</v>
      </c>
      <c r="B58" s="141"/>
      <c r="C58" s="153" t="s">
        <v>85</v>
      </c>
      <c r="D58" s="138" t="s">
        <v>24</v>
      </c>
      <c r="E58" s="139">
        <v>2.73</v>
      </c>
      <c r="F58" s="139">
        <f>E58*F55</f>
        <v>0</v>
      </c>
      <c r="G58" s="139"/>
      <c r="H58" s="139"/>
      <c r="I58" s="139"/>
      <c r="J58" s="139"/>
      <c r="K58" s="139"/>
      <c r="L58" s="139"/>
      <c r="M58" s="139"/>
    </row>
    <row r="59" spans="1:13">
      <c r="A59" s="92" t="s">
        <v>202</v>
      </c>
      <c r="B59" s="141"/>
      <c r="C59" s="153" t="s">
        <v>73</v>
      </c>
      <c r="D59" s="138" t="s">
        <v>24</v>
      </c>
      <c r="E59" s="139">
        <v>0.97</v>
      </c>
      <c r="F59" s="139">
        <f>E59*F55</f>
        <v>0</v>
      </c>
      <c r="G59" s="139"/>
      <c r="H59" s="139"/>
      <c r="I59" s="139"/>
      <c r="J59" s="139"/>
      <c r="K59" s="139"/>
      <c r="L59" s="139"/>
      <c r="M59" s="139"/>
    </row>
    <row r="60" spans="1:13">
      <c r="A60" s="92" t="s">
        <v>203</v>
      </c>
      <c r="B60" s="141"/>
      <c r="C60" s="153" t="s">
        <v>74</v>
      </c>
      <c r="D60" s="138" t="s">
        <v>329</v>
      </c>
      <c r="E60" s="139">
        <v>7</v>
      </c>
      <c r="F60" s="139">
        <f>E60*F55</f>
        <v>0</v>
      </c>
      <c r="G60" s="139"/>
      <c r="H60" s="139"/>
      <c r="I60" s="139"/>
      <c r="J60" s="139"/>
      <c r="K60" s="139"/>
      <c r="L60" s="139"/>
      <c r="M60" s="139"/>
    </row>
    <row r="61" spans="1:13">
      <c r="A61" s="92" t="s">
        <v>204</v>
      </c>
      <c r="B61" s="141"/>
      <c r="C61" s="153" t="s">
        <v>283</v>
      </c>
      <c r="D61" s="138" t="s">
        <v>329</v>
      </c>
      <c r="E61" s="139">
        <v>122</v>
      </c>
      <c r="F61" s="139">
        <f>E61*F55</f>
        <v>0</v>
      </c>
      <c r="G61" s="139"/>
      <c r="H61" s="139"/>
      <c r="I61" s="139"/>
      <c r="J61" s="139"/>
      <c r="K61" s="139"/>
      <c r="L61" s="139"/>
      <c r="M61" s="139"/>
    </row>
    <row r="62" spans="1:13">
      <c r="A62" s="92" t="s">
        <v>205</v>
      </c>
      <c r="B62" s="141"/>
      <c r="C62" s="153" t="s">
        <v>277</v>
      </c>
      <c r="D62" s="138" t="s">
        <v>23</v>
      </c>
      <c r="E62" s="139">
        <v>0.05</v>
      </c>
      <c r="F62" s="139">
        <f>F61*E62</f>
        <v>0</v>
      </c>
      <c r="G62" s="139"/>
      <c r="H62" s="139"/>
      <c r="I62" s="139"/>
      <c r="J62" s="139"/>
      <c r="K62" s="139"/>
      <c r="L62" s="139"/>
      <c r="M62" s="139"/>
    </row>
    <row r="63" spans="1:13">
      <c r="A63" s="92"/>
      <c r="B63" s="98"/>
      <c r="C63" s="109"/>
      <c r="D63" s="92"/>
      <c r="E63" s="94"/>
      <c r="F63" s="94"/>
      <c r="G63" s="94"/>
      <c r="H63" s="94"/>
      <c r="I63" s="94"/>
      <c r="J63" s="94"/>
      <c r="K63" s="94"/>
      <c r="L63" s="94"/>
      <c r="M63" s="94"/>
    </row>
    <row r="64" spans="1:13">
      <c r="A64" s="59"/>
      <c r="B64" s="97"/>
      <c r="C64" s="59" t="s">
        <v>4</v>
      </c>
      <c r="D64" s="59"/>
      <c r="E64" s="91"/>
      <c r="F64" s="91"/>
      <c r="G64" s="91"/>
      <c r="H64" s="91"/>
      <c r="I64" s="91"/>
      <c r="J64" s="91"/>
      <c r="K64" s="91"/>
      <c r="L64" s="91"/>
      <c r="M64" s="91"/>
    </row>
    <row r="65" spans="1:13">
      <c r="A65" s="59"/>
      <c r="B65" s="98"/>
      <c r="C65" s="92"/>
      <c r="D65" s="92"/>
      <c r="E65" s="94"/>
      <c r="F65" s="94"/>
      <c r="G65" s="94"/>
      <c r="H65" s="94"/>
      <c r="I65" s="94"/>
      <c r="J65" s="94"/>
      <c r="K65" s="94"/>
      <c r="L65" s="94"/>
      <c r="M65" s="94"/>
    </row>
    <row r="66" spans="1:13">
      <c r="A66" s="59"/>
      <c r="B66" s="98"/>
      <c r="C66" s="92" t="s">
        <v>10</v>
      </c>
      <c r="D66" s="99">
        <v>0.1</v>
      </c>
      <c r="E66" s="94"/>
      <c r="F66" s="94"/>
      <c r="G66" s="94"/>
      <c r="H66" s="94"/>
      <c r="I66" s="94"/>
      <c r="J66" s="94"/>
      <c r="K66" s="94"/>
      <c r="L66" s="94"/>
      <c r="M66" s="94"/>
    </row>
    <row r="67" spans="1:13">
      <c r="A67" s="59"/>
      <c r="B67" s="98"/>
      <c r="C67" s="92" t="s">
        <v>4</v>
      </c>
      <c r="D67" s="99"/>
      <c r="E67" s="94"/>
      <c r="F67" s="94"/>
      <c r="G67" s="94"/>
      <c r="H67" s="94"/>
      <c r="I67" s="94"/>
      <c r="J67" s="94"/>
      <c r="K67" s="94"/>
      <c r="L67" s="94"/>
      <c r="M67" s="94"/>
    </row>
    <row r="68" spans="1:13">
      <c r="A68" s="59"/>
      <c r="B68" s="98"/>
      <c r="C68" s="92" t="s">
        <v>11</v>
      </c>
      <c r="D68" s="99">
        <v>0.08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1:13">
      <c r="A69" s="59"/>
      <c r="B69" s="98"/>
      <c r="C69" s="92"/>
      <c r="D69" s="99"/>
      <c r="E69" s="94"/>
      <c r="F69" s="94"/>
      <c r="G69" s="94"/>
      <c r="H69" s="94"/>
      <c r="I69" s="94"/>
      <c r="J69" s="94"/>
      <c r="K69" s="94"/>
      <c r="L69" s="94"/>
      <c r="M69" s="94"/>
    </row>
    <row r="70" spans="1:13">
      <c r="A70" s="59"/>
      <c r="B70" s="98"/>
      <c r="C70" s="59" t="s">
        <v>4</v>
      </c>
      <c r="D70" s="59"/>
      <c r="E70" s="91"/>
      <c r="F70" s="91"/>
      <c r="G70" s="91"/>
      <c r="H70" s="91"/>
      <c r="I70" s="91"/>
      <c r="J70" s="91"/>
      <c r="K70" s="91"/>
      <c r="L70" s="91"/>
      <c r="M70" s="91"/>
    </row>
    <row r="71" spans="1:13">
      <c r="B71" s="101"/>
      <c r="C71" s="102"/>
      <c r="D71" s="101"/>
      <c r="E71" s="101"/>
      <c r="F71" s="101"/>
      <c r="G71" s="101"/>
      <c r="H71" s="101"/>
      <c r="I71" s="101"/>
      <c r="J71" s="101"/>
      <c r="K71" s="101"/>
      <c r="L71" s="101"/>
      <c r="M71" s="103"/>
    </row>
    <row r="72" spans="1:13">
      <c r="B72" s="101"/>
      <c r="C72" s="102"/>
      <c r="D72" s="101"/>
      <c r="E72" s="101"/>
      <c r="F72" s="101"/>
      <c r="G72" s="101"/>
      <c r="H72" s="101"/>
      <c r="I72" s="101"/>
      <c r="J72" s="101"/>
      <c r="K72" s="101"/>
      <c r="L72" s="101"/>
      <c r="M72" s="103"/>
    </row>
    <row r="73" spans="1:13">
      <c r="B73" s="101"/>
      <c r="C73" s="102"/>
      <c r="D73" s="101"/>
      <c r="E73" s="101"/>
      <c r="F73" s="101"/>
      <c r="G73" s="101"/>
      <c r="H73" s="101"/>
      <c r="I73" s="101"/>
      <c r="J73" s="101"/>
      <c r="K73" s="101"/>
      <c r="L73" s="101"/>
      <c r="M73" s="103"/>
    </row>
    <row r="74" spans="1:13">
      <c r="B74" s="101"/>
      <c r="C74" s="102"/>
      <c r="D74" s="101"/>
      <c r="E74" s="101"/>
      <c r="F74" s="101"/>
      <c r="G74" s="101"/>
      <c r="H74" s="101"/>
      <c r="I74" s="101"/>
      <c r="J74" s="101"/>
      <c r="K74" s="101"/>
      <c r="L74" s="101"/>
      <c r="M74" s="103"/>
    </row>
    <row r="75" spans="1:13">
      <c r="B75" s="101"/>
      <c r="C75" s="102"/>
      <c r="D75" s="101"/>
      <c r="E75" s="101"/>
      <c r="F75" s="101"/>
      <c r="G75" s="101"/>
      <c r="H75" s="101"/>
      <c r="I75" s="101"/>
      <c r="J75" s="101"/>
      <c r="K75" s="101"/>
      <c r="L75" s="101"/>
      <c r="M75" s="103"/>
    </row>
    <row r="76" spans="1:13">
      <c r="B76" s="101"/>
      <c r="C76" s="102"/>
      <c r="D76" s="101"/>
      <c r="E76" s="101"/>
      <c r="F76" s="101"/>
      <c r="G76" s="101"/>
      <c r="H76" s="101"/>
      <c r="I76" s="101"/>
      <c r="J76" s="101"/>
      <c r="K76" s="101"/>
      <c r="L76" s="101"/>
      <c r="M76" s="103"/>
    </row>
    <row r="77" spans="1:13">
      <c r="B77" s="101"/>
      <c r="C77" s="102"/>
      <c r="D77" s="101"/>
      <c r="E77" s="101"/>
      <c r="F77" s="101"/>
      <c r="G77" s="101"/>
      <c r="H77" s="101"/>
      <c r="I77" s="101"/>
      <c r="J77" s="101"/>
      <c r="K77" s="101"/>
      <c r="L77" s="101"/>
      <c r="M77" s="103"/>
    </row>
    <row r="78" spans="1:13">
      <c r="B78" s="101"/>
      <c r="C78" s="102"/>
      <c r="D78" s="101"/>
      <c r="E78" s="101"/>
      <c r="F78" s="101"/>
      <c r="G78" s="101"/>
      <c r="H78" s="101"/>
      <c r="I78" s="101"/>
      <c r="J78" s="101"/>
      <c r="K78" s="101"/>
      <c r="L78" s="101"/>
      <c r="M78" s="103"/>
    </row>
    <row r="79" spans="1:13">
      <c r="B79" s="101"/>
      <c r="C79" s="102"/>
      <c r="D79" s="101"/>
      <c r="E79" s="101"/>
      <c r="F79" s="101"/>
      <c r="G79" s="101"/>
      <c r="H79" s="101"/>
      <c r="I79" s="101"/>
      <c r="J79" s="101"/>
      <c r="K79" s="101"/>
      <c r="L79" s="101"/>
      <c r="M79" s="103"/>
    </row>
    <row r="80" spans="1:13">
      <c r="B80" s="101"/>
      <c r="C80" s="102"/>
      <c r="D80" s="101"/>
      <c r="E80" s="101"/>
      <c r="F80" s="101"/>
      <c r="G80" s="101"/>
      <c r="H80" s="101"/>
      <c r="I80" s="101"/>
      <c r="J80" s="101"/>
      <c r="K80" s="101"/>
      <c r="L80" s="101"/>
      <c r="M80" s="103"/>
    </row>
    <row r="81" spans="2:13">
      <c r="B81" s="101"/>
      <c r="C81" s="102"/>
      <c r="D81" s="101"/>
      <c r="E81" s="101"/>
      <c r="F81" s="101"/>
      <c r="G81" s="101"/>
      <c r="H81" s="101"/>
      <c r="I81" s="101"/>
      <c r="J81" s="101"/>
      <c r="K81" s="101"/>
      <c r="L81" s="101"/>
      <c r="M81" s="103"/>
    </row>
    <row r="82" spans="2:13">
      <c r="B82" s="101"/>
      <c r="C82" s="102"/>
      <c r="D82" s="101"/>
      <c r="E82" s="101"/>
      <c r="F82" s="101"/>
      <c r="G82" s="101"/>
      <c r="H82" s="101"/>
      <c r="I82" s="101"/>
      <c r="J82" s="101"/>
      <c r="K82" s="101"/>
      <c r="L82" s="101"/>
      <c r="M82" s="103"/>
    </row>
    <row r="83" spans="2:13">
      <c r="B83" s="101"/>
      <c r="C83" s="102"/>
      <c r="D83" s="101"/>
      <c r="E83" s="101"/>
      <c r="F83" s="101"/>
      <c r="G83" s="101"/>
      <c r="H83" s="101"/>
      <c r="I83" s="101"/>
      <c r="J83" s="101"/>
      <c r="K83" s="101"/>
      <c r="L83" s="101"/>
      <c r="M83" s="103"/>
    </row>
    <row r="84" spans="2:13">
      <c r="B84" s="101"/>
      <c r="C84" s="102"/>
      <c r="D84" s="101"/>
      <c r="E84" s="101"/>
      <c r="F84" s="101"/>
      <c r="G84" s="101"/>
      <c r="H84" s="101"/>
      <c r="I84" s="101"/>
      <c r="J84" s="101"/>
      <c r="K84" s="101"/>
      <c r="L84" s="101"/>
      <c r="M84" s="103"/>
    </row>
    <row r="85" spans="2:13">
      <c r="B85" s="101"/>
      <c r="C85" s="102"/>
      <c r="D85" s="101"/>
      <c r="E85" s="101"/>
      <c r="F85" s="101"/>
      <c r="G85" s="101"/>
      <c r="H85" s="101"/>
      <c r="I85" s="101"/>
      <c r="J85" s="101"/>
      <c r="K85" s="101"/>
      <c r="L85" s="101"/>
      <c r="M85" s="103"/>
    </row>
    <row r="86" spans="2:13">
      <c r="B86" s="101"/>
      <c r="C86" s="102"/>
      <c r="D86" s="101"/>
      <c r="E86" s="101"/>
      <c r="F86" s="101"/>
      <c r="G86" s="101"/>
      <c r="H86" s="101"/>
      <c r="I86" s="101"/>
      <c r="J86" s="101"/>
      <c r="K86" s="101"/>
      <c r="L86" s="101"/>
      <c r="M86" s="103"/>
    </row>
    <row r="87" spans="2:13">
      <c r="B87" s="101"/>
      <c r="C87" s="102"/>
      <c r="D87" s="101"/>
      <c r="E87" s="101"/>
      <c r="F87" s="101"/>
      <c r="G87" s="101"/>
      <c r="H87" s="101"/>
      <c r="I87" s="101"/>
      <c r="J87" s="101"/>
      <c r="K87" s="101"/>
      <c r="L87" s="101"/>
      <c r="M87" s="103"/>
    </row>
    <row r="88" spans="2:13">
      <c r="B88" s="101"/>
      <c r="C88" s="102"/>
      <c r="D88" s="101"/>
      <c r="E88" s="101"/>
      <c r="F88" s="101"/>
      <c r="G88" s="101"/>
      <c r="H88" s="101"/>
      <c r="I88" s="101"/>
      <c r="J88" s="101"/>
      <c r="K88" s="101"/>
      <c r="L88" s="101"/>
      <c r="M88" s="103"/>
    </row>
    <row r="89" spans="2:13">
      <c r="B89" s="101"/>
      <c r="C89" s="102"/>
      <c r="D89" s="101"/>
      <c r="E89" s="101"/>
      <c r="F89" s="101"/>
      <c r="G89" s="101"/>
      <c r="H89" s="101"/>
      <c r="I89" s="101"/>
      <c r="J89" s="101"/>
      <c r="K89" s="101"/>
      <c r="L89" s="101"/>
      <c r="M89" s="103"/>
    </row>
    <row r="90" spans="2:13">
      <c r="B90" s="101"/>
      <c r="C90" s="102"/>
      <c r="D90" s="101"/>
      <c r="E90" s="101"/>
      <c r="F90" s="101"/>
      <c r="G90" s="101"/>
      <c r="H90" s="101"/>
      <c r="I90" s="101"/>
      <c r="J90" s="101"/>
      <c r="K90" s="101"/>
      <c r="L90" s="101"/>
      <c r="M90" s="103"/>
    </row>
    <row r="91" spans="2:13">
      <c r="B91" s="101"/>
      <c r="C91" s="102"/>
      <c r="D91" s="101"/>
      <c r="E91" s="101"/>
      <c r="F91" s="101"/>
      <c r="G91" s="101"/>
      <c r="H91" s="101"/>
      <c r="I91" s="101"/>
      <c r="J91" s="101"/>
      <c r="K91" s="101"/>
      <c r="L91" s="101"/>
      <c r="M91" s="103"/>
    </row>
    <row r="92" spans="2:13">
      <c r="B92" s="101"/>
      <c r="C92" s="102"/>
      <c r="D92" s="101"/>
      <c r="E92" s="101"/>
      <c r="F92" s="101"/>
      <c r="G92" s="101"/>
      <c r="H92" s="101"/>
      <c r="I92" s="101"/>
      <c r="J92" s="101"/>
      <c r="K92" s="101"/>
      <c r="L92" s="101"/>
      <c r="M92" s="103"/>
    </row>
    <row r="93" spans="2:13">
      <c r="B93" s="101"/>
      <c r="C93" s="102"/>
      <c r="D93" s="101"/>
      <c r="E93" s="101"/>
      <c r="F93" s="101"/>
      <c r="G93" s="101"/>
      <c r="H93" s="101"/>
      <c r="I93" s="101"/>
      <c r="J93" s="101"/>
      <c r="K93" s="101"/>
      <c r="L93" s="101"/>
      <c r="M93" s="103"/>
    </row>
    <row r="94" spans="2:13">
      <c r="B94" s="101"/>
      <c r="C94" s="102"/>
      <c r="D94" s="101"/>
      <c r="E94" s="101"/>
      <c r="F94" s="101"/>
      <c r="G94" s="101"/>
      <c r="H94" s="101"/>
      <c r="I94" s="101"/>
      <c r="J94" s="101"/>
      <c r="K94" s="101"/>
      <c r="L94" s="101"/>
      <c r="M94" s="103"/>
    </row>
    <row r="95" spans="2:13">
      <c r="B95" s="101"/>
      <c r="C95" s="102"/>
      <c r="D95" s="101"/>
      <c r="E95" s="101"/>
      <c r="F95" s="101"/>
      <c r="G95" s="101"/>
      <c r="H95" s="101"/>
      <c r="I95" s="101"/>
      <c r="J95" s="101"/>
      <c r="K95" s="101"/>
      <c r="L95" s="101"/>
      <c r="M95" s="103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4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4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4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4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4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4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4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4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4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4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4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4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4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topLeftCell="A22" zoomScale="60" zoomScaleNormal="55" workbookViewId="0">
      <selection activeCell="IN76" sqref="IN76"/>
    </sheetView>
  </sheetViews>
  <sheetFormatPr defaultRowHeight="15"/>
  <cols>
    <col min="1" max="1" width="15.7109375" customWidth="1"/>
    <col min="2" max="2" width="200.7109375" customWidth="1"/>
    <col min="3" max="3" width="9.7109375" customWidth="1"/>
    <col min="4" max="4" width="34.7109375" customWidth="1"/>
    <col min="5" max="7" width="20.7109375" customWidth="1"/>
  </cols>
  <sheetData>
    <row r="1" spans="1:4">
      <c r="A1" s="17"/>
      <c r="B1" s="17"/>
      <c r="C1" s="5"/>
      <c r="D1" s="5"/>
    </row>
    <row r="2" spans="1:4">
      <c r="A2" s="17"/>
      <c r="B2" s="17"/>
      <c r="C2" s="5"/>
      <c r="D2" s="5"/>
    </row>
    <row r="3" spans="1:4" ht="15" customHeight="1">
      <c r="A3" s="18">
        <f>სატენდერო!A3</f>
        <v>0</v>
      </c>
      <c r="B3" s="18"/>
      <c r="C3" s="5"/>
      <c r="D3" s="165"/>
    </row>
    <row r="4" spans="1:4" ht="15" customHeight="1">
      <c r="A4" s="18"/>
      <c r="B4" s="18"/>
      <c r="C4" s="5"/>
      <c r="D4" s="165"/>
    </row>
    <row r="5" spans="1:4" ht="15" customHeight="1">
      <c r="A5" s="18" t="s">
        <v>28</v>
      </c>
      <c r="B5" s="18"/>
      <c r="C5" s="5"/>
      <c r="D5" s="165"/>
    </row>
    <row r="6" spans="1:4" ht="15" customHeight="1">
      <c r="A6" s="18"/>
      <c r="B6" s="18"/>
      <c r="C6" s="5"/>
      <c r="D6" s="165"/>
    </row>
    <row r="7" spans="1:4" ht="15" customHeight="1">
      <c r="A7" s="18">
        <f>სატენდერო!A7</f>
        <v>0</v>
      </c>
      <c r="B7" s="18"/>
      <c r="C7" s="5"/>
      <c r="D7" s="165"/>
    </row>
    <row r="8" spans="1:4" ht="15" customHeight="1">
      <c r="A8" s="18"/>
      <c r="B8" s="18"/>
      <c r="C8" s="5"/>
      <c r="D8" s="165"/>
    </row>
    <row r="9" spans="1:4" ht="15" customHeight="1">
      <c r="A9" s="18" t="s">
        <v>29</v>
      </c>
      <c r="B9" s="18"/>
      <c r="C9" s="5"/>
      <c r="D9" s="165"/>
    </row>
    <row r="10" spans="1:4" ht="15" customHeight="1">
      <c r="A10" s="18"/>
      <c r="B10" s="18"/>
      <c r="C10" s="6"/>
      <c r="D10" s="165"/>
    </row>
    <row r="11" spans="1:4" ht="15" customHeight="1">
      <c r="A11" s="165"/>
      <c r="B11" s="165"/>
      <c r="C11" s="5"/>
      <c r="D11" s="165"/>
    </row>
    <row r="12" spans="1:4" ht="15" customHeight="1">
      <c r="A12" s="165"/>
      <c r="B12" s="165"/>
      <c r="C12" s="5"/>
      <c r="D12" s="165"/>
    </row>
    <row r="13" spans="1:4" s="14" customFormat="1" ht="80.099999999999994" customHeight="1">
      <c r="A13" s="168" t="s">
        <v>48</v>
      </c>
      <c r="B13" s="169"/>
      <c r="C13" s="169"/>
      <c r="D13" s="169"/>
    </row>
    <row r="14" spans="1:4" s="14" customFormat="1" ht="39.950000000000003" customHeight="1">
      <c r="A14" s="170" t="s">
        <v>2</v>
      </c>
      <c r="B14" s="170" t="s">
        <v>3</v>
      </c>
      <c r="C14" s="170" t="s">
        <v>12</v>
      </c>
      <c r="D14" s="171" t="s">
        <v>52</v>
      </c>
    </row>
    <row r="15" spans="1:4" s="14" customFormat="1" ht="39.950000000000003" customHeight="1">
      <c r="A15" s="170"/>
      <c r="B15" s="170"/>
      <c r="C15" s="170"/>
      <c r="D15" s="171"/>
    </row>
    <row r="16" spans="1:4" s="14" customFormat="1" ht="39.950000000000003" customHeight="1">
      <c r="A16" s="170"/>
      <c r="B16" s="170"/>
      <c r="C16" s="170"/>
      <c r="D16" s="171"/>
    </row>
    <row r="17" spans="1:4" s="14" customFormat="1" ht="39.950000000000003" customHeight="1">
      <c r="A17" s="23">
        <v>1</v>
      </c>
      <c r="B17" s="23">
        <v>2</v>
      </c>
      <c r="C17" s="23">
        <v>3</v>
      </c>
      <c r="D17" s="23">
        <v>4</v>
      </c>
    </row>
    <row r="18" spans="1:4" s="13" customFormat="1" ht="39.950000000000003" customHeight="1">
      <c r="A18" s="166" t="s">
        <v>53</v>
      </c>
      <c r="B18" s="167"/>
      <c r="C18" s="167"/>
      <c r="D18" s="167"/>
    </row>
    <row r="19" spans="1:4" s="13" customFormat="1" ht="39.950000000000003" customHeight="1">
      <c r="A19" s="24" t="s">
        <v>147</v>
      </c>
      <c r="B19" s="25" t="str">
        <f>სატენდერო!B20</f>
        <v>მოსამზადებელი სამუშაოები</v>
      </c>
      <c r="C19" s="25"/>
      <c r="D19" s="26">
        <f>სატენდერო!H26</f>
        <v>0</v>
      </c>
    </row>
    <row r="20" spans="1:4" s="13" customFormat="1" ht="39.950000000000003" customHeight="1">
      <c r="A20" s="166" t="s">
        <v>54</v>
      </c>
      <c r="B20" s="167"/>
      <c r="C20" s="167"/>
      <c r="D20" s="167"/>
    </row>
    <row r="21" spans="1:4" s="13" customFormat="1" ht="39.950000000000003" customHeight="1">
      <c r="A21" s="24" t="s">
        <v>160</v>
      </c>
      <c r="B21" s="25" t="str">
        <f>სატენდერო!B27</f>
        <v>მიწის ვაკისი</v>
      </c>
      <c r="C21" s="25"/>
      <c r="D21" s="26">
        <f>სატენდერო!H36</f>
        <v>0</v>
      </c>
    </row>
    <row r="22" spans="1:4" s="13" customFormat="1" ht="39.950000000000003" customHeight="1">
      <c r="A22" s="166" t="s">
        <v>55</v>
      </c>
      <c r="B22" s="167"/>
      <c r="C22" s="167"/>
      <c r="D22" s="167"/>
    </row>
    <row r="23" spans="1:4" s="13" customFormat="1" ht="39.950000000000003" customHeight="1">
      <c r="A23" s="24" t="s">
        <v>187</v>
      </c>
      <c r="B23" s="25" t="str">
        <f>სატენდერო!B37</f>
        <v>რ/ბ კედლის მოწყობის სამუშაოები</v>
      </c>
      <c r="C23" s="25"/>
      <c r="D23" s="26">
        <f>სატენდერო!H61</f>
        <v>0</v>
      </c>
    </row>
    <row r="24" spans="1:4" s="13" customFormat="1" ht="39.950000000000003" customHeight="1">
      <c r="A24" s="24" t="s">
        <v>188</v>
      </c>
      <c r="B24" s="25" t="str">
        <f>სატენდერო!B62</f>
        <v>ღობის მოწყობის სამუშაოები</v>
      </c>
      <c r="C24" s="25"/>
      <c r="D24" s="26">
        <f>სატენდერო!H82</f>
        <v>0</v>
      </c>
    </row>
    <row r="25" spans="1:4" s="13" customFormat="1" ht="39.950000000000003" customHeight="1">
      <c r="A25" s="24" t="s">
        <v>315</v>
      </c>
      <c r="B25" s="25" t="str">
        <f>სატენდერო!B83</f>
        <v>სახლის გასამაგრებელი კედელის მოწყობა</v>
      </c>
      <c r="C25" s="25"/>
      <c r="D25" s="26">
        <f>სატენდერო!H107</f>
        <v>0</v>
      </c>
    </row>
    <row r="26" spans="1:4" s="13" customFormat="1" ht="39.950000000000003" customHeight="1">
      <c r="A26" s="166" t="s">
        <v>56</v>
      </c>
      <c r="B26" s="167"/>
      <c r="C26" s="167"/>
      <c r="D26" s="167"/>
    </row>
    <row r="27" spans="1:4" s="13" customFormat="1" ht="39.950000000000003" customHeight="1">
      <c r="A27" s="24" t="s">
        <v>174</v>
      </c>
      <c r="B27" s="25" t="str">
        <f>სატენდერო!B108</f>
        <v xml:space="preserve">საგზაო სამოსი </v>
      </c>
      <c r="C27" s="25"/>
      <c r="D27" s="26">
        <f>სატენდერო!H119</f>
        <v>0</v>
      </c>
    </row>
    <row r="28" spans="1:4" s="14" customFormat="1" ht="39.950000000000003" customHeight="1">
      <c r="A28" s="23"/>
      <c r="B28" s="25" t="s">
        <v>4</v>
      </c>
      <c r="C28" s="27"/>
      <c r="D28" s="28">
        <f>ROUND(D19+D23+D21+D25+D24+D27,2)</f>
        <v>0</v>
      </c>
    </row>
    <row r="29" spans="1:4" s="14" customFormat="1" ht="39.950000000000003" customHeight="1">
      <c r="A29" s="29"/>
      <c r="B29" s="23" t="s">
        <v>26</v>
      </c>
      <c r="C29" s="30">
        <v>0.05</v>
      </c>
      <c r="D29" s="27">
        <f>ROUND(D28*C29,2)</f>
        <v>0</v>
      </c>
    </row>
    <row r="30" spans="1:4" s="14" customFormat="1" ht="39.950000000000003" customHeight="1">
      <c r="A30" s="29"/>
      <c r="B30" s="23" t="s">
        <v>4</v>
      </c>
      <c r="C30" s="23"/>
      <c r="D30" s="28">
        <f>ROUND(SUM(D28:D29),2)</f>
        <v>0</v>
      </c>
    </row>
    <row r="31" spans="1:4" s="14" customFormat="1" ht="39.950000000000003" customHeight="1">
      <c r="A31" s="29"/>
      <c r="B31" s="23" t="s">
        <v>27</v>
      </c>
      <c r="C31" s="30">
        <v>0.18</v>
      </c>
      <c r="D31" s="28">
        <f>ROUND(D30*C31,2)</f>
        <v>0</v>
      </c>
    </row>
    <row r="32" spans="1:4" s="14" customFormat="1" ht="39.950000000000003" customHeight="1">
      <c r="A32" s="29"/>
      <c r="B32" s="23" t="s">
        <v>4</v>
      </c>
      <c r="C32" s="23"/>
      <c r="D32" s="31">
        <f>ROUND(SUM(D30:D31),2)</f>
        <v>0</v>
      </c>
    </row>
    <row r="33" spans="1:4" ht="39.950000000000003" customHeight="1">
      <c r="A33" s="3"/>
      <c r="B33" s="4"/>
      <c r="C33" s="16"/>
      <c r="D33" s="16"/>
    </row>
    <row r="34" spans="1:4" ht="39.950000000000003" customHeight="1">
      <c r="A34" s="3"/>
      <c r="B34" s="4"/>
      <c r="C34" s="16"/>
      <c r="D34" s="9"/>
    </row>
    <row r="35" spans="1:4" ht="39.950000000000003" customHeight="1">
      <c r="A35" s="3"/>
      <c r="B35" s="4"/>
      <c r="C35" s="16"/>
      <c r="D35" s="16"/>
    </row>
    <row r="36" spans="1:4" ht="39.950000000000003" customHeight="1">
      <c r="A36" s="3"/>
      <c r="B36" s="4"/>
      <c r="C36" s="16"/>
      <c r="D36" s="16"/>
    </row>
    <row r="37" spans="1:4" ht="39.950000000000003" customHeight="1">
      <c r="A37" s="3"/>
      <c r="B37" s="4"/>
      <c r="C37" s="16"/>
      <c r="D37" s="16"/>
    </row>
    <row r="38" spans="1:4" ht="39.950000000000003" customHeight="1">
      <c r="A38" s="3"/>
      <c r="B38" s="4"/>
      <c r="C38" s="16"/>
      <c r="D38" s="16"/>
    </row>
    <row r="39" spans="1:4" ht="39.950000000000003" customHeight="1">
      <c r="A39" s="3"/>
      <c r="B39" s="4"/>
      <c r="C39" s="16"/>
      <c r="D39" s="16"/>
    </row>
    <row r="40" spans="1:4" ht="39.950000000000003" customHeight="1">
      <c r="A40" s="3"/>
      <c r="B40" s="4"/>
      <c r="C40" s="16"/>
      <c r="D40" s="16"/>
    </row>
    <row r="41" spans="1:4" ht="39.950000000000003" customHeight="1">
      <c r="A41" s="3"/>
      <c r="B41" s="4"/>
      <c r="C41" s="16"/>
      <c r="D41" s="16"/>
    </row>
    <row r="42" spans="1:4" ht="39.950000000000003" customHeight="1">
      <c r="A42" s="3"/>
      <c r="B42" s="4"/>
      <c r="C42" s="16"/>
      <c r="D42" s="16"/>
    </row>
    <row r="43" spans="1:4" ht="39.950000000000003" customHeight="1">
      <c r="A43" s="3"/>
      <c r="B43" s="4"/>
      <c r="C43" s="16"/>
      <c r="D43" s="16"/>
    </row>
    <row r="44" spans="1:4" ht="39.950000000000003" customHeight="1">
      <c r="A44" s="3"/>
      <c r="B44" s="4"/>
      <c r="C44" s="16"/>
      <c r="D44" s="16"/>
    </row>
    <row r="45" spans="1:4" ht="39.950000000000003" customHeight="1">
      <c r="A45" s="3"/>
      <c r="B45" s="4"/>
      <c r="C45" s="16"/>
      <c r="D45" s="16"/>
    </row>
    <row r="46" spans="1:4" ht="39.950000000000003" customHeight="1">
      <c r="A46" s="3"/>
      <c r="B46" s="4"/>
      <c r="C46" s="16"/>
      <c r="D46" s="16"/>
    </row>
    <row r="47" spans="1:4" ht="39.950000000000003" customHeight="1">
      <c r="A47" s="3"/>
      <c r="B47" s="4"/>
      <c r="C47" s="16"/>
      <c r="D47" s="16"/>
    </row>
    <row r="48" spans="1:4" ht="39.950000000000003" customHeight="1">
      <c r="A48" s="3"/>
      <c r="B48" s="4"/>
      <c r="C48" s="16"/>
      <c r="D48" s="16"/>
    </row>
    <row r="49" spans="1:4" ht="39.950000000000003" customHeight="1">
      <c r="A49" s="3"/>
      <c r="B49" s="4"/>
      <c r="C49" s="16"/>
      <c r="D49" s="16"/>
    </row>
    <row r="50" spans="1:4" ht="39.950000000000003" customHeight="1">
      <c r="A50" s="3"/>
      <c r="B50" s="4"/>
      <c r="C50" s="16"/>
      <c r="D50" s="16"/>
    </row>
    <row r="51" spans="1:4" ht="39.950000000000003" customHeight="1">
      <c r="A51" s="3"/>
      <c r="B51" s="4"/>
      <c r="C51" s="16"/>
      <c r="D51" s="16"/>
    </row>
    <row r="52" spans="1:4" ht="39.950000000000003" customHeight="1">
      <c r="A52" s="3"/>
      <c r="B52" s="4"/>
      <c r="C52" s="16"/>
      <c r="D52" s="16"/>
    </row>
    <row r="53" spans="1:4" ht="39.950000000000003" customHeight="1">
      <c r="A53" s="3"/>
      <c r="B53" s="4"/>
      <c r="C53" s="16"/>
      <c r="D53" s="16"/>
    </row>
    <row r="54" spans="1:4" ht="39.950000000000003" customHeight="1">
      <c r="A54" s="3"/>
      <c r="B54" s="4"/>
      <c r="C54" s="16"/>
      <c r="D54" s="16"/>
    </row>
    <row r="55" spans="1:4" ht="39.950000000000003" customHeight="1">
      <c r="A55" s="3"/>
      <c r="B55" s="4"/>
      <c r="C55" s="16"/>
      <c r="D55" s="16"/>
    </row>
    <row r="56" spans="1:4" ht="39.950000000000003" customHeight="1">
      <c r="A56" s="3"/>
      <c r="B56" s="4"/>
      <c r="C56" s="16"/>
      <c r="D56" s="16"/>
    </row>
    <row r="57" spans="1:4" ht="39.950000000000003" customHeight="1">
      <c r="A57" s="3"/>
      <c r="B57" s="4"/>
      <c r="C57" s="16"/>
      <c r="D57" s="16"/>
    </row>
    <row r="58" spans="1:4" ht="39.950000000000003" customHeight="1">
      <c r="A58" s="3"/>
      <c r="B58" s="4"/>
      <c r="C58" s="16"/>
      <c r="D58" s="16"/>
    </row>
    <row r="59" spans="1:4" ht="39.950000000000003" customHeight="1">
      <c r="A59" s="3"/>
      <c r="B59" s="4"/>
      <c r="C59" s="16"/>
      <c r="D59" s="16"/>
    </row>
    <row r="60" spans="1:4" ht="39.950000000000003" customHeight="1">
      <c r="A60" s="3"/>
      <c r="B60" s="4"/>
      <c r="C60" s="16"/>
      <c r="D60" s="16"/>
    </row>
    <row r="61" spans="1:4" ht="39.950000000000003" customHeight="1">
      <c r="A61" s="3"/>
      <c r="B61" s="4"/>
      <c r="C61" s="16"/>
      <c r="D61" s="16"/>
    </row>
    <row r="62" spans="1:4" ht="39.950000000000003" customHeight="1">
      <c r="A62" s="3"/>
      <c r="B62" s="4"/>
      <c r="C62" s="16"/>
      <c r="D62" s="16"/>
    </row>
    <row r="63" spans="1:4" ht="39.950000000000003" customHeight="1">
      <c r="A63" s="3"/>
      <c r="B63" s="4"/>
      <c r="C63" s="16"/>
      <c r="D63" s="16"/>
    </row>
    <row r="64" spans="1:4" ht="39.950000000000003" customHeight="1">
      <c r="A64" s="3"/>
      <c r="B64" s="4"/>
      <c r="C64" s="16"/>
      <c r="D64" s="16"/>
    </row>
    <row r="65" spans="1:4" ht="39.950000000000003" customHeight="1">
      <c r="A65" s="3"/>
      <c r="B65" s="4"/>
      <c r="C65" s="16"/>
      <c r="D65" s="16"/>
    </row>
    <row r="66" spans="1:4" ht="39.950000000000003" customHeight="1">
      <c r="A66" s="3"/>
      <c r="B66" s="4"/>
      <c r="C66" s="16"/>
      <c r="D66" s="16"/>
    </row>
    <row r="67" spans="1:4" ht="39.950000000000003" customHeight="1">
      <c r="A67" s="3"/>
      <c r="B67" s="4"/>
      <c r="C67" s="16"/>
      <c r="D67" s="16"/>
    </row>
    <row r="68" spans="1:4" ht="39.950000000000003" customHeight="1">
      <c r="A68" s="3"/>
      <c r="B68" s="4"/>
      <c r="C68" s="16"/>
      <c r="D68" s="16"/>
    </row>
    <row r="69" spans="1:4">
      <c r="B69" s="1"/>
      <c r="C69" s="2"/>
      <c r="D69" s="2"/>
    </row>
    <row r="70" spans="1:4">
      <c r="B70" s="1"/>
      <c r="C70" s="2"/>
      <c r="D70" s="2"/>
    </row>
    <row r="71" spans="1:4">
      <c r="B71" s="1"/>
      <c r="C71" s="2"/>
      <c r="D71" s="2"/>
    </row>
    <row r="72" spans="1:4">
      <c r="B72" s="1"/>
      <c r="C72" s="2"/>
      <c r="D72" s="2"/>
    </row>
    <row r="73" spans="1:4">
      <c r="B73" s="1"/>
      <c r="C73" s="1"/>
      <c r="D73" s="1"/>
    </row>
    <row r="74" spans="1:4">
      <c r="B74" s="1"/>
      <c r="C74" s="1"/>
      <c r="D74" s="1"/>
    </row>
    <row r="75" spans="1:4">
      <c r="B75" s="1"/>
      <c r="C75" s="1"/>
      <c r="D75" s="1"/>
    </row>
    <row r="76" spans="1:4">
      <c r="B76" s="1"/>
      <c r="C76" s="1"/>
      <c r="D76" s="1"/>
    </row>
    <row r="77" spans="1:4">
      <c r="B77" s="1"/>
      <c r="C77" s="1"/>
      <c r="D77" s="1"/>
    </row>
    <row r="78" spans="1:4">
      <c r="B78" s="1"/>
      <c r="C78" s="1"/>
      <c r="D78" s="1"/>
    </row>
    <row r="79" spans="1:4">
      <c r="B79" s="1"/>
      <c r="C79" s="1"/>
      <c r="D79" s="1"/>
    </row>
    <row r="80" spans="1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</sheetData>
  <mergeCells count="15">
    <mergeCell ref="A20:D20"/>
    <mergeCell ref="A22:D22"/>
    <mergeCell ref="A26:D26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60" zoomScaleNormal="55" workbookViewId="0">
      <selection activeCell="IN76" sqref="IN76"/>
    </sheetView>
  </sheetViews>
  <sheetFormatPr defaultRowHeight="15"/>
  <cols>
    <col min="1" max="1" width="15.7109375" customWidth="1"/>
    <col min="2" max="2" width="181.42578125" customWidth="1"/>
    <col min="3" max="4" width="15.7109375" hidden="1" customWidth="1"/>
    <col min="5" max="5" width="17.7109375" customWidth="1"/>
    <col min="6" max="6" width="15.7109375" customWidth="1"/>
    <col min="7" max="7" width="17.7109375" customWidth="1"/>
    <col min="8" max="8" width="21.28515625" style="10" bestFit="1" customWidth="1"/>
    <col min="9" max="11" width="20.7109375" customWidth="1"/>
  </cols>
  <sheetData>
    <row r="1" spans="1:9">
      <c r="A1" s="173"/>
      <c r="B1" s="173"/>
      <c r="C1" s="5"/>
      <c r="D1" s="5"/>
      <c r="E1" s="5"/>
      <c r="F1" s="5"/>
      <c r="G1" s="5"/>
      <c r="H1" s="8"/>
      <c r="I1" s="5"/>
    </row>
    <row r="2" spans="1:9">
      <c r="A2" s="173"/>
      <c r="B2" s="173"/>
      <c r="C2" s="5"/>
      <c r="D2" s="5"/>
      <c r="E2" s="5"/>
      <c r="F2" s="5"/>
      <c r="G2" s="5"/>
      <c r="H2" s="8"/>
      <c r="I2" s="5"/>
    </row>
    <row r="3" spans="1:9" ht="15" customHeight="1">
      <c r="A3" s="165">
        <f>'1-1'!A1:C1</f>
        <v>0</v>
      </c>
      <c r="B3" s="165"/>
      <c r="C3" s="5"/>
      <c r="D3" s="5"/>
      <c r="E3" s="172" t="s">
        <v>17</v>
      </c>
      <c r="F3" s="172"/>
      <c r="G3" s="172"/>
      <c r="H3" s="165"/>
      <c r="I3" s="165"/>
    </row>
    <row r="4" spans="1:9" ht="15" customHeight="1">
      <c r="A4" s="165"/>
      <c r="B4" s="165"/>
      <c r="C4" s="5"/>
      <c r="D4" s="5"/>
      <c r="E4" s="172"/>
      <c r="F4" s="172"/>
      <c r="G4" s="172"/>
      <c r="H4" s="165"/>
      <c r="I4" s="165"/>
    </row>
    <row r="5" spans="1:9" ht="15" customHeight="1">
      <c r="A5" s="165" t="s">
        <v>28</v>
      </c>
      <c r="B5" s="165"/>
      <c r="C5" s="5"/>
      <c r="D5" s="5"/>
      <c r="E5" s="172" t="s">
        <v>18</v>
      </c>
      <c r="F5" s="172"/>
      <c r="G5" s="172"/>
      <c r="H5" s="165"/>
      <c r="I5" s="165"/>
    </row>
    <row r="6" spans="1:9" ht="15" customHeight="1">
      <c r="A6" s="165"/>
      <c r="B6" s="165"/>
      <c r="C6" s="5"/>
      <c r="D6" s="5"/>
      <c r="E6" s="172"/>
      <c r="F6" s="172"/>
      <c r="G6" s="172"/>
      <c r="H6" s="165"/>
      <c r="I6" s="165"/>
    </row>
    <row r="7" spans="1:9" ht="15" customHeight="1">
      <c r="A7" s="165">
        <f>'1-1'!A3:C3</f>
        <v>0</v>
      </c>
      <c r="B7" s="165"/>
      <c r="C7" s="5"/>
      <c r="D7" s="5"/>
      <c r="E7" s="172" t="s">
        <v>58</v>
      </c>
      <c r="F7" s="172"/>
      <c r="G7" s="172"/>
      <c r="H7" s="165" t="s">
        <v>20</v>
      </c>
      <c r="I7" s="165"/>
    </row>
    <row r="8" spans="1:9" ht="15" customHeight="1">
      <c r="A8" s="165"/>
      <c r="B8" s="165"/>
      <c r="C8" s="5"/>
      <c r="D8" s="5"/>
      <c r="E8" s="172"/>
      <c r="F8" s="172"/>
      <c r="G8" s="172"/>
      <c r="H8" s="165"/>
      <c r="I8" s="165"/>
    </row>
    <row r="9" spans="1:9" ht="15" customHeight="1">
      <c r="A9" s="165" t="s">
        <v>29</v>
      </c>
      <c r="B9" s="165"/>
      <c r="C9" s="5"/>
      <c r="D9" s="5"/>
      <c r="E9" s="172" t="s">
        <v>19</v>
      </c>
      <c r="F9" s="172"/>
      <c r="G9" s="172"/>
      <c r="H9" s="165"/>
      <c r="I9" s="165"/>
    </row>
    <row r="10" spans="1:9" ht="15" customHeight="1">
      <c r="A10" s="165"/>
      <c r="B10" s="165"/>
      <c r="C10" s="5"/>
      <c r="D10" s="5"/>
      <c r="E10" s="172"/>
      <c r="F10" s="172"/>
      <c r="G10" s="172"/>
      <c r="H10" s="165"/>
      <c r="I10" s="165"/>
    </row>
    <row r="11" spans="1:9" ht="15" customHeight="1">
      <c r="A11" s="165"/>
      <c r="B11" s="165"/>
      <c r="C11" s="5"/>
      <c r="D11" s="172"/>
      <c r="E11" s="172"/>
      <c r="F11" s="172"/>
      <c r="G11" s="172"/>
      <c r="H11" s="165"/>
      <c r="I11" s="165"/>
    </row>
    <row r="12" spans="1:9" ht="15" customHeight="1">
      <c r="A12" s="165"/>
      <c r="B12" s="165"/>
      <c r="C12" s="5"/>
      <c r="D12" s="172"/>
      <c r="E12" s="172"/>
      <c r="F12" s="172"/>
      <c r="G12" s="172"/>
      <c r="H12" s="165"/>
      <c r="I12" s="165"/>
    </row>
    <row r="13" spans="1:9" ht="15" customHeight="1">
      <c r="A13" s="177" t="e">
        <f>'1-1'!A6:M7</f>
        <v>#VALUE!</v>
      </c>
      <c r="B13" s="177"/>
      <c r="C13" s="177"/>
      <c r="D13" s="177"/>
      <c r="E13" s="177"/>
      <c r="F13" s="177"/>
      <c r="G13" s="177"/>
      <c r="H13" s="177"/>
      <c r="I13" s="177"/>
    </row>
    <row r="14" spans="1:9" ht="15" customHeight="1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15" customHeight="1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s="12" customFormat="1" ht="39.950000000000003" customHeight="1">
      <c r="A16" s="170" t="s">
        <v>2</v>
      </c>
      <c r="B16" s="178" t="s">
        <v>3</v>
      </c>
      <c r="C16" s="181" t="s">
        <v>7</v>
      </c>
      <c r="D16" s="181" t="s">
        <v>8</v>
      </c>
      <c r="E16" s="181" t="s">
        <v>7</v>
      </c>
      <c r="F16" s="181" t="s">
        <v>8</v>
      </c>
      <c r="G16" s="174" t="s">
        <v>248</v>
      </c>
      <c r="H16" s="170" t="s">
        <v>249</v>
      </c>
      <c r="I16" s="170" t="s">
        <v>5</v>
      </c>
    </row>
    <row r="17" spans="1:10" s="12" customFormat="1" ht="39.950000000000003" customHeight="1">
      <c r="A17" s="170"/>
      <c r="B17" s="179"/>
      <c r="C17" s="182"/>
      <c r="D17" s="182"/>
      <c r="E17" s="182"/>
      <c r="F17" s="182"/>
      <c r="G17" s="175"/>
      <c r="H17" s="170"/>
      <c r="I17" s="170"/>
    </row>
    <row r="18" spans="1:10" s="12" customFormat="1" ht="39.950000000000003" customHeight="1">
      <c r="A18" s="170"/>
      <c r="B18" s="180"/>
      <c r="C18" s="183"/>
      <c r="D18" s="183"/>
      <c r="E18" s="183"/>
      <c r="F18" s="183"/>
      <c r="G18" s="176"/>
      <c r="H18" s="170"/>
      <c r="I18" s="170"/>
    </row>
    <row r="19" spans="1:10" s="12" customFormat="1" ht="39.950000000000003" customHeight="1">
      <c r="A19" s="23">
        <v>1</v>
      </c>
      <c r="B19" s="23">
        <v>2</v>
      </c>
      <c r="C19" s="23">
        <v>3</v>
      </c>
      <c r="D19" s="23">
        <v>4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</row>
    <row r="20" spans="1:10" s="12" customFormat="1" ht="80.099999999999994" customHeight="1">
      <c r="A20" s="23"/>
      <c r="B20" s="25" t="str">
        <f>'1-1'!C12</f>
        <v>მოსამზადებელი სამუშაოები</v>
      </c>
      <c r="C20" s="27"/>
      <c r="D20" s="27"/>
      <c r="E20" s="27"/>
      <c r="F20" s="27"/>
      <c r="G20" s="27"/>
      <c r="H20" s="28"/>
      <c r="I20" s="27"/>
    </row>
    <row r="21" spans="1:10" ht="39.950000000000003" customHeight="1">
      <c r="A21" s="33">
        <f>'1-1'!A13</f>
        <v>0</v>
      </c>
      <c r="B21" s="33">
        <f>'1-1'!C13</f>
        <v>0</v>
      </c>
      <c r="C21" s="33">
        <f>'1-1'!D13</f>
        <v>0</v>
      </c>
      <c r="D21" s="33">
        <f>'1-1'!F13</f>
        <v>0</v>
      </c>
      <c r="E21" s="32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28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32" t="e">
        <f t="shared" ref="G21" si="2">ROUND(H21/F21,2)</f>
        <v>#DIV/0!</v>
      </c>
      <c r="H21" s="33">
        <f>'1-1'!M13</f>
        <v>0</v>
      </c>
      <c r="I21" s="33">
        <f>'1-1'!B13</f>
        <v>0</v>
      </c>
    </row>
    <row r="22" spans="1:10" s="12" customFormat="1" ht="39.950000000000003" customHeight="1">
      <c r="A22" s="29"/>
      <c r="B22" s="23" t="s">
        <v>4</v>
      </c>
      <c r="C22" s="27"/>
      <c r="D22" s="28"/>
      <c r="E22" s="28"/>
      <c r="F22" s="32"/>
      <c r="G22" s="28"/>
      <c r="H22" s="28">
        <f>ROUND(SUM(H21:H21),2)</f>
        <v>0</v>
      </c>
      <c r="I22" s="34"/>
    </row>
    <row r="23" spans="1:10" s="12" customFormat="1" ht="39.950000000000003" customHeight="1">
      <c r="A23" s="29"/>
      <c r="B23" s="23" t="s">
        <v>10</v>
      </c>
      <c r="C23" s="27"/>
      <c r="D23" s="27"/>
      <c r="E23" s="37" t="s">
        <v>12</v>
      </c>
      <c r="F23" s="27">
        <v>10</v>
      </c>
      <c r="G23" s="27"/>
      <c r="H23" s="28">
        <f>ROUND(H22*F23%,2)</f>
        <v>0</v>
      </c>
      <c r="I23" s="34"/>
    </row>
    <row r="24" spans="1:10" s="12" customFormat="1" ht="39.950000000000003" customHeight="1">
      <c r="A24" s="29"/>
      <c r="B24" s="23" t="s">
        <v>4</v>
      </c>
      <c r="C24" s="27"/>
      <c r="D24" s="27"/>
      <c r="E24" s="32"/>
      <c r="F24" s="27"/>
      <c r="G24" s="32"/>
      <c r="H24" s="32">
        <f>ROUND(SUM(H22:H23),2)</f>
        <v>0</v>
      </c>
      <c r="I24" s="34"/>
    </row>
    <row r="25" spans="1:10" s="12" customFormat="1" ht="39.950000000000003" customHeight="1">
      <c r="A25" s="29"/>
      <c r="B25" s="23" t="s">
        <v>11</v>
      </c>
      <c r="C25" s="27"/>
      <c r="D25" s="27"/>
      <c r="E25" s="37" t="s">
        <v>12</v>
      </c>
      <c r="F25" s="27">
        <v>8</v>
      </c>
      <c r="G25" s="27"/>
      <c r="H25" s="28">
        <f>ROUND(H24*F25%,2)</f>
        <v>0</v>
      </c>
      <c r="I25" s="34"/>
    </row>
    <row r="26" spans="1:10" s="12" customFormat="1" ht="39.950000000000003" customHeight="1">
      <c r="A26" s="29"/>
      <c r="B26" s="23" t="s">
        <v>4</v>
      </c>
      <c r="C26" s="27"/>
      <c r="D26" s="27"/>
      <c r="E26" s="27"/>
      <c r="F26" s="27"/>
      <c r="G26" s="27"/>
      <c r="H26" s="28">
        <f>ROUND(SUM(H24:H25),2)</f>
        <v>0</v>
      </c>
      <c r="I26" s="34"/>
    </row>
    <row r="27" spans="1:10" s="12" customFormat="1" ht="80.099999999999994" customHeight="1">
      <c r="A27" s="23"/>
      <c r="B27" s="25" t="str">
        <f>'2-1'!C7</f>
        <v>მიწის ვაკისი</v>
      </c>
      <c r="C27" s="27"/>
      <c r="D27" s="27"/>
      <c r="E27" s="27"/>
      <c r="F27" s="27"/>
      <c r="G27" s="27"/>
      <c r="H27" s="28"/>
      <c r="I27" s="27"/>
    </row>
    <row r="28" spans="1:10" ht="39.950000000000003" customHeight="1">
      <c r="A28" s="33">
        <f>'2-1'!A8</f>
        <v>0</v>
      </c>
      <c r="B28" s="33">
        <f>'2-1'!C8</f>
        <v>0</v>
      </c>
      <c r="C28" s="33">
        <f>'2-1'!D8</f>
        <v>0</v>
      </c>
      <c r="D28" s="33">
        <f>'2-1'!F8</f>
        <v>0</v>
      </c>
      <c r="E28" s="32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32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2" t="e">
        <f t="shared" ref="G28" si="5">ROUND(H28/F28,2)</f>
        <v>#DIV/0!</v>
      </c>
      <c r="H28" s="33">
        <f>'2-1'!M8</f>
        <v>0</v>
      </c>
      <c r="I28" s="33">
        <f>'2-1'!B8</f>
        <v>0</v>
      </c>
    </row>
    <row r="29" spans="1:10" ht="39.950000000000003" customHeight="1">
      <c r="A29" s="33" t="str">
        <f>'2-1'!A13</f>
        <v>1.1.3</v>
      </c>
      <c r="B29" s="33" t="str">
        <f>'2-1'!C13</f>
        <v>სხვა მანქანები</v>
      </c>
      <c r="C29" s="33" t="str">
        <f>'2-1'!D13</f>
        <v>ლარი</v>
      </c>
      <c r="D29" s="33">
        <f>'2-1'!F13</f>
        <v>0.77280000000000004</v>
      </c>
      <c r="E29" s="32" t="str">
        <f t="shared" ref="E29:E31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32">
        <f t="shared" ref="F29:F31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0.77280000000000004</v>
      </c>
      <c r="G29" s="32">
        <f t="shared" ref="G29:G31" si="8">ROUND(H29/F29,2)</f>
        <v>0</v>
      </c>
      <c r="H29" s="33">
        <f>'2-1'!M13</f>
        <v>0</v>
      </c>
      <c r="I29" s="33">
        <f>'2-1'!B13</f>
        <v>0</v>
      </c>
    </row>
    <row r="30" spans="1:10" ht="39.950000000000003" customHeight="1">
      <c r="A30" s="33" t="str">
        <f>'2-1'!A14</f>
        <v>1.1.4</v>
      </c>
      <c r="B30" s="33" t="str">
        <f>'2-1'!C14</f>
        <v>ღორღი ბუნებრივი ქვის ფრაქცია 40-70</v>
      </c>
      <c r="C30" s="33" t="str">
        <f>'2-1'!D14</f>
        <v>მ3</v>
      </c>
      <c r="D30" s="33">
        <f>'2-1'!F14</f>
        <v>1.84E-2</v>
      </c>
      <c r="E30" s="32" t="b">
        <f t="shared" si="6"/>
        <v>0</v>
      </c>
      <c r="F30" s="32" t="b">
        <f t="shared" si="7"/>
        <v>0</v>
      </c>
      <c r="G30" s="32" t="e">
        <f t="shared" si="8"/>
        <v>#DIV/0!</v>
      </c>
      <c r="H30" s="33">
        <f>'2-1'!M14</f>
        <v>0</v>
      </c>
      <c r="I30" s="33" t="str">
        <f>'2-1'!B14</f>
        <v>4-1-238</v>
      </c>
    </row>
    <row r="31" spans="1:10" ht="39.950000000000003" customHeight="1">
      <c r="A31" s="38">
        <f>'2-1'!A19</f>
        <v>0</v>
      </c>
      <c r="B31" s="33">
        <f>'2-1'!C19</f>
        <v>0</v>
      </c>
      <c r="C31" s="33" t="str">
        <f>'2-1'!D19</f>
        <v>1000 მ3</v>
      </c>
      <c r="D31" s="33">
        <f>'2-1'!F19</f>
        <v>0.36799999999999999</v>
      </c>
      <c r="E31" s="32" t="b">
        <f t="shared" si="6"/>
        <v>0</v>
      </c>
      <c r="F31" s="32" t="b">
        <f t="shared" si="7"/>
        <v>0</v>
      </c>
      <c r="G31" s="32" t="e">
        <f t="shared" si="8"/>
        <v>#DIV/0!</v>
      </c>
      <c r="H31" s="33">
        <f>'2-1'!M19</f>
        <v>0</v>
      </c>
      <c r="I31" s="33">
        <f>'2-1'!B19</f>
        <v>0</v>
      </c>
      <c r="J31" s="7"/>
    </row>
    <row r="32" spans="1:10" s="12" customFormat="1" ht="39.950000000000003" customHeight="1">
      <c r="A32" s="29"/>
      <c r="B32" s="23" t="s">
        <v>4</v>
      </c>
      <c r="C32" s="27"/>
      <c r="D32" s="28"/>
      <c r="E32" s="28"/>
      <c r="F32" s="32"/>
      <c r="G32" s="28"/>
      <c r="H32" s="28">
        <f>ROUND(SUM(H28:H31),2)</f>
        <v>0</v>
      </c>
      <c r="I32" s="34"/>
    </row>
    <row r="33" spans="1:9" s="12" customFormat="1" ht="39.950000000000003" customHeight="1">
      <c r="A33" s="29"/>
      <c r="B33" s="23" t="s">
        <v>10</v>
      </c>
      <c r="C33" s="27"/>
      <c r="D33" s="27"/>
      <c r="E33" s="37" t="s">
        <v>12</v>
      </c>
      <c r="F33" s="27">
        <v>10</v>
      </c>
      <c r="G33" s="27"/>
      <c r="H33" s="28">
        <f>ROUND(H32*F33%,2)</f>
        <v>0</v>
      </c>
      <c r="I33" s="34"/>
    </row>
    <row r="34" spans="1:9" s="12" customFormat="1" ht="39.950000000000003" customHeight="1">
      <c r="A34" s="29"/>
      <c r="B34" s="23" t="s">
        <v>4</v>
      </c>
      <c r="C34" s="27"/>
      <c r="D34" s="27"/>
      <c r="E34" s="32"/>
      <c r="F34" s="27"/>
      <c r="G34" s="32"/>
      <c r="H34" s="32">
        <f>ROUND(SUM(H32:H33),2)</f>
        <v>0</v>
      </c>
      <c r="I34" s="34"/>
    </row>
    <row r="35" spans="1:9" s="12" customFormat="1" ht="39.950000000000003" customHeight="1">
      <c r="A35" s="29"/>
      <c r="B35" s="23" t="s">
        <v>11</v>
      </c>
      <c r="C35" s="27"/>
      <c r="D35" s="27"/>
      <c r="E35" s="37" t="s">
        <v>12</v>
      </c>
      <c r="F35" s="27">
        <v>8</v>
      </c>
      <c r="G35" s="27"/>
      <c r="H35" s="28">
        <f>ROUND(H34*F35%,2)</f>
        <v>0</v>
      </c>
      <c r="I35" s="34"/>
    </row>
    <row r="36" spans="1:9" s="12" customFormat="1" ht="39.950000000000003" customHeight="1">
      <c r="A36" s="29"/>
      <c r="B36" s="23" t="s">
        <v>4</v>
      </c>
      <c r="C36" s="27"/>
      <c r="D36" s="27"/>
      <c r="E36" s="27"/>
      <c r="F36" s="27"/>
      <c r="G36" s="27"/>
      <c r="H36" s="28">
        <f>ROUND(SUM(H34:H35),2)</f>
        <v>0</v>
      </c>
      <c r="I36" s="34"/>
    </row>
    <row r="37" spans="1:9" s="12" customFormat="1" ht="80.099999999999994" customHeight="1">
      <c r="A37" s="23"/>
      <c r="B37" s="25" t="str">
        <f>'3-1'!C7</f>
        <v>რ/ბ კედლის მოწყობის სამუშაოები</v>
      </c>
      <c r="C37" s="27"/>
      <c r="D37" s="27"/>
      <c r="E37" s="27"/>
      <c r="F37" s="27"/>
      <c r="G37" s="27"/>
      <c r="H37" s="28"/>
      <c r="I37" s="27"/>
    </row>
    <row r="38" spans="1:9" ht="39.950000000000003" customHeight="1">
      <c r="A38" s="33">
        <f>'3-1'!A9</f>
        <v>1.1000000000000001</v>
      </c>
      <c r="B38" s="33" t="str">
        <f>'3-1'!C9</f>
        <v xml:space="preserve">მე-4 კატეგორიის გრუნტის დამუშავება და დატვირთვა ექსკავატორით ავტოთვითმცლელზე </v>
      </c>
      <c r="C38" s="33" t="str">
        <f>'3-1'!D9</f>
        <v>მ3</v>
      </c>
      <c r="D38" s="33">
        <f>'3-1'!F9</f>
        <v>1488</v>
      </c>
      <c r="E38" s="32" t="b">
        <f t="shared" ref="E38" si="9">IF(C38="კმ","კმ",IF(C38="1 ჰა","1 ჰა",IF(C38="100 ც","ც",IF(C38="1 ც","ც",IF(C38="ც","ც",IF(C38="ტ","ტ",IF(C38="1 ტ","ტ",IF(C38="მ³","მ³",IF(C38="1 მ³","მ³",IF(C38="10 მ³","მ³",IF(C38="100 მ³","მ³",IF(C38="1000 მ³","მ³",IF(C38="1000 მ","მ",IF(C38="100 მ","მ",IF(C38="10 მ","მ",IF(C38="10 მ ","მ",IF(C38="მ","მ",IF(C38="1000 მ²","მ²",IF(C38="1000 მ² ","მ²",IF(C38="100 მ²","მ²",IF(C38="100 მ² ","მ²",IF(C38="10 მ²","მ²",IF(C38="მ² ","მ²",IF(C38="ლარი","ლარი",IF(C38="ხიდი","ლარი",IF(C38="100 მ","მ",IF(C38="გ.მ.","მ")))))))))))))))))))))))))))</f>
        <v>0</v>
      </c>
      <c r="F38" s="32" t="b">
        <f t="shared" ref="F38" si="10">IF(C38="კმ",D38,IF(C38="1 ჰა",D38,IF(C38="100 ც",D38*100,IF(C38="1 ც",D38,IF(C38="ც",D38,IF(C38="ტ",D38,IF(C38="1 ტ",D38,IF(C38="მ³",D38,IF(C38="1 მ³",D38,IF(C38="10 მ³",D38*10,IF(C38="100 მ³",D38*100,IF(C38="1000 მ³",D38*1000,IF(C38="1000 მ",D38*1000,IF(C38="100 მ",D38*100,IF(C38="10 მ",D38*10,IF(C38="10 მ ",D38*10,IF(C38="მ",D38,IF(C38="1000 მ²",D38*1000,IF(C38="1000 მ² ",D38*1000,IF(C38="100 მ²",D38*100,IF(C38="100 მ² ",D38*100,IF(C38="10 მ²",D38*10,IF(C38="მ² ",D38,IF(C38="ლარი",D38,IF(C38="ხიდი",D38,IF(C38="100 მ",D38*100,IF(C38="გ.მ.",D38)))))))))))))))))))))))))))</f>
        <v>0</v>
      </c>
      <c r="G38" s="32" t="e">
        <f t="shared" ref="G38" si="11">ROUND(H38/F38,2)</f>
        <v>#DIV/0!</v>
      </c>
      <c r="H38" s="33">
        <f>'3-1'!M9</f>
        <v>0</v>
      </c>
      <c r="I38" s="33" t="str">
        <f>'3-1'!B9</f>
        <v>1-22-16</v>
      </c>
    </row>
    <row r="39" spans="1:9" ht="39.950000000000003" customHeight="1">
      <c r="A39" s="33" t="str">
        <f>'3-1'!A14</f>
        <v>1.1.4</v>
      </c>
      <c r="B39" s="33" t="str">
        <f>'3-1'!C14</f>
        <v>ღორღი ბუნებრივი ქვის ფრაქცია 40-70</v>
      </c>
      <c r="C39" s="33" t="str">
        <f>'3-1'!D14</f>
        <v>მ3</v>
      </c>
      <c r="D39" s="33">
        <f>'3-1'!F14</f>
        <v>8.9279999999999998E-2</v>
      </c>
      <c r="E39" s="32" t="b">
        <f t="shared" ref="E39:E54" si="12">IF(C39="კმ","კმ",IF(C39="1 ჰა","1 ჰა",IF(C39="100 ც","ც",IF(C39="1 ც","ც",IF(C39="ც","ც",IF(C39="ტ","ტ",IF(C39="1 ტ","ტ",IF(C39="მ³","მ³",IF(C39="1 მ³","მ³",IF(C39="10 მ³","მ³",IF(C39="100 მ³","მ³",IF(C39="1000 მ³","მ³",IF(C39="1000 მ","მ",IF(C39="100 მ","მ",IF(C39="10 მ","მ",IF(C39="10 მ ","მ",IF(C39="მ","მ",IF(C39="1000 მ²","მ²",IF(C39="1000 მ² ","მ²",IF(C39="100 მ²","მ²",IF(C39="100 მ² ","მ²",IF(C39="10 მ²","მ²",IF(C39="მ² ","მ²",IF(C39="ლარი","ლარი",IF(C39="ხიდი","ლარი",IF(C39="100 მ","მ",IF(C39="გ.მ.","მ")))))))))))))))))))))))))))</f>
        <v>0</v>
      </c>
      <c r="F39" s="32" t="b">
        <f t="shared" ref="F39:F54" si="13">IF(C39="კმ",D39,IF(C39="1 ჰა",D39,IF(C39="100 ც",D39*100,IF(C39="1 ც",D39,IF(C39="ც",D39,IF(C39="ტ",D39,IF(C39="1 ტ",D39,IF(C39="მ³",D39,IF(C39="1 მ³",D39,IF(C39="10 მ³",D39*10,IF(C39="100 მ³",D39*100,IF(C39="1000 მ³",D39*1000,IF(C39="1000 მ",D39*1000,IF(C39="100 მ",D39*100,IF(C39="10 მ",D39*10,IF(C39="10 მ ",D39*10,IF(C39="მ",D39,IF(C39="1000 მ²",D39*1000,IF(C39="1000 მ² ",D39*1000,IF(C39="100 მ²",D39*100,IF(C39="100 მ² ",D39*100,IF(C39="10 მ²",D39*10,IF(C39="მ² ",D39,IF(C39="ლარი",D39,IF(C39="ხიდი",D39,IF(C39="100 მ",D39*100,IF(C39="გ.მ.",D39)))))))))))))))))))))))))))</f>
        <v>0</v>
      </c>
      <c r="G39" s="32" t="e">
        <f t="shared" ref="G39:G54" si="14">ROUND(H39/F39,2)</f>
        <v>#DIV/0!</v>
      </c>
      <c r="H39" s="33">
        <f>'3-1'!M14</f>
        <v>0</v>
      </c>
      <c r="I39" s="33" t="str">
        <f>'3-1'!B14</f>
        <v>4-1-238</v>
      </c>
    </row>
    <row r="40" spans="1:9" ht="39.950000000000003" customHeight="1">
      <c r="A40" s="33">
        <f>'3-1'!A16</f>
        <v>1.2</v>
      </c>
      <c r="B40" s="33" t="str">
        <f>'3-1'!C16</f>
        <v xml:space="preserve">მე-4 კატ გრუნტის ფენის დამუშავება ხელით სიღრმით 2 მ-მდე </v>
      </c>
      <c r="C40" s="33" t="str">
        <f>'3-1'!D16</f>
        <v>მ3</v>
      </c>
      <c r="D40" s="33">
        <f>'3-1'!F16</f>
        <v>15</v>
      </c>
      <c r="E40" s="32" t="b">
        <f t="shared" si="12"/>
        <v>0</v>
      </c>
      <c r="F40" s="32" t="b">
        <f t="shared" si="13"/>
        <v>0</v>
      </c>
      <c r="G40" s="32" t="e">
        <f t="shared" si="14"/>
        <v>#DIV/0!</v>
      </c>
      <c r="H40" s="33">
        <f>'3-1'!M16</f>
        <v>0</v>
      </c>
      <c r="I40" s="33" t="str">
        <f>'3-1'!B16</f>
        <v>1-80-4</v>
      </c>
    </row>
    <row r="41" spans="1:9" ht="39.950000000000003" customHeight="1">
      <c r="A41" s="33" t="str">
        <f>'3-1'!A18</f>
        <v>1.2.1</v>
      </c>
      <c r="B41" s="33" t="str">
        <f>'3-1'!C18</f>
        <v>შრომითი დანახარჯები</v>
      </c>
      <c r="C41" s="33" t="str">
        <f>'3-1'!D18</f>
        <v>კაც/სთ</v>
      </c>
      <c r="D41" s="33">
        <f>'3-1'!F18</f>
        <v>57.408000000000001</v>
      </c>
      <c r="E41" s="32" t="b">
        <f t="shared" si="12"/>
        <v>0</v>
      </c>
      <c r="F41" s="32" t="b">
        <f t="shared" si="13"/>
        <v>0</v>
      </c>
      <c r="G41" s="32" t="e">
        <f t="shared" si="14"/>
        <v>#DIV/0!</v>
      </c>
      <c r="H41" s="33">
        <f>'3-1'!M18</f>
        <v>0</v>
      </c>
      <c r="I41" s="33">
        <f>'3-1'!B18</f>
        <v>0</v>
      </c>
    </row>
    <row r="42" spans="1:9" ht="39.950000000000003" customHeight="1">
      <c r="A42" s="33">
        <f>'3-1'!A19</f>
        <v>0</v>
      </c>
      <c r="B42" s="33">
        <f>'3-1'!C19</f>
        <v>0</v>
      </c>
      <c r="C42" s="33">
        <f>'3-1'!D19</f>
        <v>0</v>
      </c>
      <c r="D42" s="33">
        <f>'3-1'!F19</f>
        <v>0</v>
      </c>
      <c r="E42" s="32" t="b">
        <f t="shared" si="12"/>
        <v>0</v>
      </c>
      <c r="F42" s="32" t="b">
        <f t="shared" si="13"/>
        <v>0</v>
      </c>
      <c r="G42" s="32" t="e">
        <f t="shared" si="14"/>
        <v>#DIV/0!</v>
      </c>
      <c r="H42" s="33">
        <f>'3-1'!M19</f>
        <v>0</v>
      </c>
      <c r="I42" s="33">
        <f>'3-1'!B19</f>
        <v>0</v>
      </c>
    </row>
    <row r="43" spans="1:9" ht="39.950000000000003" customHeight="1">
      <c r="A43" s="33">
        <f>'3-1'!A24</f>
        <v>0</v>
      </c>
      <c r="B43" s="33">
        <f>'3-1'!C24</f>
        <v>0</v>
      </c>
      <c r="C43" s="33">
        <f>'3-1'!D24</f>
        <v>0</v>
      </c>
      <c r="D43" s="33">
        <f>'3-1'!F24</f>
        <v>0</v>
      </c>
      <c r="E43" s="32" t="b">
        <f t="shared" si="12"/>
        <v>0</v>
      </c>
      <c r="F43" s="32" t="b">
        <f t="shared" si="13"/>
        <v>0</v>
      </c>
      <c r="G43" s="32" t="e">
        <f t="shared" si="14"/>
        <v>#DIV/0!</v>
      </c>
      <c r="H43" s="33">
        <f>'3-1'!M24</f>
        <v>0</v>
      </c>
      <c r="I43" s="33">
        <f>'3-1'!B24</f>
        <v>0</v>
      </c>
    </row>
    <row r="44" spans="1:9" ht="39.950000000000003" customHeight="1">
      <c r="A44" s="33">
        <f>'3-1'!A26</f>
        <v>0</v>
      </c>
      <c r="B44" s="33">
        <f>'3-1'!C26</f>
        <v>0</v>
      </c>
      <c r="C44" s="33" t="str">
        <f>'3-1'!D26</f>
        <v>1000 მ3</v>
      </c>
      <c r="D44" s="33">
        <f>'3-1'!F26</f>
        <v>1.5029999999999999</v>
      </c>
      <c r="E44" s="32" t="b">
        <f t="shared" si="12"/>
        <v>0</v>
      </c>
      <c r="F44" s="32" t="b">
        <f t="shared" si="13"/>
        <v>0</v>
      </c>
      <c r="G44" s="32" t="e">
        <f t="shared" si="14"/>
        <v>#DIV/0!</v>
      </c>
      <c r="H44" s="33">
        <f>'3-1'!M26</f>
        <v>0</v>
      </c>
      <c r="I44" s="33">
        <f>'3-1'!B26</f>
        <v>0</v>
      </c>
    </row>
    <row r="45" spans="1:9" ht="39.950000000000003" customHeight="1">
      <c r="A45" s="33" t="str">
        <f>'3-1'!A29</f>
        <v>1.5.3</v>
      </c>
      <c r="B45" s="33" t="str">
        <f>'3-1'!C29</f>
        <v>სხვა მანქანები</v>
      </c>
      <c r="C45" s="33" t="str">
        <f>'3-1'!D29</f>
        <v>ლარი</v>
      </c>
      <c r="D45" s="33">
        <f>'3-1'!F29</f>
        <v>0.27053999999999995</v>
      </c>
      <c r="E45" s="32" t="str">
        <f t="shared" si="12"/>
        <v>ლარი</v>
      </c>
      <c r="F45" s="32">
        <f t="shared" si="13"/>
        <v>0.27053999999999995</v>
      </c>
      <c r="G45" s="32">
        <f t="shared" si="14"/>
        <v>0</v>
      </c>
      <c r="H45" s="33">
        <f>'3-1'!M29</f>
        <v>0</v>
      </c>
      <c r="I45" s="33">
        <f>'3-1'!B29</f>
        <v>0</v>
      </c>
    </row>
    <row r="46" spans="1:9" ht="39.950000000000003" customHeight="1">
      <c r="A46" s="33" t="str">
        <f>'3-1'!A34</f>
        <v>1.6.1</v>
      </c>
      <c r="B46" s="33" t="str">
        <f>'3-1'!C34</f>
        <v>შრომითი დანახარჯები</v>
      </c>
      <c r="C46" s="33" t="str">
        <f>'3-1'!D34</f>
        <v>კაც/სთ</v>
      </c>
      <c r="D46" s="33">
        <f>'3-1'!F34</f>
        <v>19.219200000000001</v>
      </c>
      <c r="E46" s="32" t="b">
        <f t="shared" ref="E46" si="15">IF(C46="კმ","კმ",IF(C46="1 ჰა","1 ჰა",IF(C46="100 ც","ც",IF(C46="1 ც","ც",IF(C46="ც","ც",IF(C46="ტ","ტ",IF(C46="1 ტ","ტ",IF(C46="მ³","მ³",IF(C46="1 მ³","მ³",IF(C46="10 მ³","მ³",IF(C46="100 მ³","მ³",IF(C46="1000 მ³","მ³",IF(C46="1000 მ","მ",IF(C46="100 მ","მ",IF(C46="10 მ","მ",IF(C46="10 მ ","მ",IF(C46="მ","მ",IF(C46="1000 მ²","მ²",IF(C46="1000 მ² ","მ²",IF(C46="100 მ²","მ²",IF(C46="100 მ² ","მ²",IF(C46="10 მ²","მ²",IF(C46="მ² ","მ²",IF(C46="ლარი","ლარი",IF(C46="ხიდი","ლარი",IF(C46="100 მ","მ",IF(C46="გ.მ.","მ")))))))))))))))))))))))))))</f>
        <v>0</v>
      </c>
      <c r="F46" s="32" t="b">
        <f t="shared" ref="F46" si="16">IF(C46="კმ",D46,IF(C46="1 ჰა",D46,IF(C46="100 ც",D46*100,IF(C46="1 ც",D46,IF(C46="ც",D46,IF(C46="ტ",D46,IF(C46="1 ტ",D46,IF(C46="მ³",D46,IF(C46="1 მ³",D46,IF(C46="10 მ³",D46*10,IF(C46="100 მ³",D46*100,IF(C46="1000 მ³",D46*1000,IF(C46="1000 მ",D46*1000,IF(C46="100 მ",D46*100,IF(C46="10 მ",D46*10,IF(C46="10 მ ",D46*10,IF(C46="მ",D46,IF(C46="1000 მ²",D46*1000,IF(C46="1000 მ² ",D46*1000,IF(C46="100 მ²",D46*100,IF(C46="100 მ² ",D46*100,IF(C46="10 მ²",D46*10,IF(C46="მ² ",D46,IF(C46="ლარი",D46,IF(C46="ხიდი",D46,IF(C46="100 მ",D46*100,IF(C46="გ.მ.",D46)))))))))))))))))))))))))))</f>
        <v>0</v>
      </c>
      <c r="G46" s="32" t="e">
        <f t="shared" ref="G46" si="17">ROUND(H46/F46,2)</f>
        <v>#DIV/0!</v>
      </c>
      <c r="H46" s="33">
        <f>'3-1'!M34</f>
        <v>0</v>
      </c>
      <c r="I46" s="33">
        <f>'3-1'!B34</f>
        <v>0</v>
      </c>
    </row>
    <row r="47" spans="1:9" ht="39.950000000000003" customHeight="1">
      <c r="A47" s="39">
        <f>'3-1'!A42</f>
        <v>0</v>
      </c>
      <c r="B47" s="33">
        <f>'3-1'!C42</f>
        <v>0</v>
      </c>
      <c r="C47" s="33">
        <f>'3-1'!D42</f>
        <v>0</v>
      </c>
      <c r="D47" s="33">
        <f>'3-1'!F42</f>
        <v>0</v>
      </c>
      <c r="E47" s="32" t="b">
        <f t="shared" si="12"/>
        <v>0</v>
      </c>
      <c r="F47" s="32" t="b">
        <f t="shared" si="13"/>
        <v>0</v>
      </c>
      <c r="G47" s="32" t="e">
        <f t="shared" si="14"/>
        <v>#DIV/0!</v>
      </c>
      <c r="H47" s="33">
        <f>'3-1'!M42</f>
        <v>0</v>
      </c>
      <c r="I47" s="33">
        <f>'3-1'!B42</f>
        <v>0</v>
      </c>
    </row>
    <row r="48" spans="1:9" ht="39.950000000000003" customHeight="1">
      <c r="A48" s="39" t="str">
        <f>'3-1'!A52</f>
        <v>1.9.1</v>
      </c>
      <c r="B48" s="33" t="str">
        <f>'3-1'!C52</f>
        <v>შრომითი დანახარჯები</v>
      </c>
      <c r="C48" s="33" t="str">
        <f>'3-1'!D52</f>
        <v>კაც/სთ</v>
      </c>
      <c r="D48" s="33">
        <f>'3-1'!F52</f>
        <v>133.7424</v>
      </c>
      <c r="E48" s="32" t="b">
        <f t="shared" si="12"/>
        <v>0</v>
      </c>
      <c r="F48" s="32" t="b">
        <f t="shared" si="13"/>
        <v>0</v>
      </c>
      <c r="G48" s="32" t="e">
        <f t="shared" si="14"/>
        <v>#DIV/0!</v>
      </c>
      <c r="H48" s="33">
        <f>'3-1'!M52</f>
        <v>0</v>
      </c>
      <c r="I48" s="33">
        <f>'3-1'!B52</f>
        <v>0</v>
      </c>
    </row>
    <row r="49" spans="1:9" ht="39.950000000000003" customHeight="1">
      <c r="A49" s="33" t="str">
        <f>'3-1'!A59</f>
        <v>1.9.7</v>
      </c>
      <c r="B49" s="33" t="str">
        <f>'3-1'!C59</f>
        <v>სხვა მასალები</v>
      </c>
      <c r="C49" s="33" t="str">
        <f>'3-1'!D59</f>
        <v>ლარი</v>
      </c>
      <c r="D49" s="33">
        <f>'3-1'!F59</f>
        <v>5.0063999999999993</v>
      </c>
      <c r="E49" s="32" t="str">
        <f t="shared" si="12"/>
        <v>ლარი</v>
      </c>
      <c r="F49" s="32">
        <f t="shared" si="13"/>
        <v>5.0063999999999993</v>
      </c>
      <c r="G49" s="32">
        <f t="shared" si="14"/>
        <v>0</v>
      </c>
      <c r="H49" s="33">
        <f>'3-1'!M59</f>
        <v>0</v>
      </c>
      <c r="I49" s="33">
        <f>'3-1'!B59</f>
        <v>0</v>
      </c>
    </row>
    <row r="50" spans="1:9" ht="39.950000000000003" customHeight="1">
      <c r="A50" s="33" t="str">
        <f>'3-1'!A64</f>
        <v>1.10.2</v>
      </c>
      <c r="B50" s="33" t="str">
        <f>'3-1'!C64</f>
        <v>ამწე მუხლუხა სვლაზე 10 ტ</v>
      </c>
      <c r="C50" s="33" t="str">
        <f>'3-1'!D64</f>
        <v>მანქ/სთ</v>
      </c>
      <c r="D50" s="33">
        <f>'3-1'!F64</f>
        <v>0</v>
      </c>
      <c r="E50" s="32" t="b">
        <f t="shared" si="12"/>
        <v>0</v>
      </c>
      <c r="F50" s="32" t="b">
        <f t="shared" si="13"/>
        <v>0</v>
      </c>
      <c r="G50" s="32" t="e">
        <f t="shared" si="14"/>
        <v>#DIV/0!</v>
      </c>
      <c r="H50" s="33">
        <f>'3-1'!M64</f>
        <v>0</v>
      </c>
      <c r="I50" s="33">
        <f>'3-1'!B64</f>
        <v>0</v>
      </c>
    </row>
    <row r="51" spans="1:9" ht="39.950000000000003" customHeight="1">
      <c r="A51" s="33" t="str">
        <f>'3-1'!A70</f>
        <v>1.10.7</v>
      </c>
      <c r="B51" s="33" t="str">
        <f>'3-1'!C70</f>
        <v>ხის მორი</v>
      </c>
      <c r="C51" s="33" t="str">
        <f>'3-1'!D70</f>
        <v>მ3</v>
      </c>
      <c r="D51" s="33">
        <f>'3-1'!F70</f>
        <v>0</v>
      </c>
      <c r="E51" s="32" t="b">
        <f t="shared" si="12"/>
        <v>0</v>
      </c>
      <c r="F51" s="32" t="b">
        <f t="shared" si="13"/>
        <v>0</v>
      </c>
      <c r="G51" s="32" t="e">
        <f t="shared" si="14"/>
        <v>#DIV/0!</v>
      </c>
      <c r="H51" s="33">
        <f>'3-1'!M70</f>
        <v>0</v>
      </c>
      <c r="I51" s="33">
        <f>'3-1'!B70</f>
        <v>0</v>
      </c>
    </row>
    <row r="52" spans="1:9" ht="39.950000000000003" customHeight="1">
      <c r="A52" s="33" t="str">
        <f>'3-1'!A73</f>
        <v>1.10.10</v>
      </c>
      <c r="B52" s="33" t="str">
        <f>'3-1'!C73</f>
        <v>ელექტროდი შედუღების</v>
      </c>
      <c r="C52" s="33" t="str">
        <f>'3-1'!D73</f>
        <v>კგ</v>
      </c>
      <c r="D52" s="33">
        <f>'3-1'!F73</f>
        <v>92.399999999999991</v>
      </c>
      <c r="E52" s="32" t="b">
        <f t="shared" si="12"/>
        <v>0</v>
      </c>
      <c r="F52" s="32" t="b">
        <f t="shared" si="13"/>
        <v>0</v>
      </c>
      <c r="G52" s="32" t="e">
        <f t="shared" si="14"/>
        <v>#DIV/0!</v>
      </c>
      <c r="H52" s="33">
        <f>'3-1'!M73</f>
        <v>0</v>
      </c>
      <c r="I52" s="33" t="str">
        <f>'3-1'!B73</f>
        <v>1-10-014</v>
      </c>
    </row>
    <row r="53" spans="1:9" ht="39.950000000000003" customHeight="1">
      <c r="A53" s="33">
        <f>'3-1'!A78</f>
        <v>0</v>
      </c>
      <c r="B53" s="33">
        <f>'3-1'!C78</f>
        <v>0</v>
      </c>
      <c r="C53" s="33" t="str">
        <f>'3-1'!D78</f>
        <v>100 მ2</v>
      </c>
      <c r="D53" s="33">
        <f>'3-1'!F78</f>
        <v>3.36</v>
      </c>
      <c r="E53" s="32" t="b">
        <f t="shared" si="12"/>
        <v>0</v>
      </c>
      <c r="F53" s="32" t="b">
        <f t="shared" si="13"/>
        <v>0</v>
      </c>
      <c r="G53" s="32" t="e">
        <f t="shared" si="14"/>
        <v>#DIV/0!</v>
      </c>
      <c r="H53" s="33">
        <f>'3-1'!M78</f>
        <v>0</v>
      </c>
      <c r="I53" s="33">
        <f>'3-1'!B78</f>
        <v>0</v>
      </c>
    </row>
    <row r="54" spans="1:9" ht="39.950000000000003" customHeight="1">
      <c r="A54" s="33" t="str">
        <f>'3-1'!A83</f>
        <v>1.11.5</v>
      </c>
      <c r="B54" s="33" t="str">
        <f>'3-1'!C83</f>
        <v xml:space="preserve">სხვა მასალები </v>
      </c>
      <c r="C54" s="33" t="str">
        <f>'3-1'!D83</f>
        <v>ლარი</v>
      </c>
      <c r="D54" s="33">
        <f>'3-1'!F83</f>
        <v>7.6607999999999992</v>
      </c>
      <c r="E54" s="32" t="str">
        <f t="shared" si="12"/>
        <v>ლარი</v>
      </c>
      <c r="F54" s="32">
        <f t="shared" si="13"/>
        <v>7.6607999999999992</v>
      </c>
      <c r="G54" s="32">
        <f t="shared" si="14"/>
        <v>0</v>
      </c>
      <c r="H54" s="33">
        <f>'3-1'!M83</f>
        <v>0</v>
      </c>
      <c r="I54" s="33">
        <f>'3-1'!B83</f>
        <v>0</v>
      </c>
    </row>
    <row r="55" spans="1:9" ht="39.950000000000003" customHeight="1">
      <c r="A55" s="33" t="str">
        <f>'3-1'!A87</f>
        <v>1.12.1</v>
      </c>
      <c r="B55" s="33" t="str">
        <f>'3-1'!C87</f>
        <v>შრომითი დანახარჯები</v>
      </c>
      <c r="C55" s="33" t="str">
        <f>'3-1'!D87</f>
        <v>კაც/სთ</v>
      </c>
      <c r="D55" s="33">
        <f>'3-1'!F87</f>
        <v>548.21759999999995</v>
      </c>
      <c r="E55" s="32" t="b">
        <f t="shared" ref="E55:E56" si="18">IF(C55="კმ","კმ",IF(C55="1 ჰა","1 ჰა",IF(C55="100 ც","ც",IF(C55="1 ც","ც",IF(C55="ც","ც",IF(C55="ტ","ტ",IF(C55="1 ტ","ტ",IF(C55="მ³","მ³",IF(C55="1 მ³","მ³",IF(C55="10 მ³","მ³",IF(C55="100 მ³","მ³",IF(C55="1000 მ³","მ³",IF(C55="1000 მ","მ",IF(C55="100 მ","მ",IF(C55="10 მ","მ",IF(C55="10 მ ","მ",IF(C55="მ","მ",IF(C55="1000 მ²","მ²",IF(C55="1000 მ² ","მ²",IF(C55="100 მ²","მ²",IF(C55="100 მ² ","მ²",IF(C55="10 მ²","მ²",IF(C55="მ² ","მ²",IF(C55="ლარი","ლარი",IF(C55="ხიდი","ლარი",IF(C55="100 მ","მ",IF(C55="გ.მ.","მ")))))))))))))))))))))))))))</f>
        <v>0</v>
      </c>
      <c r="F55" s="32" t="b">
        <f t="shared" ref="F55:F56" si="19">IF(C55="კმ",D55,IF(C55="1 ჰა",D55,IF(C55="100 ც",D55*100,IF(C55="1 ც",D55,IF(C55="ც",D55,IF(C55="ტ",D55,IF(C55="1 ტ",D55,IF(C55="მ³",D55,IF(C55="1 მ³",D55,IF(C55="10 მ³",D55*10,IF(C55="100 მ³",D55*100,IF(C55="1000 მ³",D55*1000,IF(C55="1000 მ",D55*1000,IF(C55="100 მ",D55*100,IF(C55="10 მ",D55*10,IF(C55="10 მ ",D55*10,IF(C55="მ",D55,IF(C55="1000 მ²",D55*1000,IF(C55="1000 მ² ",D55*1000,IF(C55="100 მ²",D55*100,IF(C55="100 მ² ",D55*100,IF(C55="10 მ²",D55*10,IF(C55="მ² ",D55,IF(C55="ლარი",D55,IF(C55="ხიდი",D55,IF(C55="100 მ",D55*100,IF(C55="გ.მ.",D55)))))))))))))))))))))))))))</f>
        <v>0</v>
      </c>
      <c r="G55" s="32" t="e">
        <f t="shared" ref="G55:G56" si="20">ROUND(H55/F55,2)</f>
        <v>#DIV/0!</v>
      </c>
      <c r="H55" s="33">
        <f>'3-1'!M87</f>
        <v>0</v>
      </c>
      <c r="I55" s="33">
        <f>'3-1'!B87</f>
        <v>0</v>
      </c>
    </row>
    <row r="56" spans="1:9" ht="39.950000000000003" customHeight="1">
      <c r="A56" s="33" t="str">
        <f>'3-1'!A90</f>
        <v>1.12.4</v>
      </c>
      <c r="B56" s="33" t="str">
        <f>'3-1'!C90</f>
        <v xml:space="preserve">სხვა მასალები </v>
      </c>
      <c r="C56" s="33" t="str">
        <f>'3-1'!D90</f>
        <v>ლარი</v>
      </c>
      <c r="D56" s="33">
        <f>'3-1'!F90</f>
        <v>0</v>
      </c>
      <c r="E56" s="32" t="str">
        <f t="shared" si="18"/>
        <v>ლარი</v>
      </c>
      <c r="F56" s="32">
        <f t="shared" si="19"/>
        <v>0</v>
      </c>
      <c r="G56" s="32" t="e">
        <f t="shared" si="20"/>
        <v>#DIV/0!</v>
      </c>
      <c r="H56" s="33">
        <f>'3-1'!M90</f>
        <v>0</v>
      </c>
      <c r="I56" s="33">
        <f>'3-1'!B90</f>
        <v>0</v>
      </c>
    </row>
    <row r="57" spans="1:9" s="12" customFormat="1" ht="39.950000000000003" customHeight="1">
      <c r="A57" s="29"/>
      <c r="B57" s="23" t="s">
        <v>4</v>
      </c>
      <c r="C57" s="27"/>
      <c r="D57" s="28"/>
      <c r="E57" s="28"/>
      <c r="F57" s="32"/>
      <c r="G57" s="28"/>
      <c r="H57" s="28">
        <f>ROUND(SUM(H38:H56),2)</f>
        <v>0</v>
      </c>
      <c r="I57" s="34"/>
    </row>
    <row r="58" spans="1:9" s="12" customFormat="1" ht="39.950000000000003" customHeight="1">
      <c r="A58" s="29"/>
      <c r="B58" s="23" t="s">
        <v>10</v>
      </c>
      <c r="C58" s="27"/>
      <c r="D58" s="27"/>
      <c r="E58" s="37" t="s">
        <v>12</v>
      </c>
      <c r="F58" s="27">
        <v>10</v>
      </c>
      <c r="G58" s="27"/>
      <c r="H58" s="28">
        <f>ROUND(H57*F58%,2)</f>
        <v>0</v>
      </c>
      <c r="I58" s="34"/>
    </row>
    <row r="59" spans="1:9" s="12" customFormat="1" ht="39.950000000000003" customHeight="1">
      <c r="A59" s="29"/>
      <c r="B59" s="23" t="s">
        <v>4</v>
      </c>
      <c r="C59" s="27"/>
      <c r="D59" s="27"/>
      <c r="E59" s="32"/>
      <c r="F59" s="27"/>
      <c r="G59" s="32"/>
      <c r="H59" s="32">
        <f>ROUND(SUM(H57:H58),2)</f>
        <v>0</v>
      </c>
      <c r="I59" s="34"/>
    </row>
    <row r="60" spans="1:9" s="12" customFormat="1" ht="39.950000000000003" customHeight="1">
      <c r="A60" s="29"/>
      <c r="B60" s="23" t="s">
        <v>11</v>
      </c>
      <c r="C60" s="27"/>
      <c r="D60" s="27"/>
      <c r="E60" s="37" t="s">
        <v>12</v>
      </c>
      <c r="F60" s="27">
        <v>8</v>
      </c>
      <c r="G60" s="27"/>
      <c r="H60" s="28">
        <f>ROUND(H59*F60%,2)</f>
        <v>0</v>
      </c>
      <c r="I60" s="34"/>
    </row>
    <row r="61" spans="1:9" s="12" customFormat="1" ht="39.950000000000003" customHeight="1">
      <c r="A61" s="29"/>
      <c r="B61" s="23" t="s">
        <v>4</v>
      </c>
      <c r="C61" s="27"/>
      <c r="D61" s="27"/>
      <c r="E61" s="27"/>
      <c r="F61" s="27"/>
      <c r="G61" s="27"/>
      <c r="H61" s="28">
        <f>ROUND(SUM(H59:H60),2)</f>
        <v>0</v>
      </c>
      <c r="I61" s="34"/>
    </row>
    <row r="62" spans="1:9" s="12" customFormat="1" ht="80.099999999999994" customHeight="1">
      <c r="A62" s="23"/>
      <c r="B62" s="25" t="str">
        <f>'3-2'!C8</f>
        <v>ღობის მოწყობის სამუშაოები</v>
      </c>
      <c r="C62" s="27"/>
      <c r="D62" s="27"/>
      <c r="E62" s="27"/>
      <c r="F62" s="27"/>
      <c r="G62" s="27"/>
      <c r="H62" s="28"/>
      <c r="I62" s="27"/>
    </row>
    <row r="63" spans="1:9" ht="39.950000000000003" customHeight="1">
      <c r="A63" s="33">
        <f>'3-2'!A10</f>
        <v>1.1000000000000001</v>
      </c>
      <c r="B63" s="33" t="str">
        <f>'3-2'!C10</f>
        <v>არსებული ღობის დემონტაჟი</v>
      </c>
      <c r="C63" s="33" t="str">
        <f>'3-2'!D10</f>
        <v>მ</v>
      </c>
      <c r="D63" s="33">
        <f>'3-2'!F10</f>
        <v>60</v>
      </c>
      <c r="E63" s="32" t="str">
        <f t="shared" ref="E63" si="21">IF(C63="კმ","კმ",IF(C63="1 ჰა","1 ჰა",IF(C63="100 ც","ც",IF(C63="1 ც","ც",IF(C63="ც","ც",IF(C63="ტ","ტ",IF(C63="1 ტ","ტ",IF(C63="მ³","მ³",IF(C63="1 მ³","მ³",IF(C63="10 მ³","მ³",IF(C63="100 მ³","მ³",IF(C63="1000 მ³","მ³",IF(C63="1000 მ","მ",IF(C63="100 მ","მ",IF(C63="10 მ","მ",IF(C63="10 მ ","მ",IF(C63="მ","მ",IF(C63="1000 მ²","მ²",IF(C63="1000 მ² ","მ²",IF(C63="100 მ²","მ²",IF(C63="100 მ² ","მ²",IF(C63="10 მ²","მ²",IF(C63="მ² ","მ²",IF(C63="ლარი","ლარი",IF(C63="ხიდი","ლარი",IF(C63="100 მ","მ",IF(C63="გ.მ.","მ")))))))))))))))))))))))))))</f>
        <v>მ</v>
      </c>
      <c r="F63" s="32">
        <f t="shared" ref="F63" si="22">IF(C63="კმ",D63,IF(C63="1 ჰა",D63,IF(C63="100 ც",D63*100,IF(C63="1 ც",D63,IF(C63="ც",D63,IF(C63="ტ",D63,IF(C63="1 ტ",D63,IF(C63="მ³",D63,IF(C63="1 მ³",D63,IF(C63="10 მ³",D63*10,IF(C63="100 მ³",D63*100,IF(C63="1000 მ³",D63*1000,IF(C63="1000 მ",D63*1000,IF(C63="100 მ",D63*100,IF(C63="10 მ",D63*10,IF(C63="10 მ ",D63*10,IF(C63="მ",D63,IF(C63="1000 მ²",D63*1000,IF(C63="1000 მ² ",D63*1000,IF(C63="100 მ²",D63*100,IF(C63="100 მ² ",D63*100,IF(C63="10 მ²",D63*10,IF(C63="მ² ",D63,IF(C63="ლარი",D63,IF(C63="ხიდი",D63,IF(C63="100 მ",D63*100,IF(C63="გ.მ.",D63)))))))))))))))))))))))))))</f>
        <v>60</v>
      </c>
      <c r="G63" s="32">
        <f t="shared" ref="G63" si="23">ROUND(H63/F63,2)</f>
        <v>0</v>
      </c>
      <c r="H63" s="33">
        <f>'3-2'!M10</f>
        <v>0</v>
      </c>
      <c r="I63" s="33" t="str">
        <f>'3-2'!B10</f>
        <v>27-50-9.</v>
      </c>
    </row>
    <row r="64" spans="1:9" ht="39.950000000000003" customHeight="1">
      <c r="A64" s="33" t="str">
        <f>'3-2'!A16</f>
        <v>1.1.5</v>
      </c>
      <c r="B64" s="33" t="str">
        <f>'3-2'!C16</f>
        <v>სხვა მასალები</v>
      </c>
      <c r="C64" s="33" t="str">
        <f>'3-2'!D16</f>
        <v>ლარი</v>
      </c>
      <c r="D64" s="33">
        <f>'3-2'!F16</f>
        <v>11.770499999999998</v>
      </c>
      <c r="E64" s="32" t="str">
        <f t="shared" ref="E64:E77" si="24">IF(C64="კმ","კმ",IF(C64="1 ჰა","1 ჰა",IF(C64="100 ც","ც",IF(C64="1 ც","ც",IF(C64="ც","ც",IF(C64="ტ","ტ",IF(C64="1 ტ","ტ",IF(C64="მ³","მ³",IF(C64="1 მ³","მ³",IF(C64="10 მ³","მ³",IF(C64="100 მ³","მ³",IF(C64="1000 მ³","მ³",IF(C64="1000 მ","მ",IF(C64="100 მ","მ",IF(C64="10 მ","მ",IF(C64="10 მ ","მ",IF(C64="მ","მ",IF(C64="1000 მ²","მ²",IF(C64="1000 მ² ","მ²",IF(C64="100 მ²","მ²",IF(C64="100 მ² ","მ²",IF(C64="10 მ²","მ²",IF(C64="მ² ","მ²",IF(C64="ლარი","ლარი",IF(C64="ხიდი","ლარი",IF(C64="100 მ","მ",IF(C64="გ.მ.","მ")))))))))))))))))))))))))))</f>
        <v>ლარი</v>
      </c>
      <c r="F64" s="32">
        <f t="shared" ref="F64:F77" si="25">IF(C64="კმ",D64,IF(C64="1 ჰა",D64,IF(C64="100 ც",D64*100,IF(C64="1 ც",D64,IF(C64="ც",D64,IF(C64="ტ",D64,IF(C64="1 ტ",D64,IF(C64="მ³",D64,IF(C64="1 მ³",D64,IF(C64="10 მ³",D64*10,IF(C64="100 მ³",D64*100,IF(C64="1000 მ³",D64*1000,IF(C64="1000 მ",D64*1000,IF(C64="100 მ",D64*100,IF(C64="10 მ",D64*10,IF(C64="10 მ ",D64*10,IF(C64="მ",D64,IF(C64="1000 მ²",D64*1000,IF(C64="1000 მ² ",D64*1000,IF(C64="100 მ²",D64*100,IF(C64="100 მ² ",D64*100,IF(C64="10 მ²",D64*10,IF(C64="მ² ",D64,IF(C64="ლარი",D64,IF(C64="ხიდი",D64,IF(C64="100 მ",D64*100,IF(C64="გ.მ.",D64)))))))))))))))))))))))))))</f>
        <v>11.770499999999998</v>
      </c>
      <c r="G64" s="32">
        <f t="shared" ref="G64:G77" si="26">ROUND(H64/F64,2)</f>
        <v>0</v>
      </c>
      <c r="H64" s="33">
        <f>'3-2'!M16</f>
        <v>0</v>
      </c>
      <c r="I64" s="33" t="str">
        <f>'3-2'!B16</f>
        <v>კ=0.5</v>
      </c>
    </row>
    <row r="65" spans="1:10" ht="39.950000000000003" customHeight="1">
      <c r="A65" s="33" t="str">
        <f>'3-2'!A21</f>
        <v>1.2.2</v>
      </c>
      <c r="B65" s="33" t="str">
        <f>'3-2'!C21</f>
        <v>ექსკავატორი პნევმოთვლიან სვლაზე 0.5 მ3</v>
      </c>
      <c r="C65" s="33" t="str">
        <f>'3-2'!D21</f>
        <v>მანქ/სთ</v>
      </c>
      <c r="D65" s="33">
        <f>'3-2'!F21</f>
        <v>3.7631999999999999</v>
      </c>
      <c r="E65" s="32" t="b">
        <f t="shared" si="24"/>
        <v>0</v>
      </c>
      <c r="F65" s="32" t="b">
        <f t="shared" si="25"/>
        <v>0</v>
      </c>
      <c r="G65" s="32" t="e">
        <f t="shared" si="26"/>
        <v>#DIV/0!</v>
      </c>
      <c r="H65" s="33">
        <f>'3-2'!M21</f>
        <v>0</v>
      </c>
      <c r="I65" s="33" t="str">
        <f>'3-2'!B21</f>
        <v>14-1-126</v>
      </c>
    </row>
    <row r="66" spans="1:10" ht="39.950000000000003" customHeight="1">
      <c r="A66" s="33" t="str">
        <f>'3-2'!A23</f>
        <v>1.2.4</v>
      </c>
      <c r="B66" s="33" t="str">
        <f>'3-2'!C23</f>
        <v>ღორღი ბუნებრივი ქვის ფრაქცია 40-70</v>
      </c>
      <c r="C66" s="33" t="str">
        <f>'3-2'!D23</f>
        <v>მ3</v>
      </c>
      <c r="D66" s="33">
        <f>'3-2'!F23</f>
        <v>4.2000000000000006E-3</v>
      </c>
      <c r="E66" s="32" t="b">
        <f t="shared" si="24"/>
        <v>0</v>
      </c>
      <c r="F66" s="32" t="b">
        <f t="shared" si="25"/>
        <v>0</v>
      </c>
      <c r="G66" s="32" t="e">
        <f t="shared" si="26"/>
        <v>#DIV/0!</v>
      </c>
      <c r="H66" s="33">
        <f>'3-2'!M23</f>
        <v>0</v>
      </c>
      <c r="I66" s="33" t="str">
        <f>'3-2'!B23</f>
        <v>4-1-238</v>
      </c>
    </row>
    <row r="67" spans="1:10" ht="39.950000000000003" customHeight="1">
      <c r="A67" s="33">
        <f>'3-2'!A25</f>
        <v>1.3</v>
      </c>
      <c r="B67" s="33" t="str">
        <f>'3-2'!C25</f>
        <v xml:space="preserve">მე-3 კატეგორიის გრუნტის ფენის დამუშავება ხელით </v>
      </c>
      <c r="C67" s="33" t="str">
        <f>'3-2'!D25</f>
        <v>მ3</v>
      </c>
      <c r="D67" s="33">
        <f>'3-2'!F25</f>
        <v>3</v>
      </c>
      <c r="E67" s="32" t="b">
        <f t="shared" si="24"/>
        <v>0</v>
      </c>
      <c r="F67" s="32" t="b">
        <f t="shared" si="25"/>
        <v>0</v>
      </c>
      <c r="G67" s="32" t="e">
        <f t="shared" si="26"/>
        <v>#DIV/0!</v>
      </c>
      <c r="H67" s="33">
        <f>'3-2'!M25</f>
        <v>0</v>
      </c>
      <c r="I67" s="33" t="str">
        <f>'3-2'!B25</f>
        <v>1-80-3</v>
      </c>
    </row>
    <row r="68" spans="1:10" ht="39.950000000000003" customHeight="1">
      <c r="A68" s="33">
        <f>'3-2'!A26</f>
        <v>0</v>
      </c>
      <c r="B68" s="33">
        <f>'3-2'!C26</f>
        <v>0</v>
      </c>
      <c r="C68" s="33" t="str">
        <f>'3-2'!D26</f>
        <v>100 მ3</v>
      </c>
      <c r="D68" s="33">
        <f>'3-2'!F26</f>
        <v>0.03</v>
      </c>
      <c r="E68" s="32" t="b">
        <f t="shared" si="24"/>
        <v>0</v>
      </c>
      <c r="F68" s="32" t="b">
        <f t="shared" si="25"/>
        <v>0</v>
      </c>
      <c r="G68" s="32" t="e">
        <f t="shared" si="26"/>
        <v>#DIV/0!</v>
      </c>
      <c r="H68" s="33">
        <f>'3-2'!M26</f>
        <v>0</v>
      </c>
      <c r="I68" s="33" t="str">
        <f>'3-2'!B26</f>
        <v>პ. 3.105</v>
      </c>
    </row>
    <row r="69" spans="1:10" ht="39.950000000000003" customHeight="1">
      <c r="A69" s="33">
        <f>'3-2'!A31</f>
        <v>0</v>
      </c>
      <c r="B69" s="33">
        <f>'3-2'!C31</f>
        <v>0</v>
      </c>
      <c r="C69" s="33">
        <f>'3-2'!D31</f>
        <v>0</v>
      </c>
      <c r="D69" s="33">
        <f>'3-2'!F31</f>
        <v>0</v>
      </c>
      <c r="E69" s="32" t="b">
        <f t="shared" si="24"/>
        <v>0</v>
      </c>
      <c r="F69" s="32" t="b">
        <f t="shared" si="25"/>
        <v>0</v>
      </c>
      <c r="G69" s="32" t="e">
        <f t="shared" si="26"/>
        <v>#DIV/0!</v>
      </c>
      <c r="H69" s="33">
        <f>'3-2'!M31</f>
        <v>0</v>
      </c>
      <c r="I69" s="33">
        <f>'3-2'!B31</f>
        <v>0</v>
      </c>
    </row>
    <row r="70" spans="1:10" ht="39.950000000000003" customHeight="1">
      <c r="A70" s="33">
        <f>'3-2'!A34</f>
        <v>1.6</v>
      </c>
      <c r="B70" s="33" t="str">
        <f>'3-2'!C34</f>
        <v>მე-3 კატეგორიის გრუნტის დამუშავება ნაყარში</v>
      </c>
      <c r="C70" s="33" t="str">
        <f>'3-2'!D34</f>
        <v>მ3</v>
      </c>
      <c r="D70" s="33">
        <f>'3-2'!F34</f>
        <v>87</v>
      </c>
      <c r="E70" s="32" t="b">
        <f t="shared" si="24"/>
        <v>0</v>
      </c>
      <c r="F70" s="32" t="b">
        <f t="shared" si="25"/>
        <v>0</v>
      </c>
      <c r="G70" s="32" t="e">
        <f t="shared" si="26"/>
        <v>#DIV/0!</v>
      </c>
      <c r="H70" s="33">
        <f>'3-2'!M34</f>
        <v>0</v>
      </c>
      <c r="I70" s="33" t="str">
        <f>'3-2'!B34</f>
        <v>1-25-2</v>
      </c>
      <c r="J70" s="7"/>
    </row>
    <row r="71" spans="1:10" ht="39.950000000000003" customHeight="1">
      <c r="A71" s="33" t="str">
        <f>'3-2'!A39</f>
        <v>1.6.4</v>
      </c>
      <c r="B71" s="33" t="str">
        <f>'3-2'!C39</f>
        <v>ღორღი ბუნებრივი ქვის ფრაქცია 40-70</v>
      </c>
      <c r="C71" s="33" t="str">
        <f>'3-2'!D39</f>
        <v>მ3</v>
      </c>
      <c r="D71" s="33">
        <f>'3-2'!F39</f>
        <v>3.48E-3</v>
      </c>
      <c r="E71" s="32" t="b">
        <f t="shared" si="24"/>
        <v>0</v>
      </c>
      <c r="F71" s="32" t="b">
        <f t="shared" si="25"/>
        <v>0</v>
      </c>
      <c r="G71" s="32" t="e">
        <f t="shared" si="26"/>
        <v>#DIV/0!</v>
      </c>
      <c r="H71" s="33">
        <f>'3-2'!M39</f>
        <v>0</v>
      </c>
      <c r="I71" s="33" t="str">
        <f>'3-2'!B39</f>
        <v>4-1-238</v>
      </c>
    </row>
    <row r="72" spans="1:10" ht="39.950000000000003" customHeight="1">
      <c r="A72" s="33" t="str">
        <f>'3-2'!A52</f>
        <v>1.8.3</v>
      </c>
      <c r="B72" s="33" t="str">
        <f>'3-2'!C52</f>
        <v>ბეტონი B 7.5</v>
      </c>
      <c r="C72" s="33" t="str">
        <f>'3-2'!D52</f>
        <v>მ3</v>
      </c>
      <c r="D72" s="33">
        <f>'3-2'!F52</f>
        <v>6.12</v>
      </c>
      <c r="E72" s="32" t="b">
        <f t="shared" si="24"/>
        <v>0</v>
      </c>
      <c r="F72" s="32" t="b">
        <f t="shared" si="25"/>
        <v>0</v>
      </c>
      <c r="G72" s="32" t="e">
        <f t="shared" si="26"/>
        <v>#DIV/0!</v>
      </c>
      <c r="H72" s="33">
        <f>'3-2'!M52</f>
        <v>0</v>
      </c>
      <c r="I72" s="33" t="str">
        <f>'3-2'!B52</f>
        <v>4-1-339</v>
      </c>
    </row>
    <row r="73" spans="1:10" ht="39.950000000000003" customHeight="1">
      <c r="A73" s="33" t="str">
        <f>'3-2'!A57</f>
        <v>1.9.1</v>
      </c>
      <c r="B73" s="33" t="str">
        <f>'3-2'!C57</f>
        <v xml:space="preserve">შრომითი დანახარჯები </v>
      </c>
      <c r="C73" s="33" t="str">
        <f>'3-2'!D57</f>
        <v>კაც/სთ</v>
      </c>
      <c r="D73" s="33">
        <f>'3-2'!F57</f>
        <v>269.55</v>
      </c>
      <c r="E73" s="32" t="b">
        <f t="shared" si="24"/>
        <v>0</v>
      </c>
      <c r="F73" s="32" t="b">
        <f t="shared" si="25"/>
        <v>0</v>
      </c>
      <c r="G73" s="32" t="e">
        <f t="shared" si="26"/>
        <v>#DIV/0!</v>
      </c>
      <c r="H73" s="33">
        <f>'3-2'!M57</f>
        <v>0</v>
      </c>
      <c r="I73" s="33">
        <f>'3-2'!B57</f>
        <v>0</v>
      </c>
    </row>
    <row r="74" spans="1:10" ht="39.950000000000003" customHeight="1">
      <c r="A74" s="33">
        <f>'3-2'!A49</f>
        <v>0</v>
      </c>
      <c r="B74" s="33">
        <f>'3-2'!C49</f>
        <v>0</v>
      </c>
      <c r="C74" s="33" t="str">
        <f>'3-2'!D49</f>
        <v>100 მ3</v>
      </c>
      <c r="D74" s="33">
        <f>'3-2'!F49</f>
        <v>0.06</v>
      </c>
      <c r="E74" s="32" t="b">
        <f t="shared" si="24"/>
        <v>0</v>
      </c>
      <c r="F74" s="32" t="b">
        <f t="shared" si="25"/>
        <v>0</v>
      </c>
      <c r="G74" s="32" t="e">
        <f t="shared" si="26"/>
        <v>#DIV/0!</v>
      </c>
      <c r="H74" s="33">
        <f>'3-2'!M49</f>
        <v>0</v>
      </c>
      <c r="I74" s="33">
        <f>'3-2'!B49</f>
        <v>0</v>
      </c>
    </row>
    <row r="75" spans="1:10" ht="39.950000000000003" customHeight="1">
      <c r="A75" s="33" t="str">
        <f>'3-2'!A60</f>
        <v>1.9.4</v>
      </c>
      <c r="B75" s="33" t="str">
        <f>'3-2'!C60</f>
        <v>ბეტონი B30 F200 W6</v>
      </c>
      <c r="C75" s="33" t="str">
        <f>'3-2'!D60</f>
        <v>მ3</v>
      </c>
      <c r="D75" s="33">
        <f>'3-2'!F60</f>
        <v>45.675000000000004</v>
      </c>
      <c r="E75" s="32" t="b">
        <f t="shared" si="24"/>
        <v>0</v>
      </c>
      <c r="F75" s="32" t="b">
        <f t="shared" si="25"/>
        <v>0</v>
      </c>
      <c r="G75" s="32" t="e">
        <f t="shared" si="26"/>
        <v>#DIV/0!</v>
      </c>
      <c r="H75" s="33">
        <f>'3-2'!M60</f>
        <v>0</v>
      </c>
      <c r="I75" s="33" t="str">
        <f>'3-2'!B60</f>
        <v>4-1-357</v>
      </c>
    </row>
    <row r="76" spans="1:10" ht="39.950000000000003" customHeight="1">
      <c r="A76" s="33" t="str">
        <f>'3-2'!A66</f>
        <v>1.9.10</v>
      </c>
      <c r="B76" s="33" t="str">
        <f>'3-2'!C66</f>
        <v>ფიცარი ჩამოგანილი სისქით 25-32  40-60 მმ, III ხარისხის</v>
      </c>
      <c r="C76" s="33" t="str">
        <f>'3-2'!D66</f>
        <v>მ3</v>
      </c>
      <c r="D76" s="33">
        <f>'3-2'!F66</f>
        <v>1.3454999999999999</v>
      </c>
      <c r="E76" s="32" t="b">
        <f t="shared" si="24"/>
        <v>0</v>
      </c>
      <c r="F76" s="32" t="b">
        <f t="shared" si="25"/>
        <v>0</v>
      </c>
      <c r="G76" s="32" t="e">
        <f t="shared" si="26"/>
        <v>#DIV/0!</v>
      </c>
      <c r="H76" s="33">
        <f>'3-2'!M66</f>
        <v>0</v>
      </c>
      <c r="I76" s="33" t="str">
        <f>'3-2'!B66</f>
        <v>5-1-022</v>
      </c>
    </row>
    <row r="77" spans="1:10" ht="39.950000000000003" customHeight="1">
      <c r="A77" s="33">
        <f>'3-2'!A79</f>
        <v>0</v>
      </c>
      <c r="B77" s="33">
        <f>'3-2'!C79</f>
        <v>0</v>
      </c>
      <c r="C77" s="33" t="str">
        <f>'3-2'!D79</f>
        <v>100 მ</v>
      </c>
      <c r="D77" s="33">
        <f>'3-2'!F79</f>
        <v>9.2999999999999985E-2</v>
      </c>
      <c r="E77" s="32" t="str">
        <f t="shared" si="24"/>
        <v>მ</v>
      </c>
      <c r="F77" s="32">
        <f t="shared" si="25"/>
        <v>9.2999999999999989</v>
      </c>
      <c r="G77" s="32">
        <f t="shared" si="26"/>
        <v>0</v>
      </c>
      <c r="H77" s="33">
        <f>'3-2'!M79</f>
        <v>0</v>
      </c>
      <c r="I77" s="33">
        <f>'3-2'!B79</f>
        <v>0</v>
      </c>
    </row>
    <row r="78" spans="1:10" s="12" customFormat="1" ht="39.950000000000003" customHeight="1">
      <c r="A78" s="29"/>
      <c r="B78" s="23" t="s">
        <v>4</v>
      </c>
      <c r="C78" s="27"/>
      <c r="D78" s="28"/>
      <c r="E78" s="28"/>
      <c r="F78" s="32"/>
      <c r="G78" s="28"/>
      <c r="H78" s="28">
        <f>ROUND(SUM(H63:H77),2)</f>
        <v>0</v>
      </c>
      <c r="I78" s="34"/>
    </row>
    <row r="79" spans="1:10" s="12" customFormat="1" ht="39.950000000000003" customHeight="1">
      <c r="A79" s="29"/>
      <c r="B79" s="23" t="s">
        <v>10</v>
      </c>
      <c r="C79" s="27"/>
      <c r="D79" s="27"/>
      <c r="E79" s="37" t="s">
        <v>12</v>
      </c>
      <c r="F79" s="27">
        <v>10</v>
      </c>
      <c r="G79" s="27"/>
      <c r="H79" s="28">
        <f>ROUND(H78*F79%,2)</f>
        <v>0</v>
      </c>
      <c r="I79" s="34"/>
    </row>
    <row r="80" spans="1:10" s="12" customFormat="1" ht="39.950000000000003" customHeight="1">
      <c r="A80" s="29"/>
      <c r="B80" s="23" t="s">
        <v>4</v>
      </c>
      <c r="C80" s="27"/>
      <c r="D80" s="27"/>
      <c r="E80" s="32"/>
      <c r="F80" s="27"/>
      <c r="G80" s="32"/>
      <c r="H80" s="28">
        <f>ROUND(SUM(H78:H79),2)</f>
        <v>0</v>
      </c>
      <c r="I80" s="34"/>
    </row>
    <row r="81" spans="1:9" s="12" customFormat="1" ht="39.950000000000003" customHeight="1">
      <c r="A81" s="29"/>
      <c r="B81" s="23" t="s">
        <v>11</v>
      </c>
      <c r="C81" s="27"/>
      <c r="D81" s="27"/>
      <c r="E81" s="37" t="s">
        <v>12</v>
      </c>
      <c r="F81" s="27">
        <v>8</v>
      </c>
      <c r="G81" s="27"/>
      <c r="H81" s="28">
        <f>ROUND(H80*F81%,2)</f>
        <v>0</v>
      </c>
      <c r="I81" s="34"/>
    </row>
    <row r="82" spans="1:9" s="12" customFormat="1" ht="39.75" customHeight="1">
      <c r="A82" s="29"/>
      <c r="B82" s="23" t="s">
        <v>4</v>
      </c>
      <c r="C82" s="27"/>
      <c r="D82" s="27"/>
      <c r="E82" s="27"/>
      <c r="F82" s="27"/>
      <c r="G82" s="27"/>
      <c r="H82" s="28">
        <f>ROUND(SUM(H80:H81),2)</f>
        <v>0</v>
      </c>
      <c r="I82" s="34"/>
    </row>
    <row r="83" spans="1:9" s="12" customFormat="1" ht="80.099999999999994" customHeight="1">
      <c r="A83" s="23"/>
      <c r="B83" s="25" t="str">
        <f>'3-3'!C8</f>
        <v>სახლის გასამაგრებელი კედელის მოწყობა</v>
      </c>
      <c r="C83" s="27"/>
      <c r="D83" s="27"/>
      <c r="E83" s="27"/>
      <c r="F83" s="27"/>
      <c r="G83" s="27"/>
      <c r="H83" s="28"/>
      <c r="I83" s="27"/>
    </row>
    <row r="84" spans="1:9" ht="39.950000000000003" customHeight="1">
      <c r="A84" s="33">
        <f>'3-3'!A10</f>
        <v>1.1000000000000001</v>
      </c>
      <c r="B84" s="33" t="str">
        <f>'3-3'!C10</f>
        <v xml:space="preserve">მე-4 კატეგორიის გრუნტის დამუშავება და დატვირთვა ექსკავატორით ავტოთვითმცლელზე </v>
      </c>
      <c r="C84" s="33" t="str">
        <f>'3-3'!D10</f>
        <v>მ3</v>
      </c>
      <c r="D84" s="33">
        <f>'3-3'!F10</f>
        <v>465</v>
      </c>
      <c r="E84" s="32" t="b">
        <f t="shared" ref="E84" si="27">IF(C84="კმ","კმ",IF(C84="1 ჰა","1 ჰა",IF(C84="100 ც","ც",IF(C84="1 ც","ც",IF(C84="ც","ც",IF(C84="ტ","ტ",IF(C84="1 ტ","ტ",IF(C84="მ³","მ³",IF(C84="1 მ³","მ³",IF(C84="10 მ³","მ³",IF(C84="100 მ³","მ³",IF(C84="1000 მ³","მ³",IF(C84="1000 მ","მ",IF(C84="100 მ","მ",IF(C84="10 მ","მ",IF(C84="10 მ ","მ",IF(C84="მ","მ",IF(C84="1000 მ²","მ²",IF(C84="1000 მ² ","მ²",IF(C84="100 მ²","მ²",IF(C84="100 მ² ","მ²",IF(C84="10 მ²","მ²",IF(C84="მ² ","მ²",IF(C84="ლარი","ლარი",IF(C84="ხიდი","ლარი",IF(C84="100 მ","მ",IF(C84="გ.მ.","მ")))))))))))))))))))))))))))</f>
        <v>0</v>
      </c>
      <c r="F84" s="32" t="b">
        <f t="shared" ref="F84" si="28">IF(C84="კმ",D84,IF(C84="1 ჰა",D84,IF(C84="100 ც",D84*100,IF(C84="1 ც",D84,IF(C84="ც",D84,IF(C84="ტ",D84,IF(C84="1 ტ",D84,IF(C84="მ³",D84,IF(C84="1 მ³",D84,IF(C84="10 მ³",D84*10,IF(C84="100 მ³",D84*100,IF(C84="1000 მ³",D84*1000,IF(C84="1000 მ",D84*1000,IF(C84="100 მ",D84*100,IF(C84="10 მ",D84*10,IF(C84="10 მ ",D84*10,IF(C84="მ",D84,IF(C84="1000 მ²",D84*1000,IF(C84="1000 მ² ",D84*1000,IF(C84="100 მ²",D84*100,IF(C84="100 მ² ",D84*100,IF(C84="10 მ²",D84*10,IF(C84="მ² ",D84,IF(C84="ლარი",D84,IF(C84="ხიდი",D84,IF(C84="100 მ",D84*100,IF(C84="გ.მ.",D84)))))))))))))))))))))))))))</f>
        <v>0</v>
      </c>
      <c r="G84" s="32" t="e">
        <f t="shared" ref="G84" si="29">ROUND(H84/F84,2)</f>
        <v>#DIV/0!</v>
      </c>
      <c r="H84" s="33">
        <f>'3-3'!M10</f>
        <v>0</v>
      </c>
      <c r="I84" s="33" t="str">
        <f>'3-3'!B10</f>
        <v>1-22-16</v>
      </c>
    </row>
    <row r="85" spans="1:9" ht="39.950000000000003" customHeight="1">
      <c r="A85" s="33" t="str">
        <f>'3-3'!A15</f>
        <v>1.1.4</v>
      </c>
      <c r="B85" s="33" t="str">
        <f>'3-3'!C15</f>
        <v>ღორღი ბუნებრივი ქვის ფრაქცია 40-70</v>
      </c>
      <c r="C85" s="33" t="str">
        <f>'3-3'!D15</f>
        <v>მ3</v>
      </c>
      <c r="D85" s="33">
        <f>'3-3'!F15</f>
        <v>2.7900000000000001E-2</v>
      </c>
      <c r="E85" s="32" t="b">
        <f t="shared" ref="E85:E102" si="30">IF(C85="კმ","კმ",IF(C85="1 ჰა","1 ჰა",IF(C85="100 ც","ც",IF(C85="1 ც","ც",IF(C85="ც","ც",IF(C85="ტ","ტ",IF(C85="1 ტ","ტ",IF(C85="მ³","მ³",IF(C85="1 მ³","მ³",IF(C85="10 მ³","მ³",IF(C85="100 მ³","მ³",IF(C85="1000 მ³","მ³",IF(C85="1000 მ","მ",IF(C85="100 მ","მ",IF(C85="10 მ","მ",IF(C85="10 მ ","მ",IF(C85="მ","მ",IF(C85="1000 მ²","მ²",IF(C85="1000 მ² ","მ²",IF(C85="100 მ²","მ²",IF(C85="100 მ² ","მ²",IF(C85="10 მ²","მ²",IF(C85="მ² ","მ²",IF(C85="ლარი","ლარი",IF(C85="ხიდი","ლარი",IF(C85="100 მ","მ",IF(C85="გ.მ.","მ")))))))))))))))))))))))))))</f>
        <v>0</v>
      </c>
      <c r="F85" s="32" t="b">
        <f t="shared" ref="F85:F102" si="31">IF(C85="კმ",D85,IF(C85="1 ჰა",D85,IF(C85="100 ც",D85*100,IF(C85="1 ც",D85,IF(C85="ც",D85,IF(C85="ტ",D85,IF(C85="1 ტ",D85,IF(C85="მ³",D85,IF(C85="1 მ³",D85,IF(C85="10 მ³",D85*10,IF(C85="100 მ³",D85*100,IF(C85="1000 მ³",D85*1000,IF(C85="1000 მ",D85*1000,IF(C85="100 მ",D85*100,IF(C85="10 მ",D85*10,IF(C85="10 მ ",D85*10,IF(C85="მ",D85,IF(C85="1000 მ²",D85*1000,IF(C85="1000 მ² ",D85*1000,IF(C85="100 მ²",D85*100,IF(C85="100 მ² ",D85*100,IF(C85="10 მ²",D85*10,IF(C85="მ² ",D85,IF(C85="ლარი",D85,IF(C85="ხიდი",D85,IF(C85="100 მ",D85*100,IF(C85="გ.მ.",D85)))))))))))))))))))))))))))</f>
        <v>0</v>
      </c>
      <c r="G85" s="32" t="e">
        <f t="shared" ref="G85:G102" si="32">ROUND(H85/F85,2)</f>
        <v>#DIV/0!</v>
      </c>
      <c r="H85" s="33">
        <f>'3-3'!M15</f>
        <v>0</v>
      </c>
      <c r="I85" s="33" t="str">
        <f>'3-3'!B15</f>
        <v>4-1-238</v>
      </c>
    </row>
    <row r="86" spans="1:9" ht="39.950000000000003" customHeight="1">
      <c r="A86" s="33">
        <f>'3-3'!A17</f>
        <v>1.2</v>
      </c>
      <c r="B86" s="33" t="str">
        <f>'3-3'!C17</f>
        <v xml:space="preserve">მე-4 კატეგორიის გრუნტის ფენის დამუშავება ხელით სიღრმით 2 მ-მდე </v>
      </c>
      <c r="C86" s="33" t="str">
        <f>'3-3'!D17</f>
        <v>მ3</v>
      </c>
      <c r="D86" s="33">
        <f>'3-3'!F17</f>
        <v>5</v>
      </c>
      <c r="E86" s="32" t="b">
        <f t="shared" si="30"/>
        <v>0</v>
      </c>
      <c r="F86" s="32" t="b">
        <f t="shared" si="31"/>
        <v>0</v>
      </c>
      <c r="G86" s="32" t="e">
        <f t="shared" si="32"/>
        <v>#DIV/0!</v>
      </c>
      <c r="H86" s="33">
        <f>'3-3'!M17</f>
        <v>0</v>
      </c>
      <c r="I86" s="33" t="str">
        <f>'3-3'!B17</f>
        <v>1-80-4</v>
      </c>
    </row>
    <row r="87" spans="1:9" ht="39.950000000000003" customHeight="1">
      <c r="A87" s="33" t="str">
        <f>'3-3'!A19</f>
        <v>1.2.1</v>
      </c>
      <c r="B87" s="33" t="str">
        <f>'3-3'!C19</f>
        <v>შრომითი დანახარჯები</v>
      </c>
      <c r="C87" s="33" t="str">
        <f>'3-3'!D19</f>
        <v>კაც/სთ</v>
      </c>
      <c r="D87" s="33">
        <f>'3-3'!F19</f>
        <v>57.408000000000001</v>
      </c>
      <c r="E87" s="32" t="b">
        <f t="shared" si="30"/>
        <v>0</v>
      </c>
      <c r="F87" s="32" t="b">
        <f t="shared" si="31"/>
        <v>0</v>
      </c>
      <c r="G87" s="32" t="e">
        <f t="shared" si="32"/>
        <v>#DIV/0!</v>
      </c>
      <c r="H87" s="33">
        <f>'3-3'!M19</f>
        <v>0</v>
      </c>
      <c r="I87" s="33">
        <f>'3-3'!B19</f>
        <v>0</v>
      </c>
    </row>
    <row r="88" spans="1:9" ht="39.950000000000003" customHeight="1">
      <c r="A88" s="33">
        <f>'3-3'!A20</f>
        <v>0</v>
      </c>
      <c r="B88" s="33">
        <f>'3-3'!C20</f>
        <v>0</v>
      </c>
      <c r="C88" s="33">
        <f>'3-3'!D20</f>
        <v>0</v>
      </c>
      <c r="D88" s="33">
        <f>'3-3'!F20</f>
        <v>0</v>
      </c>
      <c r="E88" s="32" t="b">
        <f t="shared" si="30"/>
        <v>0</v>
      </c>
      <c r="F88" s="32" t="b">
        <f t="shared" si="31"/>
        <v>0</v>
      </c>
      <c r="G88" s="32" t="e">
        <f t="shared" si="32"/>
        <v>#DIV/0!</v>
      </c>
      <c r="H88" s="33">
        <f>'3-3'!M20</f>
        <v>0</v>
      </c>
      <c r="I88" s="33">
        <f>'3-3'!B20</f>
        <v>0</v>
      </c>
    </row>
    <row r="89" spans="1:9" ht="39.950000000000003" customHeight="1">
      <c r="A89" s="33">
        <f>'3-3'!A25</f>
        <v>0</v>
      </c>
      <c r="B89" s="33">
        <f>'3-3'!C25</f>
        <v>0</v>
      </c>
      <c r="C89" s="33">
        <f>'3-3'!D25</f>
        <v>0</v>
      </c>
      <c r="D89" s="33">
        <f>'3-3'!F25</f>
        <v>0</v>
      </c>
      <c r="E89" s="32" t="b">
        <f t="shared" si="30"/>
        <v>0</v>
      </c>
      <c r="F89" s="32" t="b">
        <f t="shared" si="31"/>
        <v>0</v>
      </c>
      <c r="G89" s="32" t="e">
        <f t="shared" si="32"/>
        <v>#DIV/0!</v>
      </c>
      <c r="H89" s="33">
        <f>'3-3'!M25</f>
        <v>0</v>
      </c>
      <c r="I89" s="33">
        <f>'3-3'!B25</f>
        <v>0</v>
      </c>
    </row>
    <row r="90" spans="1:9" ht="39.950000000000003" customHeight="1">
      <c r="A90" s="33">
        <f>'3-3'!A27</f>
        <v>0</v>
      </c>
      <c r="B90" s="33">
        <f>'3-3'!C27</f>
        <v>0</v>
      </c>
      <c r="C90" s="33" t="str">
        <f>'3-3'!D27</f>
        <v>1000 მ3</v>
      </c>
      <c r="D90" s="33">
        <f>'3-3'!F27</f>
        <v>0.47</v>
      </c>
      <c r="E90" s="32" t="b">
        <f t="shared" si="30"/>
        <v>0</v>
      </c>
      <c r="F90" s="32" t="b">
        <f t="shared" si="31"/>
        <v>0</v>
      </c>
      <c r="G90" s="32" t="e">
        <f t="shared" si="32"/>
        <v>#DIV/0!</v>
      </c>
      <c r="H90" s="33">
        <f>'3-3'!M27</f>
        <v>0</v>
      </c>
      <c r="I90" s="33">
        <f>'3-3'!B27</f>
        <v>0</v>
      </c>
    </row>
    <row r="91" spans="1:9" ht="39.950000000000003" customHeight="1">
      <c r="A91" s="33" t="str">
        <f>'3-3'!A30</f>
        <v>1.5.3</v>
      </c>
      <c r="B91" s="33" t="str">
        <f>'3-3'!C30</f>
        <v>სხვა მანქანები</v>
      </c>
      <c r="C91" s="33" t="str">
        <f>'3-3'!D30</f>
        <v>ლარი</v>
      </c>
      <c r="D91" s="33">
        <f>'3-3'!F30</f>
        <v>8.4599999999999995E-2</v>
      </c>
      <c r="E91" s="32" t="str">
        <f t="shared" si="30"/>
        <v>ლარი</v>
      </c>
      <c r="F91" s="32">
        <f t="shared" si="31"/>
        <v>8.4599999999999995E-2</v>
      </c>
      <c r="G91" s="32">
        <f t="shared" si="32"/>
        <v>0</v>
      </c>
      <c r="H91" s="33">
        <f>'3-3'!M30</f>
        <v>0</v>
      </c>
      <c r="I91" s="33">
        <f>'3-3'!B30</f>
        <v>0</v>
      </c>
    </row>
    <row r="92" spans="1:9" ht="39.950000000000003" customHeight="1">
      <c r="A92" s="33" t="str">
        <f>'3-3'!A35</f>
        <v>1.6.1</v>
      </c>
      <c r="B92" s="33" t="str">
        <f>'3-3'!C35</f>
        <v>შრომითი დანახარჯები</v>
      </c>
      <c r="C92" s="33" t="str">
        <f>'3-3'!D35</f>
        <v>კაც/სთ</v>
      </c>
      <c r="D92" s="33">
        <f>'3-3'!F35</f>
        <v>20.02</v>
      </c>
      <c r="E92" s="32" t="b">
        <f t="shared" si="30"/>
        <v>0</v>
      </c>
      <c r="F92" s="32" t="b">
        <f t="shared" si="31"/>
        <v>0</v>
      </c>
      <c r="G92" s="32" t="e">
        <f t="shared" si="32"/>
        <v>#DIV/0!</v>
      </c>
      <c r="H92" s="33">
        <f>'3-3'!M35</f>
        <v>0</v>
      </c>
      <c r="I92" s="33">
        <f>'3-3'!B35</f>
        <v>0</v>
      </c>
    </row>
    <row r="93" spans="1:9" ht="39.950000000000003" customHeight="1">
      <c r="A93" s="33">
        <f>'3-3'!A43</f>
        <v>0</v>
      </c>
      <c r="B93" s="33">
        <f>'3-3'!C43</f>
        <v>0</v>
      </c>
      <c r="C93" s="33">
        <f>'3-3'!D43</f>
        <v>0</v>
      </c>
      <c r="D93" s="33">
        <f>'3-3'!F43</f>
        <v>0</v>
      </c>
      <c r="E93" s="32" t="b">
        <f t="shared" si="30"/>
        <v>0</v>
      </c>
      <c r="F93" s="32" t="b">
        <f t="shared" si="31"/>
        <v>0</v>
      </c>
      <c r="G93" s="32" t="e">
        <f t="shared" si="32"/>
        <v>#DIV/0!</v>
      </c>
      <c r="H93" s="33">
        <f>'3-3'!M43</f>
        <v>0</v>
      </c>
      <c r="I93" s="33">
        <f>'3-3'!B43</f>
        <v>0</v>
      </c>
    </row>
    <row r="94" spans="1:9" ht="39.950000000000003" customHeight="1">
      <c r="A94" s="33">
        <f>'3-3'!A78</f>
        <v>1.1100000000000001</v>
      </c>
      <c r="B94" s="33" t="str">
        <f>'3-3'!C78</f>
        <v>კედლის უკანა ზედაპირზე ბიტუმის წასმა 2 ჯერ</v>
      </c>
      <c r="C94" s="33" t="str">
        <f>'3-3'!D78</f>
        <v>მ2</v>
      </c>
      <c r="D94" s="33">
        <f>'3-3'!F78</f>
        <v>105</v>
      </c>
      <c r="E94" s="32" t="b">
        <f t="shared" si="30"/>
        <v>0</v>
      </c>
      <c r="F94" s="32" t="b">
        <f t="shared" si="31"/>
        <v>0</v>
      </c>
      <c r="G94" s="32" t="e">
        <f t="shared" si="32"/>
        <v>#DIV/0!</v>
      </c>
      <c r="H94" s="33">
        <f>'3-3'!M78</f>
        <v>0</v>
      </c>
      <c r="I94" s="33" t="str">
        <f>'3-3'!B78</f>
        <v>8-4-7.</v>
      </c>
    </row>
    <row r="95" spans="1:9" ht="39.950000000000003" customHeight="1">
      <c r="A95" s="33" t="str">
        <f>'3-3'!A84</f>
        <v>1.11.5</v>
      </c>
      <c r="B95" s="33" t="str">
        <f>'3-3'!C84</f>
        <v xml:space="preserve">სხვა მასალები </v>
      </c>
      <c r="C95" s="33" t="str">
        <f>'3-3'!D84</f>
        <v>ლარი</v>
      </c>
      <c r="D95" s="33">
        <f>'3-3'!F84</f>
        <v>2.3939999999999997</v>
      </c>
      <c r="E95" s="32" t="str">
        <f t="shared" si="30"/>
        <v>ლარი</v>
      </c>
      <c r="F95" s="32">
        <f t="shared" si="31"/>
        <v>2.3939999999999997</v>
      </c>
      <c r="G95" s="32">
        <f t="shared" si="32"/>
        <v>0</v>
      </c>
      <c r="H95" s="33">
        <f>'3-3'!M84</f>
        <v>0</v>
      </c>
      <c r="I95" s="33">
        <f>'3-3'!B84</f>
        <v>0</v>
      </c>
    </row>
    <row r="96" spans="1:9" ht="39.950000000000003" customHeight="1">
      <c r="A96" s="33" t="str">
        <f>'3-3'!A89</f>
        <v>1.12.2</v>
      </c>
      <c r="B96" s="33" t="str">
        <f>'3-3'!C89</f>
        <v>სხვა მანქანები</v>
      </c>
      <c r="C96" s="33" t="str">
        <f>'3-3'!D89</f>
        <v>ლარი</v>
      </c>
      <c r="D96" s="33">
        <f>'3-3'!F89</f>
        <v>0</v>
      </c>
      <c r="E96" s="32" t="str">
        <f t="shared" si="30"/>
        <v>ლარი</v>
      </c>
      <c r="F96" s="32">
        <f t="shared" si="31"/>
        <v>0</v>
      </c>
      <c r="G96" s="32" t="e">
        <f t="shared" si="32"/>
        <v>#DIV/0!</v>
      </c>
      <c r="H96" s="33">
        <f>'3-3'!M89</f>
        <v>0</v>
      </c>
      <c r="I96" s="33">
        <f>'3-3'!B89</f>
        <v>0</v>
      </c>
    </row>
    <row r="97" spans="1:9" ht="39.950000000000003" customHeight="1">
      <c r="A97" s="33">
        <f>'3-3'!A94</f>
        <v>0</v>
      </c>
      <c r="B97" s="33">
        <f>'3-3'!C94</f>
        <v>0</v>
      </c>
      <c r="C97" s="33" t="str">
        <f>'3-3'!D94</f>
        <v>100 მ2</v>
      </c>
      <c r="D97" s="33">
        <f>'3-3'!F94</f>
        <v>0.75</v>
      </c>
      <c r="E97" s="32" t="b">
        <f t="shared" si="30"/>
        <v>0</v>
      </c>
      <c r="F97" s="32" t="b">
        <f t="shared" si="31"/>
        <v>0</v>
      </c>
      <c r="G97" s="32" t="e">
        <f t="shared" si="32"/>
        <v>#DIV/0!</v>
      </c>
      <c r="H97" s="33">
        <f>'3-3'!M94</f>
        <v>0</v>
      </c>
      <c r="I97" s="33">
        <f>'3-3'!B94</f>
        <v>0</v>
      </c>
    </row>
    <row r="98" spans="1:9" ht="39.950000000000003" customHeight="1">
      <c r="A98" s="33" t="str">
        <f>'3-3'!A97</f>
        <v>1.13.3</v>
      </c>
      <c r="B98" s="33" t="str">
        <f>'3-3'!C97</f>
        <v>გეომემბრანა 2 მმ</v>
      </c>
      <c r="C98" s="33" t="str">
        <f>'3-3'!D97</f>
        <v>მ2</v>
      </c>
      <c r="D98" s="33">
        <f>'3-3'!F97</f>
        <v>86.25</v>
      </c>
      <c r="E98" s="32" t="b">
        <f t="shared" si="30"/>
        <v>0</v>
      </c>
      <c r="F98" s="32" t="b">
        <f t="shared" si="31"/>
        <v>0</v>
      </c>
      <c r="G98" s="32" t="e">
        <f t="shared" si="32"/>
        <v>#DIV/0!</v>
      </c>
      <c r="H98" s="33">
        <f>'3-3'!M97</f>
        <v>0</v>
      </c>
      <c r="I98" s="33" t="str">
        <f>'3-3'!B97</f>
        <v>4-1-441</v>
      </c>
    </row>
    <row r="99" spans="1:9" ht="39.950000000000003" customHeight="1">
      <c r="A99" s="33">
        <f>'3-3'!A102</f>
        <v>0</v>
      </c>
      <c r="B99" s="33">
        <f>'3-3'!C102</f>
        <v>0</v>
      </c>
      <c r="C99" s="33" t="str">
        <f>'3-3'!D102</f>
        <v>10 მ3</v>
      </c>
      <c r="D99" s="33">
        <f>'3-3'!F102</f>
        <v>4.5</v>
      </c>
      <c r="E99" s="32" t="b">
        <f t="shared" si="30"/>
        <v>0</v>
      </c>
      <c r="F99" s="32" t="b">
        <f t="shared" si="31"/>
        <v>0</v>
      </c>
      <c r="G99" s="32" t="e">
        <f t="shared" si="32"/>
        <v>#DIV/0!</v>
      </c>
      <c r="H99" s="33">
        <f>'3-3'!M102</f>
        <v>0</v>
      </c>
      <c r="I99" s="33">
        <f>'3-3'!B102</f>
        <v>0</v>
      </c>
    </row>
    <row r="100" spans="1:9" ht="39.950000000000003" customHeight="1">
      <c r="A100" s="33">
        <f>'3-3'!A107</f>
        <v>0</v>
      </c>
      <c r="B100" s="33">
        <f>'3-3'!C107</f>
        <v>0</v>
      </c>
      <c r="C100" s="33" t="str">
        <f>'3-3'!D107</f>
        <v>100 მ</v>
      </c>
      <c r="D100" s="33">
        <f>'3-3'!F107</f>
        <v>0.04</v>
      </c>
      <c r="E100" s="32" t="str">
        <f t="shared" si="30"/>
        <v>მ</v>
      </c>
      <c r="F100" s="32">
        <f t="shared" si="31"/>
        <v>4</v>
      </c>
      <c r="G100" s="32">
        <f t="shared" si="32"/>
        <v>0</v>
      </c>
      <c r="H100" s="33">
        <f>'3-3'!M107</f>
        <v>0</v>
      </c>
      <c r="I100" s="33">
        <f>'3-3'!B107</f>
        <v>0</v>
      </c>
    </row>
    <row r="101" spans="1:9" ht="39.950000000000003" customHeight="1">
      <c r="A101" s="33" t="str">
        <f>'3-3'!A111</f>
        <v>1.15.4</v>
      </c>
      <c r="B101" s="33" t="str">
        <f>'3-3'!C111</f>
        <v xml:space="preserve">სხვა მასალები </v>
      </c>
      <c r="C101" s="33" t="str">
        <f>'3-3'!D111</f>
        <v>ლარი</v>
      </c>
      <c r="D101" s="33">
        <f>'3-3'!F111</f>
        <v>0.436</v>
      </c>
      <c r="E101" s="32" t="str">
        <f t="shared" si="30"/>
        <v>ლარი</v>
      </c>
      <c r="F101" s="32">
        <f t="shared" si="31"/>
        <v>0.436</v>
      </c>
      <c r="G101" s="32">
        <f t="shared" si="32"/>
        <v>0</v>
      </c>
      <c r="H101" s="33">
        <f>'3-3'!M111</f>
        <v>0</v>
      </c>
      <c r="I101" s="33">
        <f>'3-3'!B111</f>
        <v>0</v>
      </c>
    </row>
    <row r="102" spans="1:9" ht="39.950000000000003" customHeight="1">
      <c r="A102" s="33">
        <f>'3-3'!A114</f>
        <v>0</v>
      </c>
      <c r="B102" s="33">
        <f>'3-3'!C114</f>
        <v>0</v>
      </c>
      <c r="C102" s="33" t="str">
        <f>'3-3'!D114</f>
        <v>1000 მ3</v>
      </c>
      <c r="D102" s="33">
        <f>'3-3'!F114</f>
        <v>0.28499999999999998</v>
      </c>
      <c r="E102" s="32" t="b">
        <f t="shared" si="30"/>
        <v>0</v>
      </c>
      <c r="F102" s="32" t="b">
        <f t="shared" si="31"/>
        <v>0</v>
      </c>
      <c r="G102" s="32" t="e">
        <f t="shared" si="32"/>
        <v>#DIV/0!</v>
      </c>
      <c r="H102" s="33">
        <f>'3-3'!M114</f>
        <v>0</v>
      </c>
      <c r="I102" s="33">
        <f>'3-3'!B114</f>
        <v>0</v>
      </c>
    </row>
    <row r="103" spans="1:9" s="12" customFormat="1" ht="39.950000000000003" customHeight="1">
      <c r="A103" s="29"/>
      <c r="B103" s="23" t="s">
        <v>4</v>
      </c>
      <c r="C103" s="27"/>
      <c r="D103" s="28"/>
      <c r="E103" s="28"/>
      <c r="F103" s="32"/>
      <c r="G103" s="28"/>
      <c r="H103" s="28">
        <f>ROUND(SUM(H84:H102),2)</f>
        <v>0</v>
      </c>
      <c r="I103" s="34"/>
    </row>
    <row r="104" spans="1:9" s="12" customFormat="1" ht="39.950000000000003" customHeight="1">
      <c r="A104" s="29"/>
      <c r="B104" s="23" t="s">
        <v>10</v>
      </c>
      <c r="C104" s="27"/>
      <c r="D104" s="27"/>
      <c r="E104" s="37" t="s">
        <v>12</v>
      </c>
      <c r="F104" s="27">
        <v>10</v>
      </c>
      <c r="G104" s="27"/>
      <c r="H104" s="28">
        <f>ROUND(H103*F104%,2)</f>
        <v>0</v>
      </c>
      <c r="I104" s="34"/>
    </row>
    <row r="105" spans="1:9" s="12" customFormat="1" ht="39.950000000000003" customHeight="1">
      <c r="A105" s="29"/>
      <c r="B105" s="23" t="s">
        <v>4</v>
      </c>
      <c r="C105" s="27"/>
      <c r="D105" s="27"/>
      <c r="E105" s="32"/>
      <c r="F105" s="27"/>
      <c r="G105" s="32"/>
      <c r="H105" s="32">
        <f>ROUND(SUM(H103:H104),2)</f>
        <v>0</v>
      </c>
      <c r="I105" s="34"/>
    </row>
    <row r="106" spans="1:9" s="12" customFormat="1" ht="39.950000000000003" customHeight="1">
      <c r="A106" s="29"/>
      <c r="B106" s="23" t="s">
        <v>11</v>
      </c>
      <c r="C106" s="27"/>
      <c r="D106" s="27"/>
      <c r="E106" s="37" t="s">
        <v>12</v>
      </c>
      <c r="F106" s="27">
        <v>8</v>
      </c>
      <c r="G106" s="27"/>
      <c r="H106" s="28">
        <f>ROUND(H105*F106%,2)</f>
        <v>0</v>
      </c>
      <c r="I106" s="34"/>
    </row>
    <row r="107" spans="1:9" s="12" customFormat="1" ht="39.950000000000003" customHeight="1">
      <c r="A107" s="29"/>
      <c r="B107" s="23" t="s">
        <v>4</v>
      </c>
      <c r="C107" s="27"/>
      <c r="D107" s="27"/>
      <c r="E107" s="27"/>
      <c r="F107" s="27"/>
      <c r="G107" s="27"/>
      <c r="H107" s="28">
        <f>ROUND(SUM(H105:H106),2)</f>
        <v>0</v>
      </c>
      <c r="I107" s="34"/>
    </row>
    <row r="108" spans="1:9" s="12" customFormat="1" ht="80.099999999999994" customHeight="1">
      <c r="A108" s="23"/>
      <c r="B108" s="25" t="str">
        <f>'4-1'!C7</f>
        <v xml:space="preserve">საგზაო სამოსი </v>
      </c>
      <c r="C108" s="27"/>
      <c r="D108" s="27"/>
      <c r="E108" s="27"/>
      <c r="F108" s="27"/>
      <c r="G108" s="27"/>
      <c r="H108" s="28"/>
      <c r="I108" s="27"/>
    </row>
    <row r="109" spans="1:9" ht="39.950000000000003" customHeight="1">
      <c r="A109" s="33">
        <f>'4-1'!A8</f>
        <v>0</v>
      </c>
      <c r="B109" s="33">
        <f>'4-1'!C8</f>
        <v>0</v>
      </c>
      <c r="C109" s="33">
        <f>'4-1'!D8</f>
        <v>0</v>
      </c>
      <c r="D109" s="33">
        <f>'4-1'!F8</f>
        <v>0</v>
      </c>
      <c r="E109" s="32" t="b">
        <f t="shared" ref="E109" si="33">IF(C109="კმ","კმ",IF(C109="1 ჰა","1 ჰა",IF(C109="100 ც","ც",IF(C109="1 ც","ც",IF(C109="ც","ც",IF(C109="ტ","ტ",IF(C109="1 ტ","ტ",IF(C109="მ³","მ³",IF(C109="1 მ³","მ³",IF(C109="10 მ³","მ³",IF(C109="100 მ³","მ³",IF(C109="1000 მ³","მ³",IF(C109="1000 მ","მ",IF(C109="100 მ","მ",IF(C109="10 მ","მ",IF(C109="10 მ ","მ",IF(C109="მ","მ",IF(C109="1000 მ²","მ²",IF(C109="1000 მ² ","მ²",IF(C109="100 მ²","მ²",IF(C109="100 მ² ","მ²",IF(C109="10 მ²","მ²",IF(C109="მ² ","მ²",IF(C109="ლარი","ლარი",IF(C109="ხიდი","ლარი",IF(C109="100 მ","მ",IF(C109="გ.მ.","მ")))))))))))))))))))))))))))</f>
        <v>0</v>
      </c>
      <c r="F109" s="32" t="b">
        <f t="shared" ref="F109" si="34">IF(C109="კმ",D109,IF(C109="1 ჰა",D109,IF(C109="100 ც",D109*100,IF(C109="1 ც",D109,IF(C109="ც",D109,IF(C109="ტ",D109,IF(C109="1 ტ",D109,IF(C109="მ³",D109,IF(C109="1 მ³",D109,IF(C109="10 მ³",D109*10,IF(C109="100 მ³",D109*100,IF(C109="1000 მ³",D109*1000,IF(C109="1000 მ",D109*1000,IF(C109="100 მ",D109*100,IF(C109="10 მ",D109*10,IF(C109="10 მ ",D109*10,IF(C109="მ",D109,IF(C109="1000 მ²",D109*1000,IF(C109="1000 მ² ",D109*1000,IF(C109="100 მ²",D109*100,IF(C109="100 მ² ",D109*100,IF(C109="10 მ²",D109*10,IF(C109="მ² ",D109,IF(C109="ლარი",D109,IF(C109="ხიდი",D109,IF(C109="100 მ",D109*100,IF(C109="გ.მ.",D109)))))))))))))))))))))))))))</f>
        <v>0</v>
      </c>
      <c r="G109" s="32" t="e">
        <f t="shared" ref="G109" si="35">ROUND(H109/F109,2)</f>
        <v>#DIV/0!</v>
      </c>
      <c r="H109" s="33">
        <f>'4-1'!M8</f>
        <v>0</v>
      </c>
      <c r="I109" s="33">
        <f>'4-1'!B8</f>
        <v>0</v>
      </c>
    </row>
    <row r="110" spans="1:9" ht="39.950000000000003" customHeight="1">
      <c r="A110" s="33" t="str">
        <f>'4-1'!A15</f>
        <v>1.1.5</v>
      </c>
      <c r="B110" s="33" t="str">
        <f>'4-1'!C15</f>
        <v>წყალი</v>
      </c>
      <c r="C110" s="33" t="str">
        <f>'4-1'!D15</f>
        <v>მ3</v>
      </c>
      <c r="D110" s="33">
        <f>'4-1'!F15</f>
        <v>8.33</v>
      </c>
      <c r="E110" s="32" t="b">
        <f t="shared" ref="E110:E114" si="36">IF(C110="კმ","კმ",IF(C110="1 ჰა","1 ჰა",IF(C110="100 ც","ც",IF(C110="1 ც","ც",IF(C110="ც","ც",IF(C110="ტ","ტ",IF(C110="1 ტ","ტ",IF(C110="მ³","მ³",IF(C110="1 მ³","მ³",IF(C110="10 მ³","მ³",IF(C110="100 მ³","მ³",IF(C110="1000 მ³","მ³",IF(C110="1000 მ","მ",IF(C110="100 მ","მ",IF(C110="10 მ","მ",IF(C110="10 მ ","მ",IF(C110="მ","მ",IF(C110="1000 მ²","მ²",IF(C110="1000 მ² ","მ²",IF(C110="100 მ²","მ²",IF(C110="100 მ² ","მ²",IF(C110="10 მ²","მ²",IF(C110="მ² ","მ²",IF(C110="ლარი","ლარი",IF(C110="ხიდი","ლარი",IF(C110="100 მ","მ",IF(C110="გ.მ.","მ")))))))))))))))))))))))))))</f>
        <v>0</v>
      </c>
      <c r="F110" s="32" t="b">
        <f t="shared" ref="F110:F114" si="37">IF(C110="კმ",D110,IF(C110="1 ჰა",D110,IF(C110="100 ც",D110*100,IF(C110="1 ც",D110,IF(C110="ც",D110,IF(C110="ტ",D110,IF(C110="1 ტ",D110,IF(C110="მ³",D110,IF(C110="1 მ³",D110,IF(C110="10 მ³",D110*10,IF(C110="100 მ³",D110*100,IF(C110="1000 მ³",D110*1000,IF(C110="1000 მ",D110*1000,IF(C110="100 მ",D110*100,IF(C110="10 მ",D110*10,IF(C110="10 მ ",D110*10,IF(C110="მ",D110,IF(C110="1000 მ²",D110*1000,IF(C110="1000 მ² ",D110*1000,IF(C110="100 მ²",D110*100,IF(C110="100 მ² ",D110*100,IF(C110="10 მ²",D110*10,IF(C110="მ² ",D110,IF(C110="ლარი",D110,IF(C110="ხიდი",D110,IF(C110="100 მ",D110*100,IF(C110="გ.მ.",D110)))))))))))))))))))))))))))</f>
        <v>0</v>
      </c>
      <c r="G110" s="32" t="e">
        <f t="shared" ref="G110:G114" si="38">ROUND(H110/F110,2)</f>
        <v>#DIV/0!</v>
      </c>
      <c r="H110" s="33">
        <f>'4-1'!M15</f>
        <v>0</v>
      </c>
      <c r="I110" s="33">
        <f>'4-1'!B15</f>
        <v>0</v>
      </c>
    </row>
    <row r="111" spans="1:9" ht="39.950000000000003" customHeight="1">
      <c r="A111" s="33" t="str">
        <f>'4-1'!A23</f>
        <v>1.2.4</v>
      </c>
      <c r="B111" s="33" t="str">
        <f>'4-1'!C23</f>
        <v>არმატურა A-I კლასი</v>
      </c>
      <c r="C111" s="33" t="str">
        <f>'4-1'!D23</f>
        <v>ტ</v>
      </c>
      <c r="D111" s="33">
        <f>'4-1'!F23</f>
        <v>0.13340000000000002</v>
      </c>
      <c r="E111" s="32" t="str">
        <f t="shared" si="36"/>
        <v>ტ</v>
      </c>
      <c r="F111" s="32">
        <f t="shared" si="37"/>
        <v>0.13340000000000002</v>
      </c>
      <c r="G111" s="32">
        <f t="shared" si="38"/>
        <v>0</v>
      </c>
      <c r="H111" s="33">
        <f>'4-1'!M23</f>
        <v>0</v>
      </c>
      <c r="I111" s="33" t="str">
        <f>'4-1'!B23</f>
        <v>1-1-010</v>
      </c>
    </row>
    <row r="112" spans="1:9" ht="39.950000000000003" customHeight="1">
      <c r="A112" s="33" t="str">
        <f>'4-1'!A28</f>
        <v>1.2.7</v>
      </c>
      <c r="B112" s="33" t="str">
        <f>'4-1'!C28</f>
        <v>სხვა მასალები</v>
      </c>
      <c r="C112" s="33" t="str">
        <f>'4-1'!D28</f>
        <v>ლარი</v>
      </c>
      <c r="D112" s="33">
        <f>'4-1'!F28</f>
        <v>19.743199999999998</v>
      </c>
      <c r="E112" s="32" t="str">
        <f t="shared" si="36"/>
        <v>ლარი</v>
      </c>
      <c r="F112" s="32">
        <f t="shared" si="37"/>
        <v>19.743199999999998</v>
      </c>
      <c r="G112" s="32">
        <f t="shared" si="38"/>
        <v>0</v>
      </c>
      <c r="H112" s="33">
        <f>'4-1'!M28</f>
        <v>0</v>
      </c>
      <c r="I112" s="33">
        <f>'4-1'!B28</f>
        <v>0</v>
      </c>
    </row>
    <row r="113" spans="1:9" ht="39.950000000000003" customHeight="1">
      <c r="A113" s="33">
        <f>'4-1'!A36</f>
        <v>1.4</v>
      </c>
      <c r="B113" s="33" t="str">
        <f>'4-1'!C36</f>
        <v>საფუძვლის ფენის მოწყობა ქვიშა-ცემენტის 5% ნარევით</v>
      </c>
      <c r="C113" s="33" t="str">
        <f>'4-1'!D36</f>
        <v>მ3</v>
      </c>
      <c r="D113" s="33">
        <f>'4-1'!F36</f>
        <v>66</v>
      </c>
      <c r="E113" s="32" t="b">
        <f t="shared" si="36"/>
        <v>0</v>
      </c>
      <c r="F113" s="32" t="b">
        <f t="shared" si="37"/>
        <v>0</v>
      </c>
      <c r="G113" s="32" t="e">
        <f t="shared" si="38"/>
        <v>#DIV/0!</v>
      </c>
      <c r="H113" s="33">
        <f>'4-1'!M36</f>
        <v>0</v>
      </c>
      <c r="I113" s="33" t="str">
        <f>'4-1'!B36</f>
        <v>27-7-2.</v>
      </c>
    </row>
    <row r="114" spans="1:9" ht="39.950000000000003" customHeight="1">
      <c r="A114" s="33" t="str">
        <f>'4-1'!A42</f>
        <v>1.4.5</v>
      </c>
      <c r="B114" s="33" t="str">
        <f>'4-1'!C42</f>
        <v>წყალი</v>
      </c>
      <c r="C114" s="33" t="str">
        <f>'4-1'!D42</f>
        <v>მ3</v>
      </c>
      <c r="D114" s="33">
        <f>'4-1'!F42</f>
        <v>4.62</v>
      </c>
      <c r="E114" s="32" t="b">
        <f t="shared" si="36"/>
        <v>0</v>
      </c>
      <c r="F114" s="32" t="b">
        <f t="shared" si="37"/>
        <v>0</v>
      </c>
      <c r="G114" s="32" t="e">
        <f t="shared" si="38"/>
        <v>#DIV/0!</v>
      </c>
      <c r="H114" s="33">
        <f>'4-1'!M42</f>
        <v>0</v>
      </c>
      <c r="I114" s="33">
        <f>'4-1'!B42</f>
        <v>0</v>
      </c>
    </row>
    <row r="115" spans="1:9" s="12" customFormat="1" ht="39.950000000000003" customHeight="1">
      <c r="A115" s="29"/>
      <c r="B115" s="23" t="s">
        <v>4</v>
      </c>
      <c r="C115" s="27"/>
      <c r="D115" s="28"/>
      <c r="E115" s="28"/>
      <c r="F115" s="32"/>
      <c r="G115" s="28"/>
      <c r="H115" s="28">
        <f>ROUND(SUM(H109:H114),2)</f>
        <v>0</v>
      </c>
      <c r="I115" s="34"/>
    </row>
    <row r="116" spans="1:9" s="12" customFormat="1" ht="39.950000000000003" customHeight="1">
      <c r="A116" s="29"/>
      <c r="B116" s="23" t="s">
        <v>10</v>
      </c>
      <c r="C116" s="27"/>
      <c r="D116" s="27"/>
      <c r="E116" s="37" t="s">
        <v>12</v>
      </c>
      <c r="F116" s="27">
        <v>10</v>
      </c>
      <c r="G116" s="27"/>
      <c r="H116" s="28">
        <f>ROUND(H115*F116%,2)</f>
        <v>0</v>
      </c>
      <c r="I116" s="34"/>
    </row>
    <row r="117" spans="1:9" s="12" customFormat="1" ht="39.950000000000003" customHeight="1">
      <c r="A117" s="29"/>
      <c r="B117" s="23" t="s">
        <v>4</v>
      </c>
      <c r="C117" s="27"/>
      <c r="D117" s="27"/>
      <c r="E117" s="32"/>
      <c r="F117" s="27"/>
      <c r="G117" s="32"/>
      <c r="H117" s="28">
        <f>ROUND(SUM(H115:H116),2)</f>
        <v>0</v>
      </c>
      <c r="I117" s="34"/>
    </row>
    <row r="118" spans="1:9" s="12" customFormat="1" ht="39.950000000000003" customHeight="1">
      <c r="A118" s="29"/>
      <c r="B118" s="23" t="s">
        <v>11</v>
      </c>
      <c r="C118" s="27"/>
      <c r="D118" s="27"/>
      <c r="E118" s="37" t="s">
        <v>12</v>
      </c>
      <c r="F118" s="27">
        <v>8</v>
      </c>
      <c r="G118" s="27"/>
      <c r="H118" s="28">
        <f>ROUND(H117*F118%,2)</f>
        <v>0</v>
      </c>
      <c r="I118" s="34"/>
    </row>
    <row r="119" spans="1:9" s="12" customFormat="1" ht="39.75" customHeight="1">
      <c r="A119" s="29"/>
      <c r="B119" s="23" t="s">
        <v>4</v>
      </c>
      <c r="C119" s="27"/>
      <c r="D119" s="27"/>
      <c r="E119" s="27"/>
      <c r="F119" s="27"/>
      <c r="G119" s="27"/>
      <c r="H119" s="28">
        <f>ROUND(SUM(H117:H118),2)</f>
        <v>0</v>
      </c>
      <c r="I119" s="34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28" orientation="landscape" r:id="rId1"/>
  <rowBreaks count="3" manualBreakCount="3">
    <brk id="47" max="16383" man="1"/>
    <brk id="73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112</vt:i4>
      </vt:variant>
    </vt:vector>
  </HeadingPairs>
  <TitlesOfParts>
    <vt:vector size="122" baseType="lpstr">
      <vt:lpstr>კრებსითი</vt:lpstr>
      <vt:lpstr>1-1</vt:lpstr>
      <vt:lpstr>2-1</vt:lpstr>
      <vt:lpstr>3-1</vt:lpstr>
      <vt:lpstr>3-2</vt:lpstr>
      <vt:lpstr>3-3</vt:lpstr>
      <vt:lpstr>4-1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'3-2'!Область_печати</vt:lpstr>
      <vt:lpstr>'3-3'!Область_печати</vt:lpstr>
      <vt:lpstr>'4-1'!Область_печати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დეკორატიულიქვა10</vt:lpstr>
      <vt:lpstr>დეკორატიულიქვა11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2019-01-11T10:07:26Z</dcterms:modified>
</cp:coreProperties>
</file>