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3" activeTab="0"/>
  </bookViews>
  <sheets>
    <sheet name="ნაერთი" sheetId="1" r:id="rId1"/>
    <sheet name="1-1" sheetId="2" r:id="rId2"/>
    <sheet name="1.2" sheetId="3" r:id="rId3"/>
    <sheet name="1-3" sheetId="4" r:id="rId4"/>
    <sheet name="1.4" sheetId="5" r:id="rId5"/>
    <sheet name="1.5" sheetId="6" r:id="rId6"/>
    <sheet name="1-6" sheetId="7" r:id="rId7"/>
    <sheet name="1-7" sheetId="8" r:id="rId8"/>
    <sheet name="1-8" sheetId="9" r:id="rId9"/>
    <sheet name="2-1" sheetId="10" r:id="rId10"/>
    <sheet name="2-2" sheetId="11" r:id="rId11"/>
    <sheet name="2-3" sheetId="12" r:id="rId12"/>
  </sheets>
  <definedNames>
    <definedName name="_xlnm._FilterDatabase" localSheetId="2" hidden="1">'1.2'!$A$7:$M$7</definedName>
    <definedName name="_xlnm._FilterDatabase" localSheetId="1" hidden="1">'1-1'!$A$7:$M$277</definedName>
    <definedName name="_xlnm._FilterDatabase" localSheetId="6" hidden="1">'1-6'!$A$9:$M$364</definedName>
    <definedName name="_xlnm._FilterDatabase" localSheetId="8" hidden="1">'1-8'!$A$6:$M$250</definedName>
    <definedName name="_xlnm.Print_Area" localSheetId="2">'1.2'!$A$1:$Q$156</definedName>
    <definedName name="_xlnm.Print_Area" localSheetId="4">'1.4'!$A$1:$M$68</definedName>
    <definedName name="_xlnm.Print_Area" localSheetId="5">'1.5'!$A$1:$N$243</definedName>
    <definedName name="_xlnm.Print_Area" localSheetId="1">'1-1'!$A$1:$M$284</definedName>
    <definedName name="_xlnm.Print_Area" localSheetId="3">'1-3'!$A$1:$M$233</definedName>
    <definedName name="_xlnm.Print_Area" localSheetId="6">'1-6'!$A$1:$M$372</definedName>
    <definedName name="_xlnm.Print_Area" localSheetId="7">'1-7'!$A$1:$M$16</definedName>
    <definedName name="_xlnm.Print_Area" localSheetId="8">'1-8'!$A$1:$M$256</definedName>
    <definedName name="_xlnm.Print_Area" localSheetId="0">'ნაერთი'!$A$1:$D$30</definedName>
  </definedNames>
  <calcPr fullCalcOnLoad="1"/>
</workbook>
</file>

<file path=xl/comments4.xml><?xml version="1.0" encoding="utf-8"?>
<comments xmlns="http://schemas.openxmlformats.org/spreadsheetml/2006/main">
  <authors>
    <author>Devi Kakhoidze</author>
  </authors>
  <commentList>
    <comment ref="C82" authorId="0">
      <text>
        <r>
          <rPr>
            <b/>
            <sz val="9"/>
            <rFont val="Tahoma"/>
            <family val="2"/>
          </rPr>
          <t>Devi Kakhoidze:</t>
        </r>
        <r>
          <rPr>
            <sz val="9"/>
            <rFont val="Tahoma"/>
            <family val="2"/>
          </rPr>
          <t xml:space="preserve">
ერთი და იგივეა?</t>
        </r>
      </text>
    </comment>
  </commentList>
</comments>
</file>

<file path=xl/sharedStrings.xml><?xml version="1.0" encoding="utf-8"?>
<sst xmlns="http://schemas.openxmlformats.org/spreadsheetml/2006/main" count="4954" uniqueCount="1222">
  <si>
    <t>jami</t>
  </si>
  <si>
    <t>#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</si>
  <si>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</si>
  <si>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</si>
  <si>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</si>
  <si>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</si>
  <si>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</si>
  <si>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</si>
  <si>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</si>
  <si>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</si>
  <si>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</si>
  <si>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</si>
  <si>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</si>
  <si>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</si>
  <si>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</si>
  <si>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kac/sT</t>
  </si>
  <si>
    <t>kv.m.</t>
  </si>
  <si>
    <t xml:space="preserve">gegmiuri mogeba </t>
  </si>
  <si>
    <t xml:space="preserve">jami  </t>
  </si>
  <si>
    <t>34-58gam.</t>
  </si>
  <si>
    <t>11-8-1;11-8-2</t>
  </si>
  <si>
    <t>11-27-6gam.</t>
  </si>
  <si>
    <t>11-30-7</t>
  </si>
  <si>
    <t>46-15-2.</t>
  </si>
  <si>
    <t xml:space="preserve"> jami</t>
  </si>
  <si>
    <t>15-52-1.</t>
  </si>
  <si>
    <t>kodi1431</t>
  </si>
  <si>
    <t>r21-87</t>
  </si>
  <si>
    <t>r1-3gam</t>
  </si>
  <si>
    <t>gauTvaliswinebeli xarjebi</t>
  </si>
  <si>
    <t xml:space="preserve">zednadebi xarjebi </t>
  </si>
  <si>
    <t>კაც/სთ</t>
  </si>
  <si>
    <t>ლარი</t>
  </si>
  <si>
    <t>კუბ.მ.</t>
  </si>
  <si>
    <t>ტონა</t>
  </si>
  <si>
    <t>საფუძველი</t>
  </si>
  <si>
    <t>ჯამი</t>
  </si>
  <si>
    <t>სულ</t>
  </si>
  <si>
    <t>ერთ.</t>
  </si>
  <si>
    <t>ფასი</t>
  </si>
  <si>
    <t>განზ.</t>
  </si>
  <si>
    <t>ერთეულზე</t>
  </si>
  <si>
    <t>46-30-1gam</t>
  </si>
  <si>
    <t>SromiTi resursebi</t>
  </si>
  <si>
    <t>manqanebi</t>
  </si>
  <si>
    <t>lari</t>
  </si>
  <si>
    <t>kub.m.</t>
  </si>
  <si>
    <t>sxva xarjebi</t>
  </si>
  <si>
    <t xml:space="preserve">Sromis danaxarjebi </t>
  </si>
  <si>
    <t>kg</t>
  </si>
  <si>
    <t>grZ.m.</t>
  </si>
  <si>
    <t>cali</t>
  </si>
  <si>
    <t>danarCeni xarjebi</t>
  </si>
  <si>
    <t xml:space="preserve">SromiTi resursebi </t>
  </si>
  <si>
    <t>proeqtiT</t>
  </si>
  <si>
    <t>10-20-3gam</t>
  </si>
  <si>
    <t>`mdf~-is kari</t>
  </si>
  <si>
    <t>karis rkina-kaveuli</t>
  </si>
  <si>
    <t>komp.</t>
  </si>
  <si>
    <t>samuSaos dasaxeleba</t>
  </si>
  <si>
    <t>ganz. 
erT.</t>
  </si>
  <si>
    <t>Rirebuleba 
lari</t>
  </si>
  <si>
    <t>1-1</t>
  </si>
  <si>
    <t xml:space="preserve">samSeneblo-saremonto samuSaoebi </t>
  </si>
  <si>
    <t xml:space="preserve">sul </t>
  </si>
  <si>
    <t xml:space="preserve">sul, jami </t>
  </si>
  <si>
    <t>1-2</t>
  </si>
  <si>
    <t>lursmani</t>
  </si>
  <si>
    <t>cementis xsnari</t>
  </si>
  <si>
    <t>xsnartumbo</t>
  </si>
  <si>
    <t>m/sT</t>
  </si>
  <si>
    <t>100kv.m.</t>
  </si>
  <si>
    <t>safuZveli</t>
  </si>
  <si>
    <t xml:space="preserve">   normatiuli resursi</t>
  </si>
  <si>
    <t>xelfasi</t>
  </si>
  <si>
    <t>masala</t>
  </si>
  <si>
    <t xml:space="preserve">samSeneblo manqanebi </t>
  </si>
  <si>
    <t>ganz.</t>
  </si>
  <si>
    <t>erT.-ze</t>
  </si>
  <si>
    <t>sul</t>
  </si>
  <si>
    <t>erT. fasi</t>
  </si>
  <si>
    <t>materialuri resursi</t>
  </si>
  <si>
    <t>kompl</t>
  </si>
  <si>
    <t>4</t>
  </si>
  <si>
    <t>erTeulze</t>
  </si>
  <si>
    <t>1-3</t>
  </si>
  <si>
    <t>1-4</t>
  </si>
  <si>
    <t>3</t>
  </si>
  <si>
    <t>saremonto-samontaJo samuSaoebi</t>
  </si>
  <si>
    <t>`amstrongis~ Sekiduli Weris mowyoba</t>
  </si>
  <si>
    <t>Sesakidi masala (kompleqti)</t>
  </si>
  <si>
    <t>15-168-7.</t>
  </si>
  <si>
    <t xml:space="preserve">saRebavi </t>
  </si>
  <si>
    <t xml:space="preserve">manqanebi </t>
  </si>
  <si>
    <t>kv.m</t>
  </si>
  <si>
    <t xml:space="preserve">sndaw
IV-2-82
8-22-1
</t>
  </si>
  <si>
    <t>xaraCoebis mowyoba da daSla fasdze</t>
  </si>
  <si>
    <r>
      <t>m</t>
    </r>
    <r>
      <rPr>
        <vertAlign val="superscript"/>
        <sz val="10"/>
        <rFont val="AcadNusx"/>
        <family val="0"/>
      </rPr>
      <t>2</t>
    </r>
  </si>
  <si>
    <t>meqanizmebi:</t>
  </si>
  <si>
    <t xml:space="preserve">                                                                                                                                                  </t>
  </si>
  <si>
    <t>sxvadasxva meqanizmebi</t>
  </si>
  <si>
    <t>srf</t>
  </si>
  <si>
    <t>masalebi:</t>
  </si>
  <si>
    <t>1-9-42</t>
  </si>
  <si>
    <t>xaraCoebis liTonis elementebi</t>
  </si>
  <si>
    <t>t</t>
  </si>
  <si>
    <t>5-1-8</t>
  </si>
  <si>
    <t>xaraCoebis xis elementebi</t>
  </si>
  <si>
    <r>
      <t>m</t>
    </r>
    <r>
      <rPr>
        <vertAlign val="superscript"/>
        <sz val="10"/>
        <rFont val="AcadNusx"/>
        <family val="0"/>
      </rPr>
      <t>3</t>
    </r>
  </si>
  <si>
    <t>5-1-121</t>
  </si>
  <si>
    <t>xis farebi dasagebi</t>
  </si>
  <si>
    <t>СН и П
IV-2-82 17-9-1</t>
  </si>
  <si>
    <t>ც</t>
  </si>
  <si>
    <t>12-8-5.</t>
  </si>
  <si>
    <t>16-6-2.</t>
  </si>
  <si>
    <t>samgrebi</t>
  </si>
  <si>
    <t>16-6-1.</t>
  </si>
  <si>
    <t>22-23-1gam</t>
  </si>
  <si>
    <t>fasonuri nawilebis  mowyoba</t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</si>
  <si>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=100mm (2000) mm</t>
    </r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</si>
  <si>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=100mm (1000) mm</t>
    </r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</si>
  <si>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=100mm (500) mm</t>
    </r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</si>
  <si>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=50mm (2000) mm</t>
    </r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</si>
  <si>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=50mm (1000) mm</t>
    </r>
  </si>
  <si>
    <r>
      <t xml:space="preserve">sakanalizacio mili </t>
    </r>
    <r>
      <rPr>
        <sz val="10"/>
        <rFont val="Calibri"/>
        <family val="2"/>
      </rPr>
      <t xml:space="preserve"> d</t>
    </r>
    <r>
      <rPr>
        <sz val="10"/>
        <rFont val="AcadNusx"/>
        <family val="0"/>
      </rPr>
      <t>=50mm (500) mm</t>
    </r>
  </si>
  <si>
    <r>
      <t xml:space="preserve">plastmasis muxli  </t>
    </r>
    <r>
      <rPr>
        <sz val="10"/>
        <rFont val="Calibri"/>
        <family val="2"/>
      </rPr>
      <t xml:space="preserve"> Ø100, 135</t>
    </r>
    <r>
      <rPr>
        <vertAlign val="superscript"/>
        <sz val="10"/>
        <rFont val="Calibri"/>
        <family val="2"/>
      </rPr>
      <t>0</t>
    </r>
  </si>
  <si>
    <r>
      <t xml:space="preserve">plastmasis muxli  </t>
    </r>
    <r>
      <rPr>
        <sz val="10"/>
        <rFont val="Calibri"/>
        <family val="2"/>
      </rPr>
      <t xml:space="preserve"> Ø50, 135</t>
    </r>
    <r>
      <rPr>
        <vertAlign val="superscript"/>
        <sz val="10"/>
        <rFont val="Calibri"/>
        <family val="2"/>
      </rPr>
      <t>0</t>
    </r>
  </si>
  <si>
    <r>
      <t xml:space="preserve">plastmasis samkapi </t>
    </r>
    <r>
      <rPr>
        <sz val="10"/>
        <rFont val="Cambria"/>
        <family val="1"/>
      </rPr>
      <t xml:space="preserve"> d=110/100, 135</t>
    </r>
    <r>
      <rPr>
        <vertAlign val="superscript"/>
        <sz val="10"/>
        <rFont val="Cambria"/>
        <family val="1"/>
      </rPr>
      <t>0</t>
    </r>
  </si>
  <si>
    <r>
      <t xml:space="preserve">plastmasis samkapi iribi </t>
    </r>
    <r>
      <rPr>
        <sz val="10"/>
        <rFont val="Cambria"/>
        <family val="1"/>
      </rPr>
      <t xml:space="preserve"> d=110/50, 135</t>
    </r>
    <r>
      <rPr>
        <vertAlign val="superscript"/>
        <sz val="10"/>
        <rFont val="Cambria"/>
        <family val="1"/>
      </rPr>
      <t>0</t>
    </r>
  </si>
  <si>
    <r>
      <t xml:space="preserve">plastmasis samkapi </t>
    </r>
    <r>
      <rPr>
        <sz val="10"/>
        <rFont val="Cambria"/>
        <family val="1"/>
      </rPr>
      <t xml:space="preserve"> d=50/50, 135</t>
    </r>
    <r>
      <rPr>
        <vertAlign val="superscript"/>
        <sz val="10"/>
        <rFont val="Cambria"/>
        <family val="1"/>
      </rPr>
      <t>0</t>
    </r>
  </si>
  <si>
    <r>
      <t xml:space="preserve">plastmasis muxli  </t>
    </r>
    <r>
      <rPr>
        <sz val="10"/>
        <rFont val="Calibri"/>
        <family val="2"/>
      </rPr>
      <t xml:space="preserve"> Ø50, 90</t>
    </r>
    <r>
      <rPr>
        <vertAlign val="superscript"/>
        <sz val="10"/>
        <rFont val="Calibri"/>
        <family val="2"/>
      </rPr>
      <t>0</t>
    </r>
  </si>
  <si>
    <r>
      <t xml:space="preserve">plastmasis jvaredini </t>
    </r>
    <r>
      <rPr>
        <sz val="10"/>
        <rFont val="Cambria"/>
        <family val="1"/>
      </rPr>
      <t xml:space="preserve">  </t>
    </r>
    <r>
      <rPr>
        <sz val="10"/>
        <rFont val="Calibri"/>
        <family val="2"/>
      </rPr>
      <t>α</t>
    </r>
    <r>
      <rPr>
        <sz val="10"/>
        <rFont val="Cambria"/>
        <family val="1"/>
      </rPr>
      <t>=135  d=100/100</t>
    </r>
  </si>
  <si>
    <r>
      <t xml:space="preserve">plastmasis gadamyvani </t>
    </r>
    <r>
      <rPr>
        <sz val="10"/>
        <rFont val="Cambria"/>
        <family val="1"/>
      </rPr>
      <t xml:space="preserve"> d=100/50</t>
    </r>
  </si>
  <si>
    <t>16-24-4.</t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</si>
  <si>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=32mm</t>
    </r>
  </si>
  <si>
    <t>16-24-3.</t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</si>
  <si>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=25mm</t>
    </r>
  </si>
  <si>
    <t>samagrebi</t>
  </si>
  <si>
    <t>mili  polieTilenis d=63 mm</t>
  </si>
  <si>
    <r>
      <t xml:space="preserve">wyalsadenis polieTilenis  milebis mowyoba d=40mm </t>
    </r>
    <r>
      <rPr>
        <b/>
        <sz val="11"/>
        <rFont val="Times New Roman"/>
        <family val="1"/>
      </rPr>
      <t>PP-R PN20</t>
    </r>
  </si>
  <si>
    <r>
      <t>wyalsadenis polieTilenis  milebis mowyoba d=50mm</t>
    </r>
    <r>
      <rPr>
        <b/>
        <sz val="11"/>
        <rFont val="Times New Roman"/>
        <family val="1"/>
      </rPr>
      <t xml:space="preserve"> PP-R PN20</t>
    </r>
  </si>
  <si>
    <t>16-11-1.gam</t>
  </si>
  <si>
    <t>samkapi polieTilenis d=63/63 mm</t>
  </si>
  <si>
    <t>samkapi polieTilenis d=63/50 mm</t>
  </si>
  <si>
    <t>samkapi polieTilenis d=50/25 mm</t>
  </si>
  <si>
    <t>samkapi polieTilenis d=40/25 mm</t>
  </si>
  <si>
    <t>samkapi polieTilenis d=32/25 mm</t>
  </si>
  <si>
    <t>samkapi polieTilenis d=25/25 mm</t>
  </si>
  <si>
    <t>16-12-1.</t>
  </si>
  <si>
    <r>
      <t xml:space="preserve">ventili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=25mm</t>
    </r>
  </si>
  <si>
    <r>
      <t xml:space="preserve">ventili </t>
    </r>
    <r>
      <rPr>
        <sz val="10"/>
        <rFont val="Cambria"/>
        <family val="1"/>
      </rPr>
      <t>d</t>
    </r>
    <r>
      <rPr>
        <sz val="10"/>
        <rFont val="AcadNusx"/>
        <family val="0"/>
      </rPr>
      <t>=63mm</t>
    </r>
  </si>
  <si>
    <r>
      <t xml:space="preserve">ventili </t>
    </r>
    <r>
      <rPr>
        <sz val="10"/>
        <rFont val="Cambria"/>
        <family val="1"/>
      </rPr>
      <t>d</t>
    </r>
    <r>
      <rPr>
        <sz val="10"/>
        <rFont val="AcadNusx"/>
        <family val="0"/>
      </rPr>
      <t>=40mm</t>
    </r>
  </si>
  <si>
    <t>arkos ventili</t>
  </si>
  <si>
    <t>gadamyvani 63X50</t>
  </si>
  <si>
    <t>gadamyvani 50X40</t>
  </si>
  <si>
    <t>gadamyvani 40X32</t>
  </si>
  <si>
    <t>gadamyvani 32X25</t>
  </si>
  <si>
    <r>
      <t xml:space="preserve">milis Rirebuleba </t>
    </r>
    <r>
      <rPr>
        <sz val="10"/>
        <rFont val="Cambria"/>
        <family val="1"/>
      </rPr>
      <t>d=2</t>
    </r>
    <r>
      <rPr>
        <sz val="10"/>
        <rFont val="AcadNusx"/>
        <family val="0"/>
      </rPr>
      <t>0mm</t>
    </r>
  </si>
  <si>
    <t>16-24-2.</t>
  </si>
  <si>
    <t>samkapi polieTilenis d=32/32 mm</t>
  </si>
  <si>
    <t>samkapi polieTilenis d=32/20 mm</t>
  </si>
  <si>
    <t>gadamyvani 25/20</t>
  </si>
  <si>
    <r>
      <t xml:space="preserve">ventili </t>
    </r>
    <r>
      <rPr>
        <sz val="10"/>
        <rFont val="Cambria"/>
        <family val="1"/>
      </rPr>
      <t>d</t>
    </r>
    <r>
      <rPr>
        <sz val="10"/>
        <rFont val="AcadNusx"/>
        <family val="0"/>
      </rPr>
      <t>=32 mm</t>
    </r>
  </si>
  <si>
    <t>1-23-6</t>
  </si>
  <si>
    <t>III kat. gruntis damuSaveba eqskavatoriT muxluxa svlaze, CamCis moc. 0,25kub.m.avtoTviTmclelebze datvirTviT</t>
  </si>
  <si>
    <t>eqskavatoris eqspluatacia</t>
  </si>
  <si>
    <t>sxva manqanebi</t>
  </si>
  <si>
    <t>gare sakanalizacio qselis mowyoba</t>
  </si>
  <si>
    <t>1000m3</t>
  </si>
  <si>
    <t>1-961</t>
  </si>
  <si>
    <t>tranSeis damuSaveba III kat. gruntSi xeliT</t>
  </si>
  <si>
    <t>kub.m</t>
  </si>
  <si>
    <t>23-1-1.</t>
  </si>
  <si>
    <t>qviSis baliSis mowyoba milebis qveS sisqiT 10sm</t>
  </si>
  <si>
    <t>qviSa</t>
  </si>
  <si>
    <t>1-81-1</t>
  </si>
  <si>
    <t xml:space="preserve">qviSis Cayra TxrilSi xeliT, datkepniT </t>
  </si>
  <si>
    <t>normatiuli Sromatevadoba</t>
  </si>
  <si>
    <t>1-81-2</t>
  </si>
  <si>
    <t>tranSeis Sevseba balastiT</t>
  </si>
  <si>
    <t>balasti</t>
  </si>
  <si>
    <t>en da g</t>
  </si>
  <si>
    <t>gruntis datvirTva xeliT avtoT.</t>
  </si>
  <si>
    <t>1-22-1</t>
  </si>
  <si>
    <t xml:space="preserve">  24X1,9=</t>
  </si>
  <si>
    <t>tona</t>
  </si>
  <si>
    <t>gruntis transportireba</t>
  </si>
  <si>
    <t xml:space="preserve">15km-ze </t>
  </si>
  <si>
    <t>srf2018-III</t>
  </si>
  <si>
    <t>T15 p.15</t>
  </si>
  <si>
    <t>23-12-1</t>
  </si>
  <si>
    <t>betoni ~m200~</t>
  </si>
  <si>
    <t>Casasvleli kauWebi</t>
  </si>
  <si>
    <r>
      <t xml:space="preserve">kanalizaciis anakrebi rk/betonis Wis mowyoba Ø=1,0m </t>
    </r>
  </si>
  <si>
    <t>rkinabetonis Ziris fila</t>
  </si>
  <si>
    <t>rkinabetonis fila Tujis CarCo xufiT</t>
  </si>
  <si>
    <t>8-3-2.</t>
  </si>
  <si>
    <t xml:space="preserve">RorRi </t>
  </si>
  <si>
    <t>RorRis safuZvlis mowyoba sisq.10 sm</t>
  </si>
  <si>
    <t>8-4-7.</t>
  </si>
  <si>
    <t>100kv.m</t>
  </si>
  <si>
    <t>biTumis mastika</t>
  </si>
  <si>
    <t>22-8-6.</t>
  </si>
  <si>
    <t>Wis gare zedapirze hidroizolacia  ori fena biTumis wasmiT</t>
  </si>
  <si>
    <t xml:space="preserve">mili gofrirebuli d=150mm </t>
  </si>
  <si>
    <t>16-8-3.</t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</si>
  <si>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=80mm</t>
    </r>
  </si>
  <si>
    <r>
      <t xml:space="preserve">foladis milebis mowyoba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 xml:space="preserve">=80mm, </t>
    </r>
    <r>
      <rPr>
        <b/>
        <sz val="10"/>
        <rFont val="Calibri"/>
        <family val="2"/>
      </rPr>
      <t>δ</t>
    </r>
    <r>
      <rPr>
        <b/>
        <sz val="10"/>
        <rFont val="AcadNusx"/>
        <family val="0"/>
      </rPr>
      <t xml:space="preserve">=4.0  </t>
    </r>
  </si>
  <si>
    <t>16-8-1.</t>
  </si>
  <si>
    <r>
      <t xml:space="preserve">milis Rirebuleba </t>
    </r>
    <r>
      <rPr>
        <sz val="10"/>
        <rFont val="Cambria"/>
        <family val="1"/>
      </rPr>
      <t>d</t>
    </r>
    <r>
      <rPr>
        <sz val="10"/>
        <rFont val="AcadNusx"/>
        <family val="0"/>
      </rPr>
      <t>=50mm</t>
    </r>
  </si>
  <si>
    <r>
      <t xml:space="preserve">foladis milebis mowyoba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 xml:space="preserve">=50mm, </t>
    </r>
    <r>
      <rPr>
        <b/>
        <sz val="10"/>
        <rFont val="Calibri"/>
        <family val="2"/>
      </rPr>
      <t>δ</t>
    </r>
    <r>
      <rPr>
        <b/>
        <sz val="10"/>
        <rFont val="AcadNusx"/>
        <family val="0"/>
      </rPr>
      <t xml:space="preserve">=2.8   </t>
    </r>
  </si>
  <si>
    <t>16-8-2.</t>
  </si>
  <si>
    <r>
      <t xml:space="preserve">milis Rirebuleba </t>
    </r>
    <r>
      <rPr>
        <sz val="10"/>
        <rFont val="Cambria"/>
        <family val="1"/>
      </rPr>
      <t>(DN90 (101,6</t>
    </r>
    <r>
      <rPr>
        <sz val="10"/>
        <rFont val="AcadNusx"/>
        <family val="0"/>
      </rPr>
      <t>mm</t>
    </r>
    <r>
      <rPr>
        <sz val="10"/>
        <rFont val="Cambria"/>
        <family val="1"/>
      </rPr>
      <t>, კედლის სისქე 3მმ)</t>
    </r>
  </si>
  <si>
    <t>16-11-2,</t>
  </si>
  <si>
    <t>foladis milsadenis fasonuri nawilebis mowyoba</t>
  </si>
  <si>
    <r>
      <t xml:space="preserve">foladis samkapi </t>
    </r>
    <r>
      <rPr>
        <sz val="10"/>
        <rFont val="Cambria"/>
        <family val="1"/>
      </rPr>
      <t>DN=90/90</t>
    </r>
  </si>
  <si>
    <r>
      <t xml:space="preserve">foladis samkapi </t>
    </r>
    <r>
      <rPr>
        <sz val="10"/>
        <rFont val="Cambria"/>
        <family val="1"/>
      </rPr>
      <t>DN=40/40</t>
    </r>
  </si>
  <si>
    <r>
      <t xml:space="preserve">foladis samkapi </t>
    </r>
    <r>
      <rPr>
        <sz val="10"/>
        <rFont val="Cambria"/>
        <family val="1"/>
      </rPr>
      <t>DN=32/25</t>
    </r>
  </si>
  <si>
    <r>
      <t xml:space="preserve">foladis muxli </t>
    </r>
    <r>
      <rPr>
        <sz val="10"/>
        <rFont val="Cambria"/>
        <family val="1"/>
      </rPr>
      <t>DN=90</t>
    </r>
  </si>
  <si>
    <r>
      <t xml:space="preserve">foladis muxli </t>
    </r>
    <r>
      <rPr>
        <sz val="10"/>
        <rFont val="Cambria"/>
        <family val="1"/>
      </rPr>
      <t>DN=40</t>
    </r>
  </si>
  <si>
    <r>
      <t xml:space="preserve">foladis muxli </t>
    </r>
    <r>
      <rPr>
        <sz val="10"/>
        <rFont val="Cambria"/>
        <family val="1"/>
      </rPr>
      <t>DN=25</t>
    </r>
  </si>
  <si>
    <r>
      <t xml:space="preserve">foladis gadamyvani </t>
    </r>
    <r>
      <rPr>
        <sz val="10"/>
        <rFont val="Cambria"/>
        <family val="1"/>
      </rPr>
      <t>DN=90/63</t>
    </r>
  </si>
  <si>
    <r>
      <t xml:space="preserve">foladis gadamyvani </t>
    </r>
    <r>
      <rPr>
        <sz val="10"/>
        <rFont val="Cambria"/>
        <family val="1"/>
      </rPr>
      <t>DN=90/40</t>
    </r>
  </si>
  <si>
    <r>
      <t xml:space="preserve">foladis gadamyvani </t>
    </r>
    <r>
      <rPr>
        <sz val="10"/>
        <rFont val="Cambria"/>
        <family val="1"/>
      </rPr>
      <t>DN=63/50</t>
    </r>
  </si>
  <si>
    <r>
      <t xml:space="preserve">foladis gadamyvani </t>
    </r>
    <r>
      <rPr>
        <sz val="10"/>
        <rFont val="Cambria"/>
        <family val="1"/>
      </rPr>
      <t>DN=63/40</t>
    </r>
  </si>
  <si>
    <r>
      <t xml:space="preserve">foladis gadamyvani </t>
    </r>
    <r>
      <rPr>
        <sz val="10"/>
        <rFont val="Cambria"/>
        <family val="1"/>
      </rPr>
      <t>DN=50/40</t>
    </r>
  </si>
  <si>
    <r>
      <t xml:space="preserve">foladis gadamyvani </t>
    </r>
    <r>
      <rPr>
        <sz val="10"/>
        <rFont val="Cambria"/>
        <family val="1"/>
      </rPr>
      <t>DN=40/32</t>
    </r>
  </si>
  <si>
    <r>
      <t xml:space="preserve">foladis gadamyvani </t>
    </r>
    <r>
      <rPr>
        <sz val="10"/>
        <rFont val="Cambria"/>
        <family val="1"/>
      </rPr>
      <t>DN=40/25</t>
    </r>
  </si>
  <si>
    <r>
      <t xml:space="preserve">foladis gadamyvani </t>
    </r>
    <r>
      <rPr>
        <sz val="10"/>
        <rFont val="Cambria"/>
        <family val="1"/>
      </rPr>
      <t>DN=32/25</t>
    </r>
  </si>
  <si>
    <t>46-23-4</t>
  </si>
  <si>
    <t>m3</t>
  </si>
  <si>
    <t>aguris parapetis demontaJi</t>
  </si>
  <si>
    <t>46-28-1</t>
  </si>
  <si>
    <t>rulonuri gadaxurvis demontaJi</t>
  </si>
  <si>
    <t>100m2</t>
  </si>
  <si>
    <t>cementis moWimvis moxsna</t>
  </si>
  <si>
    <t>damaTbunebeli fenis moxsna</t>
  </si>
  <si>
    <t>46-23-3</t>
  </si>
  <si>
    <t>r/betonis rigelebis demontaJi</t>
  </si>
  <si>
    <t>fasadze kedlebidan arsebuli nalesis moxsna</t>
  </si>
  <si>
    <t>9-4-6.</t>
  </si>
  <si>
    <t>samontaJo elementebi</t>
  </si>
  <si>
    <t>kg.</t>
  </si>
  <si>
    <t>9-32-12gam.</t>
  </si>
  <si>
    <t>saavtomobilo amwe 16 toniani</t>
  </si>
  <si>
    <t>konstruqciis Rirebuleba</t>
  </si>
  <si>
    <t>eleqtrodi</t>
  </si>
  <si>
    <t>9-12-1.</t>
  </si>
  <si>
    <t>kodi0438</t>
  </si>
  <si>
    <t>jojgina amwe 30 toniani</t>
  </si>
  <si>
    <t>kodi0491</t>
  </si>
  <si>
    <t>amwe muxluxa svlaze 40toniani</t>
  </si>
  <si>
    <t>proeq.</t>
  </si>
  <si>
    <t>Sveleri #36</t>
  </si>
  <si>
    <t>Sveleri #18</t>
  </si>
  <si>
    <t>kuTxovana 100X6.5</t>
  </si>
  <si>
    <t>liTonis horizontaluri kavSirebis (hk-1) montaJi (ix. proeqti)</t>
  </si>
  <si>
    <t>9-16-1.</t>
  </si>
  <si>
    <t>kodi0412</t>
  </si>
  <si>
    <t>amwe koSkura 50toniani</t>
  </si>
  <si>
    <t>kodi0439</t>
  </si>
  <si>
    <t>jojgina amwe 30toniani</t>
  </si>
  <si>
    <t>furclovani foladi</t>
  </si>
  <si>
    <t>liTonis vertikaluri kavSirebis mowyoba (vk-1)</t>
  </si>
  <si>
    <t>kvadratuli mili 100X4</t>
  </si>
  <si>
    <t>liTonis furceli -6X120</t>
  </si>
  <si>
    <t>6-16-1.</t>
  </si>
  <si>
    <t>yalibis fari</t>
  </si>
  <si>
    <t>yalibis ficari IIx. 25-32mm-iani</t>
  </si>
  <si>
    <t>igive, IIx. 40mm-iani da meti</t>
  </si>
  <si>
    <t>yalibis ficari IIIx. 40mm-iani</t>
  </si>
  <si>
    <t>betoni ~B22,5~</t>
  </si>
  <si>
    <t>betoni ~b-25~</t>
  </si>
  <si>
    <r>
      <t xml:space="preserve">armatura </t>
    </r>
    <r>
      <rPr>
        <sz val="10"/>
        <rFont val="Calibri"/>
        <family val="2"/>
      </rPr>
      <t>Ø10 A 500 C</t>
    </r>
  </si>
  <si>
    <t>tn</t>
  </si>
  <si>
    <r>
      <t xml:space="preserve">armatura </t>
    </r>
    <r>
      <rPr>
        <sz val="10"/>
        <rFont val="Calibri"/>
        <family val="2"/>
      </rPr>
      <t>Ø12 A 500 C</t>
    </r>
  </si>
  <si>
    <r>
      <t xml:space="preserve">armatura </t>
    </r>
    <r>
      <rPr>
        <sz val="10"/>
        <rFont val="Calibri"/>
        <family val="2"/>
      </rPr>
      <t>Ø8 A 240 C</t>
    </r>
  </si>
  <si>
    <t>6-15-8.</t>
  </si>
  <si>
    <t xml:space="preserve"> betoni ~B30~</t>
  </si>
  <si>
    <r>
      <t xml:space="preserve">armatura </t>
    </r>
    <r>
      <rPr>
        <sz val="10"/>
        <rFont val="Calibri"/>
        <family val="2"/>
      </rPr>
      <t>Ø14 A 500 C</t>
    </r>
  </si>
  <si>
    <r>
      <t xml:space="preserve">armatura </t>
    </r>
    <r>
      <rPr>
        <sz val="10"/>
        <rFont val="Calibri"/>
        <family val="2"/>
      </rPr>
      <t>Ø20 A 500 C</t>
    </r>
  </si>
  <si>
    <r>
      <t xml:space="preserve">armatura </t>
    </r>
    <r>
      <rPr>
        <sz val="10"/>
        <rFont val="Calibri"/>
        <family val="2"/>
      </rPr>
      <t>Ø28 A 500 C</t>
    </r>
  </si>
  <si>
    <t>monoliTuri r/b rigelebi (mr-3)-is mowyoba</t>
  </si>
  <si>
    <t>monoliTuri r/b rigelebi (mr-4)-is mowyoba</t>
  </si>
  <si>
    <t>6-15-2.</t>
  </si>
  <si>
    <t>yalibis ficari IIx. 40mm-iani da meti</t>
  </si>
  <si>
    <t>liTonis faxverkis montaJi (ix.proeqti)</t>
  </si>
  <si>
    <t>liTonis konstruqciis (6.55 liTonis dgarebis, saxuravis elementebis) montaJi (ix.proeqti)</t>
  </si>
  <si>
    <t>fasadze liTonis karkasis mowyoba</t>
  </si>
  <si>
    <t>kvadratuli mili 100X50X4</t>
  </si>
  <si>
    <t>kodi0488</t>
  </si>
  <si>
    <t>qanCi</t>
  </si>
  <si>
    <r>
      <t>ortesebri #360 (</t>
    </r>
    <r>
      <rPr>
        <sz val="10"/>
        <rFont val="Times New Roman"/>
        <family val="1"/>
      </rPr>
      <t>IPE-A</t>
    </r>
    <r>
      <rPr>
        <sz val="10"/>
        <rFont val="AcadNusx"/>
        <family val="0"/>
      </rPr>
      <t>)</t>
    </r>
  </si>
  <si>
    <r>
      <t>ortesebri #500 (</t>
    </r>
    <r>
      <rPr>
        <sz val="10"/>
        <rFont val="Times New Roman"/>
        <family val="1"/>
      </rPr>
      <t>IPE-A</t>
    </r>
    <r>
      <rPr>
        <sz val="10"/>
        <rFont val="AcadNusx"/>
        <family val="0"/>
      </rPr>
      <t>)</t>
    </r>
  </si>
  <si>
    <r>
      <t xml:space="preserve">armatura d-16 </t>
    </r>
    <r>
      <rPr>
        <sz val="10"/>
        <rFont val="Times New Roman"/>
        <family val="1"/>
      </rPr>
      <t>A-240</t>
    </r>
  </si>
  <si>
    <r>
      <t>ortesebri #180 (</t>
    </r>
    <r>
      <rPr>
        <sz val="10"/>
        <rFont val="Times New Roman"/>
        <family val="1"/>
      </rPr>
      <t>IPE-A</t>
    </r>
    <r>
      <rPr>
        <sz val="10"/>
        <rFont val="AcadNusx"/>
        <family val="0"/>
      </rPr>
      <t>)</t>
    </r>
  </si>
  <si>
    <t>9-7-2.</t>
  </si>
  <si>
    <t>amwe 10 toniani</t>
  </si>
  <si>
    <t>6-16-5.</t>
  </si>
  <si>
    <t>mon. r/b kibeebis (kibe-2) mowyoba</t>
  </si>
  <si>
    <t xml:space="preserve">liTonis kibis (kibe-2) mowyoba </t>
  </si>
  <si>
    <t xml:space="preserve">liTonis kibis (kibe-3) mowyoba </t>
  </si>
  <si>
    <t>6-15-13.</t>
  </si>
  <si>
    <t xml:space="preserve">balasti </t>
  </si>
  <si>
    <t>6-1-19.</t>
  </si>
  <si>
    <t>betoni ~m300~</t>
  </si>
  <si>
    <t>yalibis ficari IIIx. 25-32mm-iani</t>
  </si>
  <si>
    <t>pandusSi balastis Cayra</t>
  </si>
  <si>
    <t>monoliTuri r/b pandusis mowyoba</t>
  </si>
  <si>
    <t>34-33-6</t>
  </si>
  <si>
    <t>saRebavi  zeTovani</t>
  </si>
  <si>
    <t>avzis mowyobis samuSaoebi</t>
  </si>
  <si>
    <t>1-11-15,</t>
  </si>
  <si>
    <t>kodi0919</t>
  </si>
  <si>
    <t>1-80-3</t>
  </si>
  <si>
    <t>en da g             1-22-1</t>
  </si>
  <si>
    <t>T13 p.25</t>
  </si>
  <si>
    <t xml:space="preserve">25km-ze </t>
  </si>
  <si>
    <t>III kat. gruntis damuSaveba qvabulSi eqskavatoriT muxluxa svlaze, CamCis moc. 0,65kub.m. a/TviTmclelze datvirTviT</t>
  </si>
  <si>
    <t>6-1-1.</t>
  </si>
  <si>
    <t xml:space="preserve">betonis momzadeba </t>
  </si>
  <si>
    <t>betoni ~b-15~</t>
  </si>
  <si>
    <t>8-4-5.</t>
  </si>
  <si>
    <t>mastika</t>
  </si>
  <si>
    <t>IZOMASTER C-200</t>
  </si>
  <si>
    <t>IZOMASTER C-300</t>
  </si>
  <si>
    <t>8-4-2.</t>
  </si>
  <si>
    <t>saZirkvlis horizontaluri 1 fena hidroizolacia</t>
  </si>
  <si>
    <t>6-14-9.</t>
  </si>
  <si>
    <t>Zelaki III x. 40-60mm-iani</t>
  </si>
  <si>
    <t xml:space="preserve">samSeneblo WanWiki </t>
  </si>
  <si>
    <t>8-4-1.</t>
  </si>
  <si>
    <t>cementis xsnari ~m25~</t>
  </si>
  <si>
    <t>kedlebis da gadaxurvis gare perimetrze hidroizolaciis mowyoba</t>
  </si>
  <si>
    <t xml:space="preserve">jami II:  </t>
  </si>
  <si>
    <t>Tavi I</t>
  </si>
  <si>
    <t xml:space="preserve">jami I:  </t>
  </si>
  <si>
    <t xml:space="preserve">Tavi II </t>
  </si>
  <si>
    <t>monoliTuri r/betonis samuSaoebi</t>
  </si>
  <si>
    <t>betopanis fila</t>
  </si>
  <si>
    <t>9-4-1.gam.</t>
  </si>
  <si>
    <t>kodi0489</t>
  </si>
  <si>
    <t>amwe muxluxa svlaze 25toniani</t>
  </si>
  <si>
    <t>sendviC paneli (poliureTanisagan kompleqti) sisqiT 100 mm</t>
  </si>
  <si>
    <t>Tunuqi Seferili</t>
  </si>
  <si>
    <t>12-8-4.</t>
  </si>
  <si>
    <t>100m</t>
  </si>
  <si>
    <t>WanWiki</t>
  </si>
  <si>
    <t>naWedi</t>
  </si>
  <si>
    <t>Zabri</t>
  </si>
  <si>
    <t>feradi Tunuqis mili d-150 mm</t>
  </si>
  <si>
    <t xml:space="preserve">m </t>
  </si>
  <si>
    <t>15-6-4.</t>
  </si>
  <si>
    <t xml:space="preserve">fasadis mopirkeTeba eklaris qviT </t>
  </si>
  <si>
    <t>kedlebis SeRebva wyalemulsiuri saRebaviT</t>
  </si>
  <si>
    <t>webovan-zeTovani safiTxni</t>
  </si>
  <si>
    <t>9-14-6.</t>
  </si>
  <si>
    <t>Seminuli aluminis kar-fanjara Rirebuleba</t>
  </si>
  <si>
    <t xml:space="preserve"> amwe muxluxa svlaze 16t</t>
  </si>
  <si>
    <t>SromiTi resursebi 18,8+0,34X10=</t>
  </si>
  <si>
    <t>manqanebi 0,95+0,23X10=</t>
  </si>
  <si>
    <t>cementis xsnari ~m100~ 2,04+0,51X10=</t>
  </si>
  <si>
    <t>11-3-1,2</t>
  </si>
  <si>
    <t>biTumis sagrunti</t>
  </si>
  <si>
    <t xml:space="preserve">aivanze hidroizolaciis mowyoba 2 fena </t>
  </si>
  <si>
    <t>linekrmi (qveda fena)</t>
  </si>
  <si>
    <t>linekromi (zeda fena)</t>
  </si>
  <si>
    <t>15-60-4.</t>
  </si>
  <si>
    <t>15-168-8</t>
  </si>
  <si>
    <t>saRebavi</t>
  </si>
  <si>
    <t>aivnis Weris SeRebva wyalemulsiuri saRebaviT</t>
  </si>
  <si>
    <t>7-58-1</t>
  </si>
  <si>
    <t>100grZ.m.</t>
  </si>
  <si>
    <t>liTonis moajiri</t>
  </si>
  <si>
    <t>cementi ~m400~</t>
  </si>
  <si>
    <t>15-164-8</t>
  </si>
  <si>
    <t>zeTis kolori</t>
  </si>
  <si>
    <t>saRebavi sresili</t>
  </si>
  <si>
    <t>olifa</t>
  </si>
  <si>
    <t>qvabamba (sisiqiT 10sm)</t>
  </si>
  <si>
    <t>10-10-3gam.</t>
  </si>
  <si>
    <t>nestgamZle TabaSirmuyao  (kompleqti)</t>
  </si>
  <si>
    <t>11-27-3gam</t>
  </si>
  <si>
    <t>plintusi</t>
  </si>
  <si>
    <t>iatakze keramogranitis filebis dageba</t>
  </si>
  <si>
    <t>keramogranitis filebi</t>
  </si>
  <si>
    <t>11-28-1.</t>
  </si>
  <si>
    <t>xaliCis dageba</t>
  </si>
  <si>
    <t>webo</t>
  </si>
  <si>
    <t>xaliCa</t>
  </si>
  <si>
    <t>laminatis iatakis mowyoba</t>
  </si>
  <si>
    <t>laminirebuli iataki</t>
  </si>
  <si>
    <t>laminirebuli plintusi</t>
  </si>
  <si>
    <t>`mdf~-is karis mowyoba</t>
  </si>
  <si>
    <t>maRal fligelTan laminirebuli karis mowyoba</t>
  </si>
  <si>
    <t>laminirebuli kari</t>
  </si>
  <si>
    <t>16-13-5. gam</t>
  </si>
  <si>
    <t xml:space="preserve">sprinkleri Weris </t>
  </si>
  <si>
    <t xml:space="preserve">sprinkleri </t>
  </si>
  <si>
    <t>18-15-2</t>
  </si>
  <si>
    <t xml:space="preserve">manometri </t>
  </si>
  <si>
    <t>16-12-2.</t>
  </si>
  <si>
    <t>WanWiki qanCiT da moqloniT</t>
  </si>
  <si>
    <r>
      <t xml:space="preserve">urdulis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 xml:space="preserve">=90 </t>
    </r>
  </si>
  <si>
    <r>
      <t xml:space="preserve">urduli soliseburi Ria mdgomareobis indikaciiT </t>
    </r>
    <r>
      <rPr>
        <sz val="11"/>
        <rFont val="Cambria"/>
        <family val="1"/>
      </rPr>
      <t>DN</t>
    </r>
    <r>
      <rPr>
        <sz val="11"/>
        <rFont val="AcadNusx"/>
        <family val="0"/>
      </rPr>
      <t>=90</t>
    </r>
  </si>
  <si>
    <r>
      <t xml:space="preserve">ukusarqvelis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>=90</t>
    </r>
  </si>
  <si>
    <r>
      <t xml:space="preserve">ukusarqvekis </t>
    </r>
    <r>
      <rPr>
        <sz val="11"/>
        <rFont val="Cambria"/>
        <family val="1"/>
      </rPr>
      <t>DN</t>
    </r>
    <r>
      <rPr>
        <sz val="11"/>
        <rFont val="AcadNusx"/>
        <family val="0"/>
      </rPr>
      <t>=90mm</t>
    </r>
  </si>
  <si>
    <t>miltuCi</t>
  </si>
  <si>
    <t>12-1087-12</t>
  </si>
  <si>
    <r>
      <t xml:space="preserve">siTxis nakadis sensori </t>
    </r>
    <r>
      <rPr>
        <b/>
        <sz val="11"/>
        <rFont val="Cambria"/>
        <family val="1"/>
      </rPr>
      <t>DN=32</t>
    </r>
    <r>
      <rPr>
        <b/>
        <sz val="11"/>
        <rFont val="AcadNusx"/>
        <family val="0"/>
      </rPr>
      <t xml:space="preserve"> </t>
    </r>
  </si>
  <si>
    <r>
      <t xml:space="preserve">siTxis nakadis sensori </t>
    </r>
    <r>
      <rPr>
        <sz val="11"/>
        <rFont val="Cambria"/>
        <family val="1"/>
      </rPr>
      <t>DN</t>
    </r>
    <r>
      <rPr>
        <sz val="11"/>
        <rFont val="AcadNusx"/>
        <family val="0"/>
      </rPr>
      <t>=32mm</t>
    </r>
  </si>
  <si>
    <r>
      <t xml:space="preserve">ventili burTuliani </t>
    </r>
    <r>
      <rPr>
        <sz val="10"/>
        <rFont val="Cambria"/>
        <family val="1"/>
      </rPr>
      <t>DN</t>
    </r>
    <r>
      <rPr>
        <sz val="10"/>
        <rFont val="AcadNusx"/>
        <family val="0"/>
      </rPr>
      <t>=32</t>
    </r>
  </si>
  <si>
    <r>
      <t xml:space="preserve">ventilebis mowyoba </t>
    </r>
  </si>
  <si>
    <t>saxanZro hidranti</t>
  </si>
  <si>
    <t>16-16-1.</t>
  </si>
  <si>
    <t>ventili</t>
  </si>
  <si>
    <t>saxanZro karada</t>
  </si>
  <si>
    <t xml:space="preserve">saxanZro  karada sakidi, wiTeli zomiT </t>
  </si>
  <si>
    <t>saxanZro sadguri</t>
  </si>
  <si>
    <t>saxanZro wyalmomarageba</t>
  </si>
  <si>
    <r>
      <t xml:space="preserve">urdulis (soliseburi)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 xml:space="preserve">=90 </t>
    </r>
  </si>
  <si>
    <r>
      <t xml:space="preserve">miltuCi </t>
    </r>
    <r>
      <rPr>
        <sz val="11"/>
        <rFont val="Cambria"/>
        <family val="1"/>
      </rPr>
      <t>d</t>
    </r>
    <r>
      <rPr>
        <sz val="11"/>
        <rFont val="AcadNusx"/>
        <family val="0"/>
      </rPr>
      <t>=90</t>
    </r>
  </si>
  <si>
    <r>
      <t xml:space="preserve">urdulis (tivtiva meqanizmiT)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 xml:space="preserve">=90 </t>
    </r>
  </si>
  <si>
    <r>
      <t xml:space="preserve">urduli tivtiva meqanizmiT </t>
    </r>
    <r>
      <rPr>
        <sz val="11"/>
        <rFont val="Cambria"/>
        <family val="1"/>
      </rPr>
      <t>DN</t>
    </r>
    <r>
      <rPr>
        <sz val="11"/>
        <rFont val="AcadNusx"/>
        <family val="0"/>
      </rPr>
      <t>=90</t>
    </r>
  </si>
  <si>
    <t>saxanZro qvedanayofis mierTeba</t>
  </si>
  <si>
    <r>
      <t xml:space="preserve">ukusarqveli </t>
    </r>
    <r>
      <rPr>
        <sz val="11"/>
        <rFont val="Cambria"/>
        <family val="1"/>
      </rPr>
      <t>DN</t>
    </r>
    <r>
      <rPr>
        <sz val="11"/>
        <rFont val="AcadNusx"/>
        <family val="0"/>
      </rPr>
      <t>=90</t>
    </r>
  </si>
  <si>
    <r>
      <t xml:space="preserve">saxanZro misaerTebeli onkanis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 xml:space="preserve">=80 </t>
    </r>
  </si>
  <si>
    <r>
      <t xml:space="preserve">saxanZro misaerTebeli onkani </t>
    </r>
    <r>
      <rPr>
        <sz val="11"/>
        <rFont val="Cambria"/>
        <family val="1"/>
      </rPr>
      <t>DN</t>
    </r>
    <r>
      <rPr>
        <sz val="11"/>
        <rFont val="AcadNusx"/>
        <family val="0"/>
      </rPr>
      <t>=80</t>
    </r>
  </si>
  <si>
    <t>18-14-7.</t>
  </si>
  <si>
    <r>
      <t xml:space="preserve">filtri </t>
    </r>
    <r>
      <rPr>
        <sz val="11"/>
        <rFont val="Cambria"/>
        <family val="1"/>
      </rPr>
      <t>DN</t>
    </r>
    <r>
      <rPr>
        <sz val="11"/>
        <rFont val="AcadNusx"/>
        <family val="0"/>
      </rPr>
      <t>=90</t>
    </r>
  </si>
  <si>
    <r>
      <t xml:space="preserve">el. sarqvelis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>=50</t>
    </r>
  </si>
  <si>
    <r>
      <t xml:space="preserve">el. sarqveli </t>
    </r>
    <r>
      <rPr>
        <sz val="11"/>
        <rFont val="Cambria"/>
        <family val="1"/>
      </rPr>
      <t>DN</t>
    </r>
    <r>
      <rPr>
        <sz val="11"/>
        <rFont val="AcadNusx"/>
        <family val="0"/>
      </rPr>
      <t>=50</t>
    </r>
  </si>
  <si>
    <t>sasignalo sarqveli sveli sistemisTvis</t>
  </si>
  <si>
    <t>18-8-5.</t>
  </si>
  <si>
    <t>tumbos Rirebuleba</t>
  </si>
  <si>
    <t>18-6-1</t>
  </si>
  <si>
    <t xml:space="preserve">sxva manqana </t>
  </si>
  <si>
    <t>sxva masala</t>
  </si>
  <si>
    <t>18-8-2.</t>
  </si>
  <si>
    <t>zednadebi xarjebi (xelfasidan)</t>
  </si>
  <si>
    <t>sul : I da II jami</t>
  </si>
  <si>
    <r>
      <t xml:space="preserve">sadrenaJe tumbo </t>
    </r>
    <r>
      <rPr>
        <b/>
        <sz val="11"/>
        <rFont val="Cambria"/>
        <family val="1"/>
      </rPr>
      <t>Q=6</t>
    </r>
    <r>
      <rPr>
        <b/>
        <sz val="11"/>
        <rFont val="AcadNusx"/>
        <family val="0"/>
      </rPr>
      <t xml:space="preserve">l/wm; </t>
    </r>
    <r>
      <rPr>
        <b/>
        <sz val="11"/>
        <rFont val="Cambria"/>
        <family val="1"/>
      </rPr>
      <t xml:space="preserve">H=10 </t>
    </r>
    <r>
      <rPr>
        <b/>
        <sz val="11"/>
        <rFont val="AcadNusx"/>
        <family val="0"/>
      </rPr>
      <t>m; safuZvlis CarCoTi da marTvis karadiT</t>
    </r>
  </si>
  <si>
    <r>
      <t xml:space="preserve">tumbo `Jokei~ </t>
    </r>
    <r>
      <rPr>
        <b/>
        <sz val="11"/>
        <rFont val="Cambria"/>
        <family val="1"/>
      </rPr>
      <t>Q=4</t>
    </r>
    <r>
      <rPr>
        <b/>
        <sz val="11"/>
        <rFont val="AcadNusx"/>
        <family val="0"/>
      </rPr>
      <t xml:space="preserve">l/wm; </t>
    </r>
    <r>
      <rPr>
        <b/>
        <sz val="11"/>
        <rFont val="Cambria"/>
        <family val="1"/>
      </rPr>
      <t xml:space="preserve">H=80 </t>
    </r>
    <r>
      <rPr>
        <b/>
        <sz val="11"/>
        <rFont val="AcadNusx"/>
        <family val="0"/>
      </rPr>
      <t>m; safuZvlis CarCoTi da marTvis karadiT</t>
    </r>
  </si>
  <si>
    <t>კაბელები და მილები</t>
  </si>
  <si>
    <t>სპილენძის კაბელი ორმაგი იზოლაციით NYM-J 3x1,5</t>
  </si>
  <si>
    <t>გრძ.მ</t>
  </si>
  <si>
    <t>სპილენძის კაბელი ორმაგი იზოლაციით NYM-J 3x2,5</t>
  </si>
  <si>
    <t>სპილენძის კაბელი ორმაგი იზოლაციით NYM-J 5x1,5</t>
  </si>
  <si>
    <t>სპილენძის კაბელი ორმაგი იზოლაციით NYM-J 5x2,5</t>
  </si>
  <si>
    <t>სპილენძის კაბელი ორმაგი იზოლაციით NYM-J 5x4</t>
  </si>
  <si>
    <t>სპილენძის კაბელი ორმაგი იზოლაციით NYM-J 5x6</t>
  </si>
  <si>
    <t>სპილენძის კაბელი ორმაგი იზოლაციით NYM-J 5x10</t>
  </si>
  <si>
    <t>სპილენძის კაბელი ორმაგი იზოლაციით NYM-J 5x25</t>
  </si>
  <si>
    <t>სპილენძის კაბელი ორმაგი იზოლაციით NYM-J 5x50</t>
  </si>
  <si>
    <t>დამიწების მრავალძარღვა კაბელი 1x6მმ2</t>
  </si>
  <si>
    <t>დამიწების მრავალძარღვა კაბელი 1x16მმ2</t>
  </si>
  <si>
    <t>სპილენძის ბუნიკი 1*6მმ2</t>
  </si>
  <si>
    <t>სპილენძის ბუნიკი 1*16მმ2</t>
  </si>
  <si>
    <t>სპილენძის ბუნიკი 1*25მმ2</t>
  </si>
  <si>
    <t>სპილენძის ბუნიკი 1*50მმ2</t>
  </si>
  <si>
    <t>თვითქრობადი გოფრირებული მილი 16 მმ</t>
  </si>
  <si>
    <t>მ</t>
  </si>
  <si>
    <t>თვითქრობადი გოფრირებული მილი 20 მმ</t>
  </si>
  <si>
    <t>თვითქრობადი გოფრირებული მილი 25 მმ</t>
  </si>
  <si>
    <t>პოლიეთილენის ტექნიკური სქელკედლიანი  მილი 90 მმ</t>
  </si>
  <si>
    <r>
      <t>400*800მმ (</t>
    </r>
    <r>
      <rPr>
        <sz val="11"/>
        <rFont val="Euphemia"/>
        <family val="2"/>
      </rPr>
      <t>h) საკაბელო თხრილის მოწყობა (ყველა საჭირო დამხმარე მასალების გამოყენებით, ინერტული მასალების ჩათვლით)</t>
    </r>
  </si>
  <si>
    <t>სამონტაჟო მასალა</t>
  </si>
  <si>
    <t>დამხმარე ელ. სამონტაჟო მასალების ნაკრები</t>
  </si>
  <si>
    <t>კომპ.</t>
  </si>
  <si>
    <t>გამანაწილებელი კოლოფი</t>
  </si>
  <si>
    <t>კომპლექტი</t>
  </si>
  <si>
    <t>ლითონის მოთუთიებული ბადისებრივი საკაბელო არხი 150*60 მმ</t>
  </si>
  <si>
    <t>საკაბელო არხის სამაგრი კრონშტეინი</t>
  </si>
  <si>
    <t>ლითონის მოთუთიებული ბადისებრივი საკაბელო არხი 200*60 მმ</t>
  </si>
  <si>
    <t>ლითონის მოთუთიებული ბადისებრივი საკაბელო არხი 300*60 მმ</t>
  </si>
  <si>
    <t>1 კლავიშიანი ჩამრთველი , 10A</t>
  </si>
  <si>
    <t>2 კლავიშიანი ჩამრთველი , 10A</t>
  </si>
  <si>
    <t>DALI MCU დიმერი</t>
  </si>
  <si>
    <t/>
  </si>
  <si>
    <t>საშტეფსელო როზეტი დამიწების კონტაქტით,  2P+E-16A</t>
  </si>
  <si>
    <t>საშტეფსელო როზეტი დამიწების კონტაქტით,  2P+E-16A, IP44</t>
  </si>
  <si>
    <t>საშტეფსელო როზეტი დამიწების კონტაქტით,  2P+E-16A, IP65</t>
  </si>
  <si>
    <t>სამფაზა საშტეფსელო როზეტი დამიწების კონტაქტით,  4P+E-16A, IP65</t>
  </si>
  <si>
    <t>სამონტაჟო კოლოფი</t>
  </si>
  <si>
    <t>ც.</t>
  </si>
  <si>
    <t>იატაკის როზეტების ყუთი 12 მექანიზმზე</t>
  </si>
  <si>
    <t>იატაკის ყუთში სამონტაჟო საშტეფსელო როზეტი დამიწების კონტაქტით,  2P+E-16A</t>
  </si>
  <si>
    <t>დასაპარალელებელი/გადასაბმელი საკლემო ბლოკი</t>
  </si>
  <si>
    <t>სანათები</t>
  </si>
  <si>
    <t>LED პანელი 600x600 35W , IP44 , DALI</t>
  </si>
  <si>
    <t xml:space="preserve">LED პანელი 600x600 35W , IP44 </t>
  </si>
  <si>
    <t>LED  სანათი  1200 მმ 36W, IP65</t>
  </si>
  <si>
    <t>LED  სანათი  1134 მმ 29W,  96.4 lm\w</t>
  </si>
  <si>
    <t>წერტილოვანი LED სანათი 10W</t>
  </si>
  <si>
    <t>კედლის LED სანათი 11W, IP65</t>
  </si>
  <si>
    <t>ავარიული განათების  LED  სანათი 3W ინტეგრირებული აკუმულატორით</t>
  </si>
  <si>
    <t>შუქდიოდური ავარიული სანათი ინტეგრირებული აკუმულატორით</t>
  </si>
  <si>
    <t>ავარიული სანათი საევაკუაციო ნიშნით  ინტეგრირებული აკუმულატორით</t>
  </si>
  <si>
    <t>არსებულ LVDB-1 ელ. გამანაწილებელი ფარში სამონტაჟო კომპონენტები</t>
  </si>
  <si>
    <t>დნობადი მცველების ამომრთველიანი ბუდე 3P 160A, სამონტაჟო ფირფიტით კომპლექტში</t>
  </si>
  <si>
    <t>დნობადი მცველი 160A</t>
  </si>
  <si>
    <t>არსებულ LVDBG-1 ელ. გამანაწილებელი ფარში სამონტაჟო კომპონენტები</t>
  </si>
  <si>
    <t>ძალოვანი გამანაწილებელი საკლემო ბლოკი 4P-400A</t>
  </si>
  <si>
    <t>სპილენძის დამიწების სალტე 3x35 , იზოლატორებით და სამაგრებით</t>
  </si>
  <si>
    <t>ლითონის ელ. კარადა 1000x700x300, მისაფარებელი პანელებით, სამონტაჟო ფირფიტებით კომპლექტში</t>
  </si>
  <si>
    <t>ელ. გამანაწილებელი ფარი PDB-1</t>
  </si>
  <si>
    <t>24VDC დამოუკიდებელი გამთიშველი MCCB 3x125A ავტომატური ამომრთვლისთვის</t>
  </si>
  <si>
    <t>ავტომატური ამომრთვლი MCCB 3x80A, გათიშვის მახასიათებლების ელექტრონული მარეგულირებელი ბლოკით</t>
  </si>
  <si>
    <t>24VDC დამოუკიდებელი გამთიშველი MCCB 3x80A ავტომატური ამომრთვლისთვის</t>
  </si>
  <si>
    <t>დნობადი მცველის ამომრთველიანი ბუდე, 2A დნობადი მცველით კომპლექტში (20 მმ)</t>
  </si>
  <si>
    <t>საინდიკაციო ნათურა 220ვ , ფარის კარში სამონტაჟო</t>
  </si>
  <si>
    <t>მინიატურული ავტომატური ამომრთვლი MCB 3xC50/10kA</t>
  </si>
  <si>
    <t>მინიატურული ავტომატური ამომრთვლი MCB 3xC40/10kA</t>
  </si>
  <si>
    <t>მინიატურული ავტომატური ამომრთვლი MCB 3xC32/10kA</t>
  </si>
  <si>
    <t>მინიატურული ავტომატური ამომრთვლი MCB 3xC20/10kA</t>
  </si>
  <si>
    <t>მინიატურული ავტომატური ამომრთვლი MCB C10/10kA</t>
  </si>
  <si>
    <t>ძალოვანი გამანაწილებელი საკლემო ბლოკი 4P-160A</t>
  </si>
  <si>
    <t>ლითონის ელ. კარადა 1000x700x250, მისაფარებელი პანელებით, სამონტაჟო ფირფიტებით და DIN სალტეებით კომპლექტში</t>
  </si>
  <si>
    <t>DB-1 ელ. გამანაწილებელი ფარი</t>
  </si>
  <si>
    <t>მინიატურული ავტომატური ამომრთვლი MCB 3xC40/6kA</t>
  </si>
  <si>
    <t>მინიატურული ავტომატური ამომრთვლი MCB 3xC20/6kA</t>
  </si>
  <si>
    <t>მინიატურული ავტომატური ამომრთვლი MCB 3xC16/6kA</t>
  </si>
  <si>
    <t>მინიატურული ავტომატური ამომრთვლი MCB C16/6kA</t>
  </si>
  <si>
    <t>მინიატურული ავტომატური ამომრთვლი MCB C10/6kA</t>
  </si>
  <si>
    <t>დიფერენციალური ავტომატური ამომრთველი 2xC16/30mA</t>
  </si>
  <si>
    <t>სპილენძის დასაპარალელებელი სავარცხელა 3P-63A</t>
  </si>
  <si>
    <t>კბ/ც</t>
  </si>
  <si>
    <t>ელ. ფარი 54 მოდულზე , ჩაფლული მონტაჟის</t>
  </si>
  <si>
    <t>DB-2 ელ. გამანაწილებელი ფარი</t>
  </si>
  <si>
    <t>მინიატურული ავტომატური ამომრთვლი MCB 3xC32/6kA</t>
  </si>
  <si>
    <t>მინიატურული ავტომატური ამომრთველი MCB C10/6kA</t>
  </si>
  <si>
    <t>მოდულური კონტაქტორი 3NO-25A</t>
  </si>
  <si>
    <t>მოდულური კონტაქტორი 2NO-25A</t>
  </si>
  <si>
    <t>მრავალფუნქციური პროგრამირებადი დროის რელე, 16ა გადასაკიდი კონტაქტით</t>
  </si>
  <si>
    <t>3-პოზიციანი გადამრთველი ნულოვანი პოზიციით I-0-II</t>
  </si>
  <si>
    <t>ფოტოელექტრონული რელე გასატანი სენსორით, 16ა გადასაკიდი კონტაქტით</t>
  </si>
  <si>
    <t>ელ. ფარი 36 მოდულზე , ჩაფლული მონტაჟის</t>
  </si>
  <si>
    <t>DB-3 ელ. გამანაწილებელი ფარი</t>
  </si>
  <si>
    <t>PVC გოფრირებული მილი Ø 20 მაღალი მდგრადობის</t>
  </si>
  <si>
    <t>კაბელი Cat.5e S/FTP, სპილენძის 100% შემცველობით</t>
  </si>
  <si>
    <t>კომპიუტერული ქსელის როზეტი  2 x RJ45</t>
  </si>
  <si>
    <t>იატაკის ყუთში სამონტაჟო როზეტი  2 x RJ-45</t>
  </si>
  <si>
    <t xml:space="preserve">19" საკომუნიკაციო კარადა 16U, ვენტილატორების ბლოკით </t>
  </si>
  <si>
    <t>19" საკომუნიკაციო კარადის ჰორიზონტალური როზეტების ბლოკი PDU-6 (6x10A)</t>
  </si>
  <si>
    <t>Cat.5 - 24 x RJ45 FTP პატჩ-პანელი</t>
  </si>
  <si>
    <t>19" კაბელების ჰორიზონტალური ორგანაიზერი</t>
  </si>
  <si>
    <t>1500 VA სიმძლავრის უწყვეტი კვების წყარო (UPS), აკუმულატორებით  კომპლექტში, მუშაობის ხანგრძლივობა 7წთ. 70% დატვირთვაზე</t>
  </si>
  <si>
    <t>სახარჯი მასალები (კაბელის სამაგრი, ხამუთები, სკობები, RJ-45 კონექტორები, საკომუნიკაციო კოლოფები, საიზოლაციო ლენტა, შურუპები და ა.შ.)</t>
  </si>
  <si>
    <t>ნაკრები</t>
  </si>
  <si>
    <t>სახანძრო სიგნალიზაცია</t>
  </si>
  <si>
    <t>სახანძრო სიგნალიზაციის კაბელი JE-H(St)H...Bd FE180/E90 1x2x1,5</t>
  </si>
  <si>
    <t xml:space="preserve">სახანძრო სიგნალიზაციის კაბელის სამაგრი </t>
  </si>
  <si>
    <t>PVC სამონტაჟო მილი  Ø 16</t>
  </si>
  <si>
    <t>Ø 16 PVC სამონტაჟო მილის ფიტინგები და სამაგრები</t>
  </si>
  <si>
    <t>სამისამართო კვამლის დეტექტორი</t>
  </si>
  <si>
    <t>სამისამართო სახანძრო საგანგაშო ღილაკი</t>
  </si>
  <si>
    <t>სახანძრო სირენა სტრობით</t>
  </si>
  <si>
    <t>ბაზაზე სამონტაჟო სამისამართო სირენა, კვება მარყუჟიდან</t>
  </si>
  <si>
    <t>სამისამართო IN/OUT მოდული</t>
  </si>
  <si>
    <t>სტაბილიზირებული კვების ბლოკი, დამტენით</t>
  </si>
  <si>
    <t>აკუმულატორი 17ა/სთ.</t>
  </si>
  <si>
    <t>სამისამართო სახანძრო სიგნალიზაციის საკონტროლო პანელი 1 მარყუჟით</t>
  </si>
  <si>
    <t>სახანძრო სიგნალიზაციის განმეორებითი (Repeater) პანელი</t>
  </si>
  <si>
    <t>Ethernet TCP/IP ინტერფეისის პლატა</t>
  </si>
  <si>
    <t>zednadebi xarjebi xelfasidan</t>
  </si>
  <si>
    <t>eklaris fila sisq. 12mm</t>
  </si>
  <si>
    <t>10-11-1.</t>
  </si>
  <si>
    <t>xis masala</t>
  </si>
  <si>
    <t>glinula</t>
  </si>
  <si>
    <t>toli</t>
  </si>
  <si>
    <t>antiseptikuri pasta</t>
  </si>
  <si>
    <t>10-59-1</t>
  </si>
  <si>
    <t>dam.gam.2</t>
  </si>
  <si>
    <t>sabazro</t>
  </si>
  <si>
    <t xml:space="preserve">qoTani (120X120X60 sm) </t>
  </si>
  <si>
    <t xml:space="preserve">qoTani (200X200X60 sm) </t>
  </si>
  <si>
    <t>10-6-1.</t>
  </si>
  <si>
    <t>samSeneblo lursmani</t>
  </si>
  <si>
    <t xml:space="preserve">sxva xarjebi </t>
  </si>
  <si>
    <t>damuSavebuli ficari</t>
  </si>
  <si>
    <t>48-10-3</t>
  </si>
  <si>
    <t>10 xe</t>
  </si>
  <si>
    <t>kodi0606</t>
  </si>
  <si>
    <t>amwe saavtomobilo svlaze 5toniani</t>
  </si>
  <si>
    <t>wyali</t>
  </si>
  <si>
    <t>konstruqciuli nawili</t>
  </si>
  <si>
    <t>liTonkonstruqciebis mowyobis samuSaoebi</t>
  </si>
  <si>
    <t>lokaluri xarjTaRricxva 1-1</t>
  </si>
  <si>
    <t>sayvavile qoTnebis mowyoba fibrobetoniT (200X200X60 sm)</t>
  </si>
  <si>
    <t>sademontaJo samuSaoebi</t>
  </si>
  <si>
    <t>teritoriis dasufTaveba nagvisgan</t>
  </si>
  <si>
    <t>samSeneblo nagvis datvirTva xeliT a/TviTmclelze</t>
  </si>
  <si>
    <t>samSeneblo nagvis transportireba 25 კმ.-ზე</t>
  </si>
  <si>
    <t xml:space="preserve"> sendviC-panelebiT gadaxurvis mowyoba (sisqiT 100 mm)</t>
  </si>
  <si>
    <t>sendviC-panelebis perimetrze wyalmimRebi amonakecebis mowyoba feradi TunuqiT</t>
  </si>
  <si>
    <t>lokaluri xarjTaRricxva 1-2</t>
  </si>
  <si>
    <t>წყლის ელექტრო წყალგამაცხელებელი 100ლიტრიანი ტევადობის</t>
  </si>
  <si>
    <t>ავტომატური ამომრთველი MCCB 3x100A, გათიშვის მახასიათებლების ელექტრონული მარეგულირებელი ბლოკით</t>
  </si>
  <si>
    <t>ავტომატური ამომრთველი MCCB 3x125A, გათიშვის მახასიათებლების ელექტრონული მარეგულირებელი ბლოკით</t>
  </si>
  <si>
    <t xml:space="preserve">saxuravis parapetis mopirkeTeba eklaris qviT </t>
  </si>
  <si>
    <t>iatakze cementis moWimva sisq. 50 mm</t>
  </si>
  <si>
    <t>gare qselis mowyoba</t>
  </si>
  <si>
    <t>aivnis liTonis moajiris mowyoba simaRliT 0,9 m;</t>
  </si>
  <si>
    <t>saxuravis parapetis Tavze da Sida mxaris gadaxurva TunuqiT</t>
  </si>
  <si>
    <t>lokaluri xarjTaRricxva 1-4</t>
  </si>
  <si>
    <t>SSm pirTaTvis gankuTvnili liftis samontaJo samuSaoebi</t>
  </si>
  <si>
    <t>lokaluri xarjTaRricxva 1-5</t>
  </si>
  <si>
    <t>xanZarqrobis  spinkleruli sistemis mowyobis samuSaoebi</t>
  </si>
  <si>
    <t xml:space="preserve"> manometris montaJi</t>
  </si>
  <si>
    <t>lokaluri xarjTaRricxva 1-6</t>
  </si>
  <si>
    <t>lokaluri xarjTaRricxva 1-8</t>
  </si>
  <si>
    <t xml:space="preserve">eleqtrogayanilobebis, ganaTebis sistemebis, saxanZro signalizaciisa da kompiuteruli qselebis mowyobა </t>
  </si>
  <si>
    <t>normatiuli resursi</t>
  </si>
  <si>
    <t xml:space="preserve">  samSeneblo manqana-meqanizmebi  </t>
  </si>
  <si>
    <t>c</t>
  </si>
  <si>
    <t>zednadebi xarjebi montaJis Rirebulebaze (xelfasidan)</t>
  </si>
  <si>
    <t>1-5</t>
  </si>
  <si>
    <t>1-6</t>
  </si>
  <si>
    <t>1-7</t>
  </si>
  <si>
    <r>
      <t xml:space="preserve">ventilebis montaJi </t>
    </r>
  </si>
  <si>
    <t xml:space="preserve">     ხელფასი</t>
  </si>
  <si>
    <t>მასალა</t>
  </si>
  <si>
    <t xml:space="preserve">samuSaos dasaxeleba </t>
  </si>
  <si>
    <t>zeTisxilis xe (simaRle aranakleb 2 metris, varjis diametri aranakleb 15 sm)</t>
  </si>
  <si>
    <t>noyieri miwa</t>
  </si>
  <si>
    <t>skami (proeqtis mixedviT)</t>
  </si>
  <si>
    <t>konstruqcia (karkasi, kronSteini da sxva.)</t>
  </si>
  <si>
    <r>
      <t xml:space="preserve">rk/betonis rgolebi </t>
    </r>
    <r>
      <rPr>
        <sz val="10"/>
        <rFont val="Times New Roman"/>
        <family val="1"/>
      </rPr>
      <t>Ø=1</t>
    </r>
    <r>
      <rPr>
        <sz val="10"/>
        <rFont val="AcadNusx"/>
        <family val="0"/>
      </rPr>
      <t xml:space="preserve"> m </t>
    </r>
    <r>
      <rPr>
        <sz val="10"/>
        <rFont val="Times New Roman"/>
        <family val="1"/>
      </rPr>
      <t>h=</t>
    </r>
    <r>
      <rPr>
        <sz val="10"/>
        <rFont val="AcadNusx"/>
        <family val="0"/>
      </rPr>
      <t>1,0m</t>
    </r>
  </si>
  <si>
    <r>
      <t xml:space="preserve">kanalizaciis gofrirebuli milis d=150mm </t>
    </r>
    <r>
      <rPr>
        <b/>
        <sz val="10"/>
        <rFont val="Times New Roman"/>
        <family val="1"/>
      </rPr>
      <t>SN8</t>
    </r>
    <r>
      <rPr>
        <b/>
        <sz val="10"/>
        <rFont val="AcadNusx"/>
        <family val="0"/>
      </rPr>
      <t xml:space="preserve"> Cawyoba tranSeaSi</t>
    </r>
  </si>
  <si>
    <r>
      <t>1000m</t>
    </r>
    <r>
      <rPr>
        <vertAlign val="superscript"/>
        <sz val="10"/>
        <rFont val="AcadNusx"/>
        <family val="0"/>
      </rPr>
      <t>3</t>
    </r>
  </si>
  <si>
    <r>
      <t>100m</t>
    </r>
    <r>
      <rPr>
        <vertAlign val="superscript"/>
        <sz val="10"/>
        <rFont val="AcadNusx"/>
        <family val="0"/>
      </rPr>
      <t>3</t>
    </r>
  </si>
  <si>
    <t>gaTboba-gagrileba-ventilacia</t>
  </si>
  <si>
    <t>#rigze</t>
  </si>
  <si>
    <t>normativis nomeri da Sifri</t>
  </si>
  <si>
    <t>samuSaoebis da danaxarjebis dasaxeleba,  mowyobilobis daxasiaTeba</t>
  </si>
  <si>
    <t>ganzomi lebis erTeuli</t>
  </si>
  <si>
    <t>raodenoba</t>
  </si>
  <si>
    <t>meqanizmebi da transporti</t>
  </si>
  <si>
    <t>normat i- vis erTeu l- ze</t>
  </si>
  <si>
    <t>erTeu- lis fasi</t>
  </si>
  <si>
    <t>СН и П
IV-2-82 20-20-8</t>
  </si>
  <si>
    <t>Sromis danaxarji</t>
  </si>
  <si>
    <r>
      <rPr>
        <b/>
        <sz val="11"/>
        <rFont val="AcadNusx"/>
        <family val="0"/>
      </rPr>
      <t>multizonaluri sistemis gare bloki M</t>
    </r>
    <r>
      <rPr>
        <b/>
        <sz val="11"/>
        <rFont val="Arial"/>
        <family val="2"/>
      </rPr>
      <t xml:space="preserve">MV5-X500W/V2GN1                       </t>
    </r>
    <r>
      <rPr>
        <b/>
        <sz val="11"/>
        <rFont val="AcadNusx"/>
        <family val="0"/>
      </rPr>
      <t xml:space="preserve">xmauris done - 58 db; sruli avtomatikiT </t>
    </r>
    <r>
      <rPr>
        <b/>
        <sz val="11"/>
        <rFont val="Arial"/>
        <family val="2"/>
      </rPr>
      <t xml:space="preserve">Qc=35-38 </t>
    </r>
    <r>
      <rPr>
        <b/>
        <sz val="11"/>
        <rFont val="AcadNusx"/>
        <family val="0"/>
      </rPr>
      <t>kvt; QQ</t>
    </r>
    <r>
      <rPr>
        <b/>
        <sz val="11"/>
        <rFont val="Arial"/>
        <family val="2"/>
      </rPr>
      <t>Qh</t>
    </r>
    <r>
      <rPr>
        <b/>
        <sz val="11"/>
        <rFont val="AcadNusx"/>
        <family val="0"/>
      </rPr>
      <t xml:space="preserve">=43.5-45 kvt; 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>el. =13,5 kvt.  3 f. zom. 134</t>
    </r>
    <r>
      <rPr>
        <b/>
        <sz val="11"/>
        <rFont val="Arial"/>
        <family val="2"/>
      </rPr>
      <t xml:space="preserve">X790X1635 (h);  </t>
    </r>
    <r>
      <rPr>
        <b/>
        <sz val="11"/>
        <rFont val="AcadNusx"/>
        <family val="0"/>
      </rPr>
      <t xml:space="preserve">temperaturis diapazoni gagrilebaze (-5….... +48);            temperaturis diapazoni gaTbobaze (-20….... +27);            </t>
    </r>
  </si>
  <si>
    <r>
      <rPr>
        <b/>
        <sz val="11"/>
        <rFont val="AcadNusx"/>
        <family val="0"/>
      </rPr>
      <t>multizonaluri sistemis gare bloki M</t>
    </r>
    <r>
      <rPr>
        <b/>
        <sz val="11"/>
        <rFont val="Arial"/>
        <family val="2"/>
      </rPr>
      <t xml:space="preserve">MV5-X335W/V2GN1                       </t>
    </r>
    <r>
      <rPr>
        <b/>
        <sz val="11"/>
        <rFont val="AcadNusx"/>
        <family val="0"/>
      </rPr>
      <t xml:space="preserve">xmauris done - 58 db; sruli avtomatikiT </t>
    </r>
    <r>
      <rPr>
        <b/>
        <sz val="11"/>
        <rFont val="Arial"/>
        <family val="2"/>
      </rPr>
      <t xml:space="preserve">Qc=33.5 </t>
    </r>
    <r>
      <rPr>
        <b/>
        <sz val="11"/>
        <rFont val="AcadNusx"/>
        <family val="0"/>
      </rPr>
      <t>kvt; QQ</t>
    </r>
    <r>
      <rPr>
        <b/>
        <sz val="11"/>
        <rFont val="Arial"/>
        <family val="2"/>
      </rPr>
      <t>Qh</t>
    </r>
    <r>
      <rPr>
        <b/>
        <sz val="11"/>
        <rFont val="AcadNusx"/>
        <family val="0"/>
      </rPr>
      <t xml:space="preserve">=37.5 kvt; 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>el. =8.0 kvt.  3 f. zom. 990</t>
    </r>
    <r>
      <rPr>
        <b/>
        <sz val="11"/>
        <rFont val="Arial"/>
        <family val="2"/>
      </rPr>
      <t xml:space="preserve">X790X1635 (h);  </t>
    </r>
    <r>
      <rPr>
        <b/>
        <sz val="11"/>
        <rFont val="AcadNusx"/>
        <family val="0"/>
      </rPr>
      <t xml:space="preserve">temperaturis diapazoni gagrilebaze (-5….... +48);            temperaturis diapazoni gaTbobaze (-20….... +27);            </t>
    </r>
  </si>
  <si>
    <r>
      <rPr>
        <b/>
        <sz val="11"/>
        <rFont val="AcadNusx"/>
        <family val="0"/>
      </rPr>
      <t>multizonaluri sistemis maRalwneviani Siga arxuli inventaruli blokiM</t>
    </r>
    <r>
      <rPr>
        <b/>
        <sz val="11"/>
        <rFont val="Arial"/>
        <family val="2"/>
      </rPr>
      <t xml:space="preserve">MI-140T 1/DH N1-FA </t>
    </r>
    <r>
      <rPr>
        <b/>
        <sz val="11"/>
        <rFont val="AcadNusx"/>
        <family val="0"/>
      </rPr>
      <t>sruli avtomatikiT                     L</t>
    </r>
    <r>
      <rPr>
        <b/>
        <sz val="11"/>
        <rFont val="Arial"/>
        <family val="2"/>
      </rPr>
      <t>L</t>
    </r>
    <r>
      <rPr>
        <b/>
        <sz val="11"/>
        <rFont val="AcadNusx"/>
        <family val="0"/>
      </rPr>
      <t xml:space="preserve">=2100-2600 m3/sT. </t>
    </r>
    <r>
      <rPr>
        <b/>
        <sz val="11"/>
        <rFont val="Arial"/>
        <family val="2"/>
      </rPr>
      <t xml:space="preserve">                      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Qc=13-16 </t>
    </r>
    <r>
      <rPr>
        <b/>
        <sz val="11"/>
        <rFont val="AcadNusx"/>
        <family val="0"/>
      </rPr>
      <t>kvt; Q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 xml:space="preserve">el. =0.4 kvt. </t>
    </r>
    <r>
      <rPr>
        <b/>
        <sz val="11"/>
        <rFont val="Arial"/>
        <family val="2"/>
      </rPr>
      <t>Qh=18.3-22.5</t>
    </r>
    <r>
      <rPr>
        <b/>
        <sz val="11"/>
        <rFont val="AcadNusx"/>
        <family val="0"/>
      </rPr>
      <t xml:space="preserve"> kvt. 1 f. zom. 1300</t>
    </r>
    <r>
      <rPr>
        <b/>
        <sz val="11"/>
        <rFont val="Arial"/>
        <family val="2"/>
      </rPr>
      <t xml:space="preserve">X690X420 (h);  </t>
    </r>
    <r>
      <rPr>
        <b/>
        <sz val="11"/>
        <rFont val="AcadNusx"/>
        <family val="0"/>
      </rPr>
      <t xml:space="preserve">            </t>
    </r>
  </si>
  <si>
    <r>
      <rPr>
        <b/>
        <sz val="11"/>
        <rFont val="AcadNusx"/>
        <family val="0"/>
      </rPr>
      <t>multizonaluri sistemis maRalwneviani Siga arxuli inventaruli blokiM</t>
    </r>
    <r>
      <rPr>
        <b/>
        <sz val="11"/>
        <rFont val="Arial"/>
        <family val="2"/>
      </rPr>
      <t xml:space="preserve">MDV-D71T2/N1-BA5,  </t>
    </r>
    <r>
      <rPr>
        <b/>
        <sz val="11"/>
        <rFont val="AcadNusx"/>
        <family val="0"/>
      </rPr>
      <t>invent. bloki</t>
    </r>
    <r>
      <rPr>
        <b/>
        <sz val="11"/>
        <rFont val="Arial"/>
        <family val="2"/>
      </rPr>
      <t xml:space="preserve"> </t>
    </r>
    <r>
      <rPr>
        <b/>
        <sz val="11"/>
        <rFont val="AcadNusx"/>
        <family val="0"/>
      </rPr>
      <t>sruli avtomatikiT                     L</t>
    </r>
    <r>
      <rPr>
        <b/>
        <sz val="11"/>
        <rFont val="Arial"/>
        <family val="2"/>
      </rPr>
      <t>L</t>
    </r>
    <r>
      <rPr>
        <b/>
        <sz val="11"/>
        <rFont val="AcadNusx"/>
        <family val="0"/>
      </rPr>
      <t xml:space="preserve">=1000 m3/sT. </t>
    </r>
    <r>
      <rPr>
        <b/>
        <sz val="11"/>
        <rFont val="Arial"/>
        <family val="2"/>
      </rPr>
      <t xml:space="preserve">                      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Qc= 6.1 </t>
    </r>
    <r>
      <rPr>
        <b/>
        <sz val="11"/>
        <rFont val="AcadNusx"/>
        <family val="0"/>
      </rPr>
      <t>kvt; Q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 xml:space="preserve">el. =0.15 kvt. </t>
    </r>
    <r>
      <rPr>
        <b/>
        <sz val="11"/>
        <rFont val="Arial"/>
        <family val="2"/>
      </rPr>
      <t>Qh=8.7</t>
    </r>
    <r>
      <rPr>
        <b/>
        <sz val="11"/>
        <rFont val="AcadNusx"/>
        <family val="0"/>
      </rPr>
      <t xml:space="preserve"> kvt.  1 f. zom. 1010</t>
    </r>
    <r>
      <rPr>
        <b/>
        <sz val="11"/>
        <rFont val="Arial"/>
        <family val="2"/>
      </rPr>
      <t xml:space="preserve">X635X270 (h);  </t>
    </r>
    <r>
      <rPr>
        <b/>
        <sz val="11"/>
        <rFont val="AcadNusx"/>
        <family val="0"/>
      </rPr>
      <t xml:space="preserve">            </t>
    </r>
  </si>
  <si>
    <r>
      <rPr>
        <b/>
        <sz val="11"/>
        <rFont val="AcadNusx"/>
        <family val="0"/>
      </rPr>
      <t>multizonaluri sistemis Siga kaseturi inventoruli bloki M</t>
    </r>
    <r>
      <rPr>
        <b/>
        <sz val="11"/>
        <rFont val="Arial"/>
        <family val="2"/>
      </rPr>
      <t xml:space="preserve">MDV-D71Q4/N1D  </t>
    </r>
    <r>
      <rPr>
        <b/>
        <sz val="11"/>
        <rFont val="AcadNusx"/>
        <family val="0"/>
      </rPr>
      <t>sruli avtomatikiT, sadrenaJe tumboTi                      L</t>
    </r>
    <r>
      <rPr>
        <b/>
        <sz val="11"/>
        <rFont val="Arial"/>
        <family val="2"/>
      </rPr>
      <t xml:space="preserve">                      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Qc=5.6-6.85 </t>
    </r>
    <r>
      <rPr>
        <b/>
        <sz val="11"/>
        <rFont val="AcadNusx"/>
        <family val="0"/>
      </rPr>
      <t>kvt;  Q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 xml:space="preserve">el. =0.08 kvt. </t>
    </r>
    <r>
      <rPr>
        <b/>
        <sz val="11"/>
        <rFont val="Arial"/>
        <family val="2"/>
      </rPr>
      <t>Qh=3.8-4.5</t>
    </r>
    <r>
      <rPr>
        <b/>
        <sz val="11"/>
        <rFont val="AcadNusx"/>
        <family val="0"/>
      </rPr>
      <t xml:space="preserve"> kvt. 1 f. xmauris done maRal reJimSi -- 45 db.zom. 909</t>
    </r>
    <r>
      <rPr>
        <b/>
        <sz val="11"/>
        <rFont val="Arial"/>
        <family val="2"/>
      </rPr>
      <t xml:space="preserve">X840X230 (h);  </t>
    </r>
    <r>
      <rPr>
        <b/>
        <sz val="11"/>
        <rFont val="AcadNusx"/>
        <family val="0"/>
      </rPr>
      <t xml:space="preserve">            </t>
    </r>
  </si>
  <si>
    <r>
      <rPr>
        <b/>
        <sz val="11"/>
        <rFont val="AcadNusx"/>
        <family val="0"/>
      </rPr>
      <t>multizonaluri sistemis Siga kaseturi inventoruli bloki M</t>
    </r>
    <r>
      <rPr>
        <b/>
        <sz val="11"/>
        <rFont val="Arial"/>
        <family val="2"/>
      </rPr>
      <t xml:space="preserve">MI-28Q4/DHN1-A3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                     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Qc=1.4-2.2 </t>
    </r>
    <r>
      <rPr>
        <b/>
        <sz val="11"/>
        <rFont val="AcadNusx"/>
        <family val="0"/>
      </rPr>
      <t>kvt; Q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 xml:space="preserve">el.=0.02 kvt. </t>
    </r>
    <r>
      <rPr>
        <b/>
        <sz val="11"/>
        <rFont val="Arial"/>
        <family val="2"/>
      </rPr>
      <t>Qh=1.8-3.6</t>
    </r>
    <r>
      <rPr>
        <b/>
        <sz val="11"/>
        <rFont val="AcadNusx"/>
        <family val="0"/>
      </rPr>
      <t xml:space="preserve"> kvt. 1 f. xmamaRal reJimSi - 35 db.zom. 570</t>
    </r>
    <r>
      <rPr>
        <b/>
        <sz val="11"/>
        <rFont val="Arial"/>
        <family val="2"/>
      </rPr>
      <t xml:space="preserve">X570X260 (h);  </t>
    </r>
    <r>
      <rPr>
        <b/>
        <sz val="11"/>
        <rFont val="AcadNusx"/>
        <family val="0"/>
      </rPr>
      <t xml:space="preserve">            </t>
    </r>
  </si>
  <si>
    <r>
      <rPr>
        <b/>
        <sz val="11"/>
        <rFont val="AcadNusx"/>
        <family val="0"/>
      </rPr>
      <t>multizonaluri sistemis Siga  kedlis inventoruli bloki M</t>
    </r>
    <r>
      <rPr>
        <b/>
        <sz val="11"/>
        <rFont val="Arial"/>
        <family val="2"/>
      </rPr>
      <t xml:space="preserve">MI-45G/DHN1-M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                      </t>
    </r>
    <r>
      <rPr>
        <b/>
        <sz val="11"/>
        <rFont val="AcadNusx"/>
        <family val="0"/>
      </rPr>
      <t xml:space="preserve"> </t>
    </r>
    <r>
      <rPr>
        <b/>
        <sz val="11"/>
        <rFont val="Arial"/>
        <family val="2"/>
      </rPr>
      <t xml:space="preserve">Qc=4.5 </t>
    </r>
    <r>
      <rPr>
        <b/>
        <sz val="11"/>
        <rFont val="AcadNusx"/>
        <family val="0"/>
      </rPr>
      <t>kvt; Q</t>
    </r>
    <r>
      <rPr>
        <b/>
        <sz val="11"/>
        <rFont val="Arial"/>
        <family val="2"/>
      </rPr>
      <t>N</t>
    </r>
    <r>
      <rPr>
        <b/>
        <sz val="11"/>
        <rFont val="AcadNusx"/>
        <family val="0"/>
      </rPr>
      <t xml:space="preserve">el.=0.02 kvt. </t>
    </r>
    <r>
      <rPr>
        <b/>
        <sz val="11"/>
        <rFont val="Arial"/>
        <family val="2"/>
      </rPr>
      <t>Qh=1.7</t>
    </r>
    <r>
      <rPr>
        <b/>
        <sz val="11"/>
        <rFont val="AcadNusx"/>
        <family val="0"/>
      </rPr>
      <t>kvt. 1 f. xmamaRal reJimSi - 35 db.zom. 990</t>
    </r>
    <r>
      <rPr>
        <b/>
        <sz val="11"/>
        <rFont val="Arial"/>
        <family val="2"/>
      </rPr>
      <t xml:space="preserve">X223X315 (h);  </t>
    </r>
    <r>
      <rPr>
        <b/>
        <sz val="11"/>
        <rFont val="AcadNusx"/>
        <family val="0"/>
      </rPr>
      <t xml:space="preserve">            </t>
    </r>
  </si>
  <si>
    <t xml:space="preserve">multizonaluri sistemis gare blokebis  liTonis xufebi  </t>
  </si>
  <si>
    <t xml:space="preserve">multizonaluri sistemis gare blokis  xufi moTuTiebuli Txelfurclovani  foladiT, sisqiT 1,2 mm; perimetriT - 3600 mm-mde, </t>
  </si>
  <si>
    <t>m2</t>
  </si>
  <si>
    <t xml:space="preserve">multizonaluri sistemis gare blokis  xufi moTuTiebuli Txelfurclovani  foladiT, sisqiT 1,2 mm; perimetriT - 4600 mm-mde, </t>
  </si>
  <si>
    <t>m-1 sistemis haersatarebi da cxaurebi</t>
  </si>
  <si>
    <r>
      <t xml:space="preserve">haeris modinebiT-gamwovi maregulirebeli cxaura </t>
    </r>
    <r>
      <rPr>
        <sz val="11"/>
        <color indexed="8"/>
        <rFont val="Arial"/>
        <family val="2"/>
      </rPr>
      <t xml:space="preserve">GAG 300X150 </t>
    </r>
  </si>
  <si>
    <r>
      <t xml:space="preserve">haeris modinebiT-gamwovi maregulirebeli cxaura </t>
    </r>
    <r>
      <rPr>
        <sz val="11"/>
        <color indexed="8"/>
        <rFont val="Arial"/>
        <family val="2"/>
      </rPr>
      <t xml:space="preserve">GAG 200X100 </t>
    </r>
  </si>
  <si>
    <t xml:space="preserve">haersatari Txelfurclovani  foladiT, sisqiT 0.7 mm; perimetriT - 1000 mm-mde, </t>
  </si>
  <si>
    <t xml:space="preserve">haersatari Txelfurclovani  foladiT, sisqiT 0.7 mm; perimetriT - 1600 mm-mde, </t>
  </si>
  <si>
    <t xml:space="preserve">haersatari Txelfurclovani  foladiT, sisqiT 1.0 mm; perimetriT - 3600 mm-mde, </t>
  </si>
  <si>
    <r>
      <t>liTonis yuTi moTuTiebuli f/f sisqiT 2.0 mm, zomiT 1300X650X420 (</t>
    </r>
    <r>
      <rPr>
        <sz val="11"/>
        <color theme="1"/>
        <rFont val="Calibri"/>
        <family val="2"/>
      </rPr>
      <t xml:space="preserve">h)  </t>
    </r>
    <r>
      <rPr>
        <sz val="11"/>
        <color indexed="8"/>
        <rFont val="AcadNusx"/>
        <family val="0"/>
      </rPr>
      <t xml:space="preserve">farTobi </t>
    </r>
    <r>
      <rPr>
        <sz val="11"/>
        <color theme="1"/>
        <rFont val="Calibri"/>
        <family val="2"/>
      </rPr>
      <t xml:space="preserve">6 </t>
    </r>
    <r>
      <rPr>
        <sz val="11"/>
        <color indexed="8"/>
        <rFont val="AcadNusx"/>
        <family val="0"/>
      </rPr>
      <t>m2;</t>
    </r>
  </si>
  <si>
    <t>haersataris Tboizolacia TviTwebvadi kauCukis  sisqiT 20 mm;</t>
  </si>
  <si>
    <r>
      <t xml:space="preserve">gare cxaura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>coc. = 0,3 m2</t>
    </r>
  </si>
  <si>
    <t>m-2 sistemis haersatarebi da cxaurebi</t>
  </si>
  <si>
    <r>
      <t xml:space="preserve">haeris modinebiT-gamwovi maregulirebeli cxaura </t>
    </r>
    <r>
      <rPr>
        <sz val="11"/>
        <color indexed="8"/>
        <rFont val="Arial"/>
        <family val="2"/>
      </rPr>
      <t xml:space="preserve">GAG 300X100 </t>
    </r>
  </si>
  <si>
    <r>
      <t>liTonis yuTi moTuTiebuli f/f sisqiT 2.0 mm, zomiT 1010X300X270 (</t>
    </r>
    <r>
      <rPr>
        <sz val="11"/>
        <color theme="1"/>
        <rFont val="Calibri"/>
        <family val="2"/>
      </rPr>
      <t xml:space="preserve">h)  </t>
    </r>
    <r>
      <rPr>
        <sz val="11"/>
        <color indexed="8"/>
        <rFont val="AcadNusx"/>
        <family val="0"/>
      </rPr>
      <t>farTobi 3 m2;</t>
    </r>
  </si>
  <si>
    <r>
      <t xml:space="preserve">gare cxaura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>coc. = 0,10 m2</t>
    </r>
  </si>
  <si>
    <t>m-3 sistemis haersatarebi da cxaurebi</t>
  </si>
  <si>
    <r>
      <t>liTonis yuTi moTuTiebuli f/f sisqiT 2.0 mm, zomiT 1300X600X420 (</t>
    </r>
    <r>
      <rPr>
        <sz val="11"/>
        <color theme="1"/>
        <rFont val="Calibri"/>
        <family val="2"/>
      </rPr>
      <t xml:space="preserve">h)  </t>
    </r>
    <r>
      <rPr>
        <sz val="11"/>
        <color indexed="8"/>
        <rFont val="AcadNusx"/>
        <family val="0"/>
      </rPr>
      <t>farTobi 6 m2;</t>
    </r>
  </si>
  <si>
    <r>
      <t xml:space="preserve">gare cxaura </t>
    </r>
    <r>
      <rPr>
        <sz val="11"/>
        <color indexed="8"/>
        <rFont val="Arial"/>
        <family val="2"/>
      </rPr>
      <t>F</t>
    </r>
    <r>
      <rPr>
        <sz val="11"/>
        <color indexed="8"/>
        <rFont val="AcadNusx"/>
        <family val="0"/>
      </rPr>
      <t>coc. = 0,24 m2</t>
    </r>
  </si>
  <si>
    <t>sistema g-1</t>
  </si>
  <si>
    <r>
      <t>Sistemair-</t>
    </r>
    <r>
      <rPr>
        <sz val="11"/>
        <color indexed="8"/>
        <rFont val="AcadNusx"/>
        <family val="0"/>
      </rPr>
      <t>is haeris gamwovi saxuravis ventilatori D</t>
    </r>
    <r>
      <rPr>
        <sz val="11"/>
        <color indexed="8"/>
        <rFont val="Arial"/>
        <family val="2"/>
      </rPr>
      <t xml:space="preserve">DVSI 450 DV  L=1500 </t>
    </r>
    <r>
      <rPr>
        <sz val="11"/>
        <color indexed="8"/>
        <rFont val="AcadNusx"/>
        <family val="0"/>
      </rPr>
      <t xml:space="preserve">m3/sT, </t>
    </r>
    <r>
      <rPr>
        <sz val="11"/>
        <color indexed="8"/>
        <rFont val="Arial"/>
        <family val="2"/>
      </rPr>
      <t xml:space="preserve">P=380 </t>
    </r>
    <r>
      <rPr>
        <sz val="11"/>
        <color indexed="8"/>
        <rFont val="AcadNusx"/>
        <family val="0"/>
      </rPr>
      <t xml:space="preserve">pa. </t>
    </r>
    <r>
      <rPr>
        <sz val="11"/>
        <color indexed="8"/>
        <rFont val="Arial"/>
        <family val="2"/>
      </rPr>
      <t>N</t>
    </r>
    <r>
      <rPr>
        <sz val="11"/>
        <color indexed="8"/>
        <rFont val="AcadNusx"/>
        <family val="0"/>
      </rPr>
      <t xml:space="preserve">el=0.75 kvt. </t>
    </r>
    <r>
      <rPr>
        <sz val="11"/>
        <color indexed="8"/>
        <rFont val="Arial"/>
        <family val="2"/>
      </rPr>
      <t xml:space="preserve">N=2600 </t>
    </r>
    <r>
      <rPr>
        <sz val="11"/>
        <color indexed="8"/>
        <rFont val="AcadNusx"/>
        <family val="0"/>
      </rPr>
      <t>br/wT. 3 faza</t>
    </r>
  </si>
  <si>
    <t>rbili gadamyvani</t>
  </si>
  <si>
    <r>
      <t>Sistemair-</t>
    </r>
    <r>
      <rPr>
        <sz val="11"/>
        <color indexed="8"/>
        <rFont val="AcadNusx"/>
        <family val="0"/>
      </rPr>
      <t>is xmis CamxSobi saxuravis ventilatoris D</t>
    </r>
    <r>
      <rPr>
        <sz val="11"/>
        <color indexed="8"/>
        <rFont val="Arial"/>
        <family val="2"/>
      </rPr>
      <t xml:space="preserve">SSD 450/499 h=650 </t>
    </r>
  </si>
  <si>
    <t>drosel sarqveli 150X100</t>
  </si>
  <si>
    <t>sistema g-2</t>
  </si>
  <si>
    <r>
      <t>BLAUBERG-</t>
    </r>
    <r>
      <rPr>
        <sz val="11"/>
        <color indexed="8"/>
        <rFont val="AcadNusx"/>
        <family val="0"/>
      </rPr>
      <t>is haeris gamwovi ventilatori D</t>
    </r>
    <r>
      <rPr>
        <sz val="11"/>
        <color indexed="8"/>
        <rFont val="Arial"/>
        <family val="2"/>
      </rPr>
      <t xml:space="preserve">iso-B 250 L=500 </t>
    </r>
    <r>
      <rPr>
        <sz val="11"/>
        <color indexed="8"/>
        <rFont val="AcadNusx"/>
        <family val="0"/>
      </rPr>
      <t xml:space="preserve">m3/sT, </t>
    </r>
    <r>
      <rPr>
        <sz val="11"/>
        <color indexed="8"/>
        <rFont val="Arial"/>
        <family val="2"/>
      </rPr>
      <t xml:space="preserve">P=250 </t>
    </r>
    <r>
      <rPr>
        <sz val="11"/>
        <color indexed="8"/>
        <rFont val="AcadNusx"/>
        <family val="0"/>
      </rPr>
      <t xml:space="preserve">pa. </t>
    </r>
    <r>
      <rPr>
        <sz val="11"/>
        <color indexed="8"/>
        <rFont val="Arial"/>
        <family val="2"/>
      </rPr>
      <t xml:space="preserve">N </t>
    </r>
    <r>
      <rPr>
        <sz val="11"/>
        <color indexed="8"/>
        <rFont val="AcadNusx"/>
        <family val="0"/>
      </rPr>
      <t xml:space="preserve">el. =0,2 kvt. </t>
    </r>
    <r>
      <rPr>
        <sz val="11"/>
        <color theme="1"/>
        <rFont val="Calibri"/>
        <family val="2"/>
      </rPr>
      <t>n</t>
    </r>
    <r>
      <rPr>
        <sz val="11"/>
        <color indexed="8"/>
        <rFont val="Arial"/>
        <family val="2"/>
      </rPr>
      <t xml:space="preserve">=2420 </t>
    </r>
    <r>
      <rPr>
        <sz val="11"/>
        <color indexed="8"/>
        <rFont val="AcadNusx"/>
        <family val="0"/>
      </rPr>
      <t>br/wT. 3 faza</t>
    </r>
  </si>
  <si>
    <r>
      <t xml:space="preserve">haeris gamwovi difuzori </t>
    </r>
    <r>
      <rPr>
        <sz val="11"/>
        <color indexed="8"/>
        <rFont val="Arial"/>
        <family val="2"/>
      </rPr>
      <t>EFF100</t>
    </r>
  </si>
  <si>
    <r>
      <t xml:space="preserve">haeris gamwovi difuzori </t>
    </r>
    <r>
      <rPr>
        <sz val="11"/>
        <color indexed="8"/>
        <rFont val="Arial"/>
        <family val="2"/>
      </rPr>
      <t>EFF200</t>
    </r>
  </si>
  <si>
    <t>qolga 250X150</t>
  </si>
  <si>
    <t>sistema g-3</t>
  </si>
  <si>
    <r>
      <t>BLAUBERG-</t>
    </r>
    <r>
      <rPr>
        <sz val="11"/>
        <color indexed="8"/>
        <rFont val="AcadNusx"/>
        <family val="0"/>
      </rPr>
      <t>is haeris gamwovi ventilatori D</t>
    </r>
    <r>
      <rPr>
        <sz val="11"/>
        <color indexed="8"/>
        <rFont val="Arial"/>
        <family val="2"/>
      </rPr>
      <t xml:space="preserve">iso-B 250 L=400 </t>
    </r>
    <r>
      <rPr>
        <sz val="11"/>
        <color indexed="8"/>
        <rFont val="AcadNusx"/>
        <family val="0"/>
      </rPr>
      <t xml:space="preserve">m3/sT, </t>
    </r>
    <r>
      <rPr>
        <sz val="11"/>
        <color indexed="8"/>
        <rFont val="Arial"/>
        <family val="2"/>
      </rPr>
      <t xml:space="preserve">P=200 </t>
    </r>
    <r>
      <rPr>
        <sz val="11"/>
        <color indexed="8"/>
        <rFont val="AcadNusx"/>
        <family val="0"/>
      </rPr>
      <t xml:space="preserve">pa. </t>
    </r>
    <r>
      <rPr>
        <sz val="11"/>
        <color indexed="8"/>
        <rFont val="Arial"/>
        <family val="2"/>
      </rPr>
      <t xml:space="preserve">N </t>
    </r>
    <r>
      <rPr>
        <sz val="11"/>
        <color indexed="8"/>
        <rFont val="AcadNusx"/>
        <family val="0"/>
      </rPr>
      <t xml:space="preserve">el. =0,2 kvt. </t>
    </r>
    <r>
      <rPr>
        <sz val="11"/>
        <color theme="1"/>
        <rFont val="Calibri"/>
        <family val="2"/>
      </rPr>
      <t>n</t>
    </r>
    <r>
      <rPr>
        <sz val="11"/>
        <color indexed="8"/>
        <rFont val="Arial"/>
        <family val="2"/>
      </rPr>
      <t xml:space="preserve">=2420 </t>
    </r>
    <r>
      <rPr>
        <sz val="11"/>
        <color indexed="8"/>
        <rFont val="AcadNusx"/>
        <family val="0"/>
      </rPr>
      <t>br/wT. 1 faza</t>
    </r>
  </si>
  <si>
    <t>liTonis bade</t>
  </si>
  <si>
    <t>sistema g-4</t>
  </si>
  <si>
    <r>
      <t>BLAUBERG-</t>
    </r>
    <r>
      <rPr>
        <sz val="11"/>
        <color indexed="8"/>
        <rFont val="AcadNusx"/>
        <family val="0"/>
      </rPr>
      <t>is haeris gamwovi ventilatori D</t>
    </r>
    <r>
      <rPr>
        <sz val="11"/>
        <color indexed="8"/>
        <rFont val="Arial"/>
        <family val="2"/>
      </rPr>
      <t xml:space="preserve">Box -EC 60X30 L=400 </t>
    </r>
    <r>
      <rPr>
        <sz val="11"/>
        <color indexed="8"/>
        <rFont val="AcadNusx"/>
        <family val="0"/>
      </rPr>
      <t xml:space="preserve">m3/sT, </t>
    </r>
    <r>
      <rPr>
        <sz val="11"/>
        <color indexed="8"/>
        <rFont val="Arial"/>
        <family val="2"/>
      </rPr>
      <t xml:space="preserve">P=200 </t>
    </r>
    <r>
      <rPr>
        <sz val="11"/>
        <color indexed="8"/>
        <rFont val="AcadNusx"/>
        <family val="0"/>
      </rPr>
      <t xml:space="preserve">pa. </t>
    </r>
    <r>
      <rPr>
        <sz val="11"/>
        <color indexed="8"/>
        <rFont val="Arial"/>
        <family val="2"/>
      </rPr>
      <t xml:space="preserve">N </t>
    </r>
    <r>
      <rPr>
        <sz val="11"/>
        <color indexed="8"/>
        <rFont val="AcadNusx"/>
        <family val="0"/>
      </rPr>
      <t xml:space="preserve">el. =0,5 kvt. </t>
    </r>
    <r>
      <rPr>
        <sz val="11"/>
        <color indexed="8"/>
        <rFont val="Arial"/>
        <family val="2"/>
      </rPr>
      <t xml:space="preserve">n=2300 </t>
    </r>
    <r>
      <rPr>
        <sz val="11"/>
        <color indexed="8"/>
        <rFont val="AcadNusx"/>
        <family val="0"/>
      </rPr>
      <t>br/wT. 1 faza</t>
    </r>
  </si>
  <si>
    <r>
      <t>BLAUBERG-</t>
    </r>
    <r>
      <rPr>
        <sz val="11"/>
        <color indexed="8"/>
        <rFont val="AcadNusx"/>
        <family val="0"/>
      </rPr>
      <t xml:space="preserve">is xmis damxSobi </t>
    </r>
    <r>
      <rPr>
        <sz val="11"/>
        <color indexed="8"/>
        <rFont val="Arial"/>
        <family val="2"/>
      </rPr>
      <t>SD 60X30 I=950</t>
    </r>
    <r>
      <rPr>
        <sz val="11"/>
        <color indexed="8"/>
        <rFont val="AcadNusx"/>
        <family val="0"/>
      </rPr>
      <t xml:space="preserve"> mm, </t>
    </r>
  </si>
  <si>
    <t>sistema g-5</t>
  </si>
  <si>
    <r>
      <t>Sistemair-</t>
    </r>
    <r>
      <rPr>
        <sz val="11"/>
        <color indexed="8"/>
        <rFont val="AcadNusx"/>
        <family val="0"/>
      </rPr>
      <t>is haeris gamwovi saxuravis ventilatori D</t>
    </r>
    <r>
      <rPr>
        <sz val="11"/>
        <color indexed="8"/>
        <rFont val="Arial"/>
        <family val="2"/>
      </rPr>
      <t xml:space="preserve">TOE  355-4  L=600 </t>
    </r>
    <r>
      <rPr>
        <sz val="11"/>
        <color indexed="8"/>
        <rFont val="AcadNusx"/>
        <family val="0"/>
      </rPr>
      <t xml:space="preserve">m3/sT, </t>
    </r>
    <r>
      <rPr>
        <sz val="11"/>
        <color indexed="8"/>
        <rFont val="Arial"/>
        <family val="2"/>
      </rPr>
      <t xml:space="preserve">P=300 </t>
    </r>
    <r>
      <rPr>
        <sz val="11"/>
        <color indexed="8"/>
        <rFont val="AcadNusx"/>
        <family val="0"/>
      </rPr>
      <t xml:space="preserve">pa. </t>
    </r>
    <r>
      <rPr>
        <sz val="11"/>
        <color indexed="8"/>
        <rFont val="Arial"/>
        <family val="2"/>
      </rPr>
      <t>N</t>
    </r>
    <r>
      <rPr>
        <sz val="11"/>
        <color indexed="8"/>
        <rFont val="AcadNusx"/>
        <family val="0"/>
      </rPr>
      <t xml:space="preserve">el=0.4 kvt. </t>
    </r>
    <r>
      <rPr>
        <sz val="11"/>
        <color theme="1"/>
        <rFont val="Calibri"/>
        <family val="2"/>
      </rPr>
      <t>n</t>
    </r>
    <r>
      <rPr>
        <sz val="11"/>
        <color indexed="8"/>
        <rFont val="Arial"/>
        <family val="2"/>
      </rPr>
      <t xml:space="preserve">=1368 </t>
    </r>
    <r>
      <rPr>
        <sz val="11"/>
        <color indexed="8"/>
        <rFont val="AcadNusx"/>
        <family val="0"/>
      </rPr>
      <t>br/wT. 1 faza</t>
    </r>
  </si>
  <si>
    <t>drosel sarqveli 200X200</t>
  </si>
  <si>
    <t>sxva samuSaoebi</t>
  </si>
  <si>
    <t>kedlis Sida pulti</t>
  </si>
  <si>
    <r>
      <t xml:space="preserve">gamanawilebeli </t>
    </r>
    <r>
      <rPr>
        <sz val="11"/>
        <color theme="1"/>
        <rFont val="Calibri"/>
        <family val="2"/>
      </rPr>
      <t>FQZHN-03D</t>
    </r>
  </si>
  <si>
    <r>
      <t xml:space="preserve">gamanawilebeli </t>
    </r>
    <r>
      <rPr>
        <sz val="11"/>
        <color theme="1"/>
        <rFont val="Calibri"/>
        <family val="2"/>
      </rPr>
      <t>FQZHN-02D</t>
    </r>
  </si>
  <si>
    <r>
      <t xml:space="preserve">gamanawilebeli </t>
    </r>
    <r>
      <rPr>
        <sz val="11"/>
        <color theme="1"/>
        <rFont val="Calibri"/>
        <family val="2"/>
      </rPr>
      <t>FQZHN-01D</t>
    </r>
  </si>
  <si>
    <t>spilenZis mili, kauCukiT (0,9 mm sisqis) izolirebuli diametriT - 6,35 mm</t>
  </si>
  <si>
    <t>m</t>
  </si>
  <si>
    <t>spilenZis mili, kauCukiT (0,9 mm sisqis) izolirebuli diametriT - 9.53 mm</t>
  </si>
  <si>
    <t>spilenZis mili, kauCukiT (1,0 mm sisqis) izolirebuli diametriT - 12,70 mm</t>
  </si>
  <si>
    <t>spilenZis mili, kauCukiT (1,0 mm sisqis) izolirebuli diametriT - 15,9 mm</t>
  </si>
  <si>
    <t>spilenZis mili, kauCukiT (1,0 mm sisqis) izolirebuli diametriT - 19,10 mm</t>
  </si>
  <si>
    <t>spilenZis mili, kauCukiT (1,0 mm sisqis) izolirebuli diametriT - 22.2 mm</t>
  </si>
  <si>
    <t>spilenZis mili, kauCukiT (1,0 mm sisqis) izolirebuli diametriT - 28.6 mm</t>
  </si>
  <si>
    <t>spilenZis mili, kauCukiT (1,0 mm sisqis) izolirebuli diametriT - 31.8 mm</t>
  </si>
  <si>
    <r>
      <t xml:space="preserve">samacivro agenti  (freoni) </t>
    </r>
    <r>
      <rPr>
        <sz val="11"/>
        <color theme="1"/>
        <rFont val="Calibri"/>
        <family val="2"/>
      </rPr>
      <t>R410A</t>
    </r>
  </si>
  <si>
    <t>multizonaluri sistemebis Siga blokebis drenaJi</t>
  </si>
  <si>
    <r>
      <t xml:space="preserve">Txelkedliani plastmasis mili </t>
    </r>
    <r>
      <rPr>
        <sz val="11"/>
        <color theme="1"/>
        <rFont val="Calibri"/>
        <family val="2"/>
      </rPr>
      <t>d=25</t>
    </r>
  </si>
  <si>
    <r>
      <t xml:space="preserve">Txelkedliani plastmasis mili </t>
    </r>
    <r>
      <rPr>
        <sz val="11"/>
        <color theme="1"/>
        <rFont val="Calibri"/>
        <family val="2"/>
      </rPr>
      <t>d=32</t>
    </r>
  </si>
  <si>
    <r>
      <t xml:space="preserve">Txelkedliani plastmasis mili </t>
    </r>
    <r>
      <rPr>
        <sz val="11"/>
        <color theme="1"/>
        <rFont val="Calibri"/>
        <family val="2"/>
      </rPr>
      <t>d=40</t>
    </r>
  </si>
  <si>
    <r>
      <t xml:space="preserve">Txelkedliani plastmasis mili </t>
    </r>
    <r>
      <rPr>
        <sz val="11"/>
        <color theme="1"/>
        <rFont val="Calibri"/>
        <family val="2"/>
      </rPr>
      <t>d=50</t>
    </r>
  </si>
  <si>
    <r>
      <t>plastmasis muxli   90 grad.  G</t>
    </r>
    <r>
      <rPr>
        <sz val="11"/>
        <color theme="1"/>
        <rFont val="Calibri"/>
        <family val="2"/>
      </rPr>
      <t>d=25</t>
    </r>
  </si>
  <si>
    <r>
      <t>plastmasis muxli   90 grad.  G</t>
    </r>
    <r>
      <rPr>
        <sz val="11"/>
        <color theme="1"/>
        <rFont val="Calibri"/>
        <family val="2"/>
      </rPr>
      <t>d=32</t>
    </r>
  </si>
  <si>
    <r>
      <t>Txelkedliani plastmasis muxli   90 grad.  G</t>
    </r>
    <r>
      <rPr>
        <sz val="11"/>
        <color theme="1"/>
        <rFont val="Calibri"/>
        <family val="2"/>
      </rPr>
      <t>d=40</t>
    </r>
  </si>
  <si>
    <r>
      <t>plastmasis muxli   90 grad.  G</t>
    </r>
    <r>
      <rPr>
        <sz val="11"/>
        <color theme="1"/>
        <rFont val="Calibri"/>
        <family val="2"/>
      </rPr>
      <t>d=50</t>
    </r>
  </si>
  <si>
    <r>
      <t xml:space="preserve">plastmasis samkapi </t>
    </r>
    <r>
      <rPr>
        <sz val="11"/>
        <color theme="1"/>
        <rFont val="Calibri"/>
        <family val="2"/>
      </rPr>
      <t>d=25</t>
    </r>
  </si>
  <si>
    <r>
      <t xml:space="preserve">plastmasis samkapi </t>
    </r>
    <r>
      <rPr>
        <sz val="11"/>
        <color theme="1"/>
        <rFont val="Calibri"/>
        <family val="2"/>
      </rPr>
      <t>d=50</t>
    </r>
  </si>
  <si>
    <r>
      <t xml:space="preserve">plastmasis gadamyvani </t>
    </r>
    <r>
      <rPr>
        <sz val="11"/>
        <color theme="1"/>
        <rFont val="Calibri"/>
        <family val="2"/>
      </rPr>
      <t>d=50/25</t>
    </r>
  </si>
  <si>
    <r>
      <t xml:space="preserve">plastmasis gadamyvani </t>
    </r>
    <r>
      <rPr>
        <sz val="11"/>
        <color theme="1"/>
        <rFont val="Calibri"/>
        <family val="2"/>
      </rPr>
      <t>d=50/32</t>
    </r>
  </si>
  <si>
    <r>
      <t xml:space="preserve">plastmasis gadamyvani </t>
    </r>
    <r>
      <rPr>
        <sz val="11"/>
        <color theme="1"/>
        <rFont val="Calibri"/>
        <family val="2"/>
      </rPr>
      <t>d=50/40</t>
    </r>
  </si>
  <si>
    <r>
      <t xml:space="preserve">quro </t>
    </r>
    <r>
      <rPr>
        <sz val="11"/>
        <color theme="1"/>
        <rFont val="Calibri"/>
        <family val="2"/>
      </rPr>
      <t>d=25</t>
    </r>
  </si>
  <si>
    <r>
      <t xml:space="preserve">quro </t>
    </r>
    <r>
      <rPr>
        <sz val="11"/>
        <color theme="1"/>
        <rFont val="Calibri"/>
        <family val="2"/>
      </rPr>
      <t>d=32</t>
    </r>
  </si>
  <si>
    <r>
      <t xml:space="preserve">quro </t>
    </r>
    <r>
      <rPr>
        <sz val="11"/>
        <color theme="1"/>
        <rFont val="Calibri"/>
        <family val="2"/>
      </rPr>
      <t>d=40</t>
    </r>
  </si>
  <si>
    <r>
      <t xml:space="preserve">quro </t>
    </r>
    <r>
      <rPr>
        <sz val="11"/>
        <color theme="1"/>
        <rFont val="Calibri"/>
        <family val="2"/>
      </rPr>
      <t>d=50</t>
    </r>
  </si>
  <si>
    <r>
      <t xml:space="preserve">milsadenis samagri </t>
    </r>
    <r>
      <rPr>
        <sz val="11"/>
        <color theme="1"/>
        <rFont val="Calibri"/>
        <family val="2"/>
      </rPr>
      <t>d=40</t>
    </r>
  </si>
  <si>
    <r>
      <t xml:space="preserve">milsadenis samagri </t>
    </r>
    <r>
      <rPr>
        <sz val="11"/>
        <color theme="1"/>
        <rFont val="Calibri"/>
        <family val="2"/>
      </rPr>
      <t>d=50</t>
    </r>
  </si>
  <si>
    <t>maT Soris danadgarebi</t>
  </si>
  <si>
    <t>feradi Tunuqi</t>
  </si>
  <si>
    <t>10-29-5gam</t>
  </si>
  <si>
    <t xml:space="preserve">tixris mowyoba T/muyaoTi </t>
  </si>
  <si>
    <t>СН и П
IV-2-82 20-1-1</t>
  </si>
  <si>
    <t>saventilacio haersatarebi</t>
  </si>
  <si>
    <t>მ2</t>
  </si>
  <si>
    <t>СН и П
IV-2-82 20-7-1</t>
  </si>
  <si>
    <t xml:space="preserve">haeris modinebiT-gamwovi maregulirebeli cxauri </t>
  </si>
  <si>
    <t>СН и П
IV-2-82 20-22-6</t>
  </si>
  <si>
    <t>СН и П
IV-2-82 20-42-1</t>
  </si>
  <si>
    <t>saventilacio maregulirebeli sarqvelebi</t>
  </si>
  <si>
    <t xml:space="preserve">haeris gamwovi difuzori </t>
  </si>
  <si>
    <t>snda w IV -6-82w. Tavi 6 12-548-1</t>
  </si>
  <si>
    <t>spilenZis milakebis gayvana</t>
  </si>
  <si>
    <t xml:space="preserve">Sromis xarji </t>
  </si>
  <si>
    <t>spilenZis milakis Rirebuleba</t>
  </si>
  <si>
    <t>СН и П
IV-2-82 16-7-1</t>
  </si>
  <si>
    <t>1-8</t>
  </si>
  <si>
    <t>sxva masalebi</t>
  </si>
  <si>
    <t>polieTilenis milebis gayvana</t>
  </si>
  <si>
    <t>fitingebi</t>
  </si>
  <si>
    <t>safex</t>
  </si>
  <si>
    <t>indaos (parapetis da sendviCpanelis SeuRlebis adgili) karkasis mowyoba xe-masaliT</t>
  </si>
  <si>
    <t>wvimasawreti milebis mowyoba</t>
  </si>
  <si>
    <t>aivnis parapetis lesva qviSa-cementis  xsnariT</t>
  </si>
  <si>
    <t>aivnis fasadis lesva qviSa-cementis  xsnariT</t>
  </si>
  <si>
    <t xml:space="preserve"> Riobebis Sevseba aluminis profilis kar-fanjriT</t>
  </si>
  <si>
    <t>tualetebSi tixrebis mowyoba karebebis CaTvliT</t>
  </si>
  <si>
    <t>sayvavile qoTnebis mowyoba fibrobetonis masaliT (120X120X60 sm)</t>
  </si>
  <si>
    <t>sayvavile qoTnebis SefuTva damuSavebuli xis ficriT</t>
  </si>
  <si>
    <t>sayavavile qoTnebSi nargavebis dargva</t>
  </si>
  <si>
    <t>dekoratiuli skamebis mowyoba qoTnebis garSemo (proeqtis mixedviT)</t>
  </si>
  <si>
    <t>fanjrebis rafebze Tunuqis sacremleebis mowyoba</t>
  </si>
  <si>
    <t>kibis safexurebis mopirkeTeba xis masaliT</t>
  </si>
  <si>
    <t>Siga wyalmomaragebis da sakanalizacio qselis mowyobis samuSaoebi</t>
  </si>
  <si>
    <t>sakanalizacio qselis mowyoba</t>
  </si>
  <si>
    <t>sakanalizacio fasonuri nawilebis  mowyoba</t>
  </si>
  <si>
    <r>
      <t xml:space="preserve">mili  polieTilenis d=40 mm </t>
    </r>
    <r>
      <rPr>
        <sz val="10"/>
        <rFont val="Times New Roman"/>
        <family val="1"/>
      </rPr>
      <t>PP-R PN20</t>
    </r>
  </si>
  <si>
    <t>civi wyalmomaragebis mowyoba</t>
  </si>
  <si>
    <t>cxeli wyalmomaragebis qselis mowyoba</t>
  </si>
  <si>
    <t>wylis eleqtrogamacxeleblebis montaJi tualetebsa da kafeSi</t>
  </si>
  <si>
    <r>
      <t>sakanalizacio milebis</t>
    </r>
    <r>
      <rPr>
        <b/>
        <sz val="11"/>
        <rFont val="Calibri"/>
        <family val="2"/>
      </rPr>
      <t xml:space="preserve"> d</t>
    </r>
    <r>
      <rPr>
        <b/>
        <sz val="11"/>
        <rFont val="AcadNusx"/>
        <family val="0"/>
      </rPr>
      <t>=100mm mowyoba</t>
    </r>
  </si>
  <si>
    <r>
      <t>polieTilenis sakanalizacio milebis</t>
    </r>
    <r>
      <rPr>
        <b/>
        <sz val="11"/>
        <rFont val="Calibri"/>
        <family val="2"/>
      </rPr>
      <t xml:space="preserve"> d</t>
    </r>
    <r>
      <rPr>
        <b/>
        <sz val="11"/>
        <rFont val="AcadNusx"/>
        <family val="0"/>
      </rPr>
      <t>=50mm mowyoba</t>
    </r>
  </si>
  <si>
    <r>
      <t xml:space="preserve">wyalsadenis polieTilenis  milebis mowyoba  d=63mm </t>
    </r>
    <r>
      <rPr>
        <b/>
        <sz val="11"/>
        <rFont val="Times New Roman"/>
        <family val="1"/>
      </rPr>
      <t>PP-R PN20</t>
    </r>
  </si>
  <si>
    <r>
      <t xml:space="preserve">wyalsadenis polipropilenis milebis mowy.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 xml:space="preserve">=32mm </t>
    </r>
    <r>
      <rPr>
        <b/>
        <sz val="11"/>
        <rFont val="Cambria"/>
        <family val="1"/>
      </rPr>
      <t>PP-R PN20</t>
    </r>
  </si>
  <si>
    <r>
      <t xml:space="preserve">wyalsadenis polipropilenis milebis mowy.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 xml:space="preserve">=25mm </t>
    </r>
    <r>
      <rPr>
        <b/>
        <sz val="11"/>
        <rFont val="Cambria"/>
        <family val="1"/>
      </rPr>
      <t>PP-R PN20</t>
    </r>
  </si>
  <si>
    <t>muxli plastmasis d=63 mm</t>
  </si>
  <si>
    <t>muxli plastmasis d=50 mm</t>
  </si>
  <si>
    <t>muxli plastmasis d=32 mm</t>
  </si>
  <si>
    <t>muxli plastmasis d=25mm</t>
  </si>
  <si>
    <t>quro plastmasis d=63 mm</t>
  </si>
  <si>
    <t>quro plastmasis d=50 mm</t>
  </si>
  <si>
    <t>quro plastmasis d=40 mm</t>
  </si>
  <si>
    <t>quro plastmasis d=32 mm</t>
  </si>
  <si>
    <t>quro plastmasis d=25mm</t>
  </si>
  <si>
    <r>
      <t xml:space="preserve">ventilebis mowyoba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>=63 mm-mde</t>
    </r>
  </si>
  <si>
    <r>
      <t xml:space="preserve">ventilebis mowyoba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>=50mm-mde</t>
    </r>
  </si>
  <si>
    <r>
      <t xml:space="preserve">polieTilenis minaboWkovani milebis mowy.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 xml:space="preserve">=32mm </t>
    </r>
    <r>
      <rPr>
        <b/>
        <sz val="11"/>
        <rFont val="Cambria"/>
        <family val="1"/>
      </rPr>
      <t>PN20</t>
    </r>
  </si>
  <si>
    <r>
      <t xml:space="preserve">polieTilenis minaboWkovani milebis mowy.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 xml:space="preserve">=25mm </t>
    </r>
    <r>
      <rPr>
        <b/>
        <sz val="11"/>
        <rFont val="Cambria"/>
        <family val="1"/>
      </rPr>
      <t>R PN20</t>
    </r>
  </si>
  <si>
    <r>
      <t xml:space="preserve">polieTilenis minaboWkovani milebis mowy. </t>
    </r>
    <r>
      <rPr>
        <b/>
        <sz val="11"/>
        <rFont val="Cambria"/>
        <family val="1"/>
      </rPr>
      <t>d</t>
    </r>
    <r>
      <rPr>
        <b/>
        <sz val="11"/>
        <rFont val="AcadNusx"/>
        <family val="0"/>
      </rPr>
      <t xml:space="preserve">=20mm </t>
    </r>
    <r>
      <rPr>
        <b/>
        <sz val="11"/>
        <rFont val="Cambria"/>
        <family val="1"/>
      </rPr>
      <t>PN20</t>
    </r>
  </si>
  <si>
    <t>muxli plastmasis d=25 mm</t>
  </si>
  <si>
    <t>muxli plastmasis d=20 mm</t>
  </si>
  <si>
    <t>quro plastmasis d=25 mm</t>
  </si>
  <si>
    <t>quro plastmasis d=20 mm</t>
  </si>
  <si>
    <r>
      <t xml:space="preserve">mili  polieTilenis d=50 mm </t>
    </r>
    <r>
      <rPr>
        <sz val="10"/>
        <rFont val="Times New Roman"/>
        <family val="1"/>
      </rPr>
      <t>PP-R PN20</t>
    </r>
  </si>
  <si>
    <t>gare sakanalizacio da gare xanZarsawinaRmdego qselis mowyoba</t>
  </si>
  <si>
    <t>gare xanZarsawinaRmdego qselis mowyoba</t>
  </si>
  <si>
    <r>
      <t xml:space="preserve">safarTovebeli avzi V=1000l (16 </t>
    </r>
    <r>
      <rPr>
        <b/>
        <sz val="10"/>
        <rFont val="Times New Roman"/>
        <family val="1"/>
      </rPr>
      <t>Bar</t>
    </r>
    <r>
      <rPr>
        <b/>
        <sz val="10"/>
        <rFont val="AcadNusx"/>
        <family val="2"/>
      </rPr>
      <t>)</t>
    </r>
  </si>
  <si>
    <r>
      <t xml:space="preserve"> filtris montaJi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>=90</t>
    </r>
  </si>
  <si>
    <r>
      <t xml:space="preserve">ukusarqvelis (CamRvreliT) mowyoba </t>
    </r>
    <r>
      <rPr>
        <b/>
        <sz val="11"/>
        <rFont val="Cambria"/>
        <family val="1"/>
      </rPr>
      <t>DN</t>
    </r>
    <r>
      <rPr>
        <b/>
        <sz val="11"/>
        <rFont val="AcadNusx"/>
        <family val="0"/>
      </rPr>
      <t xml:space="preserve">=90 </t>
    </r>
  </si>
  <si>
    <t>safarTovebeli avzis montaJi V=1000l</t>
  </si>
  <si>
    <t>liTonis  elementebis SeRebva zeTis saRebavebiT</t>
  </si>
  <si>
    <t>mon. r/betonis gadaxurvis filis  mowyoba +6.55 niSnulze</t>
  </si>
  <si>
    <t>monoliTuri r/b rigelebis (mr-1)-is mowyoba</t>
  </si>
  <si>
    <t>monoliTuri r/b rigelebis (mr-2)-is mowyoba</t>
  </si>
  <si>
    <t>betoni ~b-25</t>
  </si>
  <si>
    <t>betoni ~B30~</t>
  </si>
  <si>
    <t>III kategoriis gruntis damuSaveba xeliT</t>
  </si>
  <si>
    <t>hidrosaizolacio masala</t>
  </si>
  <si>
    <t>horizontaluri hidroizolaciis mowyoba qviSa-cementis xsnariT da Txevadi hidrosaizolacio masaliT</t>
  </si>
  <si>
    <t>SSm pirTaTvis gankuTvnili liftis montaJi (kibis baqnis simaRle 1.9 m., kibis standartuli simaRlis safexurebiT, raodenobiT 11 cali) kibis gverdiT kedelze</t>
  </si>
  <si>
    <t>svel wertilebSi Werze nestgamZle TabaSirmuyaos gakvra</t>
  </si>
  <si>
    <t>`arko~ ventili</t>
  </si>
  <si>
    <t>drekadi Slangi</t>
  </si>
  <si>
    <t>gare sakanalizacio da gare xanZarsawinaRmdego qselis mowyobis samuSaoebi</t>
  </si>
  <si>
    <t>gruntis datvirTva xeliT avtoTviTmclelze 60X1,8=</t>
  </si>
  <si>
    <t>balastis Cayra</t>
  </si>
  <si>
    <t>monoliT. rkina-betonis avzis mowyoba</t>
  </si>
  <si>
    <t xml:space="preserve">jami I da II Tavebis  </t>
  </si>
  <si>
    <t>aivanze cementis moWimvis mowyoba sisq. 70mm</t>
  </si>
  <si>
    <t xml:space="preserve">aivnis Weris qviSa-cementis xsnariT Selesva </t>
  </si>
  <si>
    <t>aivnis moajiris SeRebva zeTis saRebaviT</t>
  </si>
  <si>
    <t>TabaSirmuyaos tixaris masala (kompleqti)</t>
  </si>
  <si>
    <t>iatakze penoplastis filebis mowyoba</t>
  </si>
  <si>
    <t>penoplastis fila sisqiT 8 sm</t>
  </si>
  <si>
    <t>fasadis mopirkeTeba betopanis filebiT (arsebul liTonkonstruqciaze)</t>
  </si>
  <si>
    <t>indaos karkasis dafarva TunuqiT</t>
  </si>
  <si>
    <t>eklaris qvis fila sisq. 12 mm</t>
  </si>
  <si>
    <t xml:space="preserve">aluminis profilis vitraJis  mowyoba </t>
  </si>
  <si>
    <t xml:space="preserve"> Seminuli aluminis vitraJis (SeminviT) Rirebuleba</t>
  </si>
  <si>
    <t>safexuri xis (damuSavebuli) ix. proeqti</t>
  </si>
  <si>
    <t xml:space="preserve">qviSa-cementis xsnari </t>
  </si>
  <si>
    <t>პოლიეთილენის საკაბელო საკომუნიკაციო  ჭა 600 მმ, ჰერმეტული სახურავით (პროექტით)</t>
  </si>
  <si>
    <t>safiTxni</t>
  </si>
  <si>
    <r>
      <t>foladis (</t>
    </r>
    <r>
      <rPr>
        <b/>
        <sz val="10"/>
        <rFont val="Times New Roman"/>
        <family val="1"/>
      </rPr>
      <t>DN90</t>
    </r>
    <r>
      <rPr>
        <b/>
        <sz val="10"/>
        <rFont val="AcadNusx"/>
        <family val="0"/>
      </rPr>
      <t xml:space="preserve"> კედლის სისქე 3მმ) milebis mowyoba </t>
    </r>
  </si>
  <si>
    <r>
      <t xml:space="preserve">milis Rirebuleba </t>
    </r>
    <r>
      <rPr>
        <sz val="10"/>
        <rFont val="Cambria"/>
        <family val="1"/>
      </rPr>
      <t>(DN90</t>
    </r>
    <r>
      <rPr>
        <sz val="10"/>
        <rFont val="Cambria"/>
        <family val="1"/>
      </rPr>
      <t>კედლის სისქე 3მმ)</t>
    </r>
  </si>
  <si>
    <r>
      <t xml:space="preserve">foladis milebis mowyoba </t>
    </r>
    <r>
      <rPr>
        <b/>
        <sz val="10"/>
        <rFont val="Cambria"/>
        <family val="1"/>
      </rPr>
      <t>(DN32 კედლის სისქე 2.8 მმ)</t>
    </r>
    <r>
      <rPr>
        <b/>
        <sz val="10"/>
        <rFont val="AcadNusx"/>
        <family val="0"/>
      </rPr>
      <t xml:space="preserve"> </t>
    </r>
  </si>
  <si>
    <r>
      <t>foladis (</t>
    </r>
    <r>
      <rPr>
        <b/>
        <sz val="10"/>
        <rFont val="Times New Roman"/>
        <family val="1"/>
      </rPr>
      <t>DN90</t>
    </r>
    <r>
      <rPr>
        <b/>
        <sz val="10"/>
        <rFont val="AcadNusx"/>
        <family val="0"/>
      </rPr>
      <t xml:space="preserve">კედლის სისქე 3მმ) milebis mowyoba </t>
    </r>
  </si>
  <si>
    <r>
      <t xml:space="preserve">foladis milebis mowyoba </t>
    </r>
    <r>
      <rPr>
        <b/>
        <sz val="10"/>
        <rFont val="Cambria"/>
        <family val="1"/>
      </rPr>
      <t xml:space="preserve">(DN80 </t>
    </r>
    <r>
      <rPr>
        <b/>
        <sz val="10"/>
        <rFont val="Cambria"/>
        <family val="1"/>
      </rPr>
      <t xml:space="preserve"> კედლის სისქე 3)</t>
    </r>
  </si>
  <si>
    <r>
      <t xml:space="preserve">foladis milebis mowyoba </t>
    </r>
    <r>
      <rPr>
        <b/>
        <sz val="10"/>
        <rFont val="Cambria"/>
        <family val="1"/>
      </rPr>
      <t xml:space="preserve">(DN65 </t>
    </r>
    <r>
      <rPr>
        <b/>
        <sz val="10"/>
        <rFont val="Cambria"/>
        <family val="1"/>
      </rPr>
      <t xml:space="preserve"> კედლის სისქე 3მმ)</t>
    </r>
  </si>
  <si>
    <r>
      <t xml:space="preserve">foladis milebis mowyoba </t>
    </r>
    <r>
      <rPr>
        <b/>
        <sz val="10"/>
        <rFont val="Cambria"/>
        <family val="1"/>
      </rPr>
      <t>(DN50  კედლის სისქე 2.8 მმ)</t>
    </r>
    <r>
      <rPr>
        <b/>
        <sz val="10"/>
        <rFont val="AcadNusx"/>
        <family val="0"/>
      </rPr>
      <t xml:space="preserve"> </t>
    </r>
  </si>
  <si>
    <r>
      <t xml:space="preserve">foladis milebis mowyoba </t>
    </r>
    <r>
      <rPr>
        <b/>
        <sz val="10"/>
        <rFont val="Cambria"/>
        <family val="1"/>
      </rPr>
      <t>(DN40 კედლის სისქე 2.8 მმ)</t>
    </r>
    <r>
      <rPr>
        <b/>
        <sz val="10"/>
        <rFont val="AcadNusx"/>
        <family val="0"/>
      </rPr>
      <t xml:space="preserve"> </t>
    </r>
  </si>
  <si>
    <r>
      <t xml:space="preserve">foladis milebis mowyoba </t>
    </r>
    <r>
      <rPr>
        <b/>
        <sz val="10"/>
        <rFont val="Cambria"/>
        <family val="1"/>
      </rPr>
      <t>(DN32  სისქე 2.8 მმ)</t>
    </r>
    <r>
      <rPr>
        <b/>
        <sz val="10"/>
        <rFont val="AcadNusx"/>
        <family val="0"/>
      </rPr>
      <t xml:space="preserve"> </t>
    </r>
  </si>
  <si>
    <r>
      <t xml:space="preserve">foladis milebis mowyoba </t>
    </r>
    <r>
      <rPr>
        <b/>
        <sz val="10"/>
        <rFont val="Cambria"/>
        <family val="1"/>
      </rPr>
      <t>(DN25  კედლის სისქე 2.8 მმ)</t>
    </r>
    <r>
      <rPr>
        <b/>
        <sz val="10"/>
        <rFont val="AcadNusx"/>
        <family val="0"/>
      </rPr>
      <t xml:space="preserve"> </t>
    </r>
  </si>
  <si>
    <r>
      <t xml:space="preserve">milis Rirebuleba </t>
    </r>
    <r>
      <rPr>
        <sz val="10"/>
        <rFont val="Cambria"/>
        <family val="1"/>
      </rPr>
      <t xml:space="preserve"> (DN40 კედლის სისქე 2.8 მმ)</t>
    </r>
  </si>
  <si>
    <r>
      <t>foladis (</t>
    </r>
    <r>
      <rPr>
        <b/>
        <sz val="10"/>
        <rFont val="Times New Roman"/>
        <family val="1"/>
      </rPr>
      <t>DN100</t>
    </r>
    <r>
      <rPr>
        <b/>
        <sz val="10"/>
        <rFont val="AcadNusx"/>
        <family val="0"/>
      </rPr>
      <t xml:space="preserve"> კედლის სისქე 4 მმ) milebis mowyoba </t>
    </r>
  </si>
  <si>
    <t xml:space="preserve">sprinkleri kedlis </t>
  </si>
  <si>
    <r>
      <t xml:space="preserve">milis Rirebuleba </t>
    </r>
    <r>
      <rPr>
        <sz val="10"/>
        <rFont val="Cambria"/>
        <family val="1"/>
      </rPr>
      <t>(DN100</t>
    </r>
    <r>
      <rPr>
        <sz val="10"/>
        <rFont val="Cambria"/>
        <family val="1"/>
      </rPr>
      <t xml:space="preserve"> კედლის სისქე 4 მმ)</t>
    </r>
  </si>
  <si>
    <t>10-6-3.</t>
  </si>
  <si>
    <t xml:space="preserve">kedlebze daSponili mdf-is gakvra </t>
  </si>
  <si>
    <t>TabaSirmuyaos fila (kompleqti)</t>
  </si>
  <si>
    <r>
      <t xml:space="preserve">foladis milebis mowyoba </t>
    </r>
    <r>
      <rPr>
        <b/>
        <sz val="10"/>
        <rFont val="Cambria"/>
        <family val="1"/>
      </rPr>
      <t>(DN50 კედლის სისქე 2.8 მმ)</t>
    </r>
    <r>
      <rPr>
        <b/>
        <sz val="10"/>
        <rFont val="AcadNusx"/>
        <family val="0"/>
      </rPr>
      <t xml:space="preserve"> </t>
    </r>
  </si>
  <si>
    <r>
      <t xml:space="preserve">milis Rirebuleba </t>
    </r>
    <r>
      <rPr>
        <sz val="10"/>
        <rFont val="Cambria"/>
        <family val="1"/>
      </rPr>
      <t xml:space="preserve"> (DN50 კედლის სისქე 2.8 მმ)</t>
    </r>
  </si>
  <si>
    <r>
      <t xml:space="preserve">milis Rirebuleba </t>
    </r>
    <r>
      <rPr>
        <sz val="10"/>
        <rFont val="Cambria"/>
        <family val="1"/>
      </rPr>
      <t xml:space="preserve"> (DN32 კედლის სისქე 2.8 მმ)</t>
    </r>
  </si>
  <si>
    <r>
      <t xml:space="preserve">milis Rirebuleba </t>
    </r>
    <r>
      <rPr>
        <sz val="10"/>
        <rFont val="Cambria"/>
        <family val="1"/>
      </rPr>
      <t>(DN90</t>
    </r>
    <r>
      <rPr>
        <sz val="10"/>
        <rFont val="Cambria"/>
        <family val="1"/>
      </rPr>
      <t xml:space="preserve"> კედლის სისქე 3მმ)</t>
    </r>
  </si>
  <si>
    <r>
      <t xml:space="preserve">milis Rirebuleba </t>
    </r>
    <r>
      <rPr>
        <sz val="10"/>
        <rFont val="Cambria"/>
        <family val="1"/>
      </rPr>
      <t>(DN80 კედლის სისქე 3მმ)</t>
    </r>
  </si>
  <si>
    <r>
      <t xml:space="preserve">milis Rirebuleba </t>
    </r>
    <r>
      <rPr>
        <sz val="10"/>
        <rFont val="Cambria"/>
        <family val="1"/>
      </rPr>
      <t>(DN65 კედლის სისქე 3 მმ)</t>
    </r>
  </si>
  <si>
    <r>
      <t xml:space="preserve">milis Rirebuleba </t>
    </r>
    <r>
      <rPr>
        <sz val="10"/>
        <rFont val="Cambria"/>
        <family val="1"/>
      </rPr>
      <t xml:space="preserve"> (DN25 კედლის სისქე 2.8 მმ)</t>
    </r>
  </si>
  <si>
    <r>
      <t xml:space="preserve">wylis saxanZro tumbo </t>
    </r>
    <r>
      <rPr>
        <b/>
        <sz val="11"/>
        <rFont val="Cambria"/>
        <family val="1"/>
      </rPr>
      <t>Q=25.3</t>
    </r>
    <r>
      <rPr>
        <b/>
        <sz val="11"/>
        <rFont val="AcadNusx"/>
        <family val="0"/>
      </rPr>
      <t>m</t>
    </r>
    <r>
      <rPr>
        <b/>
        <sz val="11"/>
        <rFont val="Calibri"/>
        <family val="2"/>
      </rPr>
      <t>³</t>
    </r>
    <r>
      <rPr>
        <b/>
        <sz val="11"/>
        <rFont val="AcadNusx"/>
        <family val="0"/>
      </rPr>
      <t xml:space="preserve">/sT; </t>
    </r>
    <r>
      <rPr>
        <b/>
        <sz val="11"/>
        <rFont val="Cambria"/>
        <family val="1"/>
      </rPr>
      <t xml:space="preserve">H=73 </t>
    </r>
    <r>
      <rPr>
        <b/>
        <sz val="11"/>
        <rFont val="AcadNusx"/>
        <family val="0"/>
      </rPr>
      <t>m; safuZvlis CarCoTi da marTvis karadiT</t>
    </r>
  </si>
  <si>
    <t>zednadebi xarjebi danadgarebis montaJze xelfasidan</t>
  </si>
  <si>
    <t>liTonis baza-1-is montaJi</t>
  </si>
  <si>
    <t>liTonis baza-2-is montaJi</t>
  </si>
  <si>
    <t>liTonis  svetebis (ls-1) montaJi (ix.proeqti)</t>
  </si>
  <si>
    <t>liTonis  svetebis (ls-4) montaJi (ix.proeqti)</t>
  </si>
  <si>
    <t>liTonis  svetebis (ls-6) montaJi (ix.proeqti)</t>
  </si>
  <si>
    <t>liTonis  svetebis (ls-7) montaJi (ix.proeqti)</t>
  </si>
  <si>
    <t>liTonis  svetebis (ls-2) montaJi (ix.proeqti)</t>
  </si>
  <si>
    <t>liTonis  svetebis (ls-5) montaJi (ix.proeqti)</t>
  </si>
  <si>
    <t>liTonis  svetebis (ls-3) montaJi (ix.proeqti)</t>
  </si>
  <si>
    <t>liTonis rigelebis (l.r.-1, lr-2, lr-3, lr-4) montaJi (ix. proeqti)</t>
  </si>
  <si>
    <t>liTonis furceli -14X620</t>
  </si>
  <si>
    <t>liTonis furceli -14X380</t>
  </si>
  <si>
    <t>liTonis furceli -10X140</t>
  </si>
  <si>
    <t>liTonis grZivebi mWimebis (grZ.-1) montaJi (ix. proeqti)</t>
  </si>
  <si>
    <t>liTonis furceli -6X272</t>
  </si>
  <si>
    <t>liTonis furceli -6X140</t>
  </si>
  <si>
    <t>liTonis furceli -6X57</t>
  </si>
  <si>
    <t>liTonis furceli -6X100</t>
  </si>
  <si>
    <t>liTonis furceli -6X199</t>
  </si>
  <si>
    <t>6-3-5.</t>
  </si>
  <si>
    <t>yalibis xis masala</t>
  </si>
  <si>
    <t xml:space="preserve">kibis mon. r/b saZirkvlis mowyoba </t>
  </si>
  <si>
    <r>
      <t>betoni ~</t>
    </r>
    <r>
      <rPr>
        <sz val="10"/>
        <rFont val="Times New Roman"/>
        <family val="1"/>
      </rPr>
      <t>B 25''</t>
    </r>
  </si>
  <si>
    <t xml:space="preserve">liTonis kibis mowyoba </t>
  </si>
  <si>
    <t>kvadratuli mili 100X100X4</t>
  </si>
  <si>
    <t>kuTxovana 100X6.3X6</t>
  </si>
  <si>
    <t>kuTxovana 100X100X6.5</t>
  </si>
  <si>
    <t xml:space="preserve">kibis-1-is mon. r/b saZirkvlis mowyoba </t>
  </si>
  <si>
    <t xml:space="preserve">liTonis kibis (kibe-1) mowyoba </t>
  </si>
  <si>
    <t>liTonis  svetebis (ls-8) montaJi (ix.proeqti)</t>
  </si>
  <si>
    <t>webo-cementi</t>
  </si>
  <si>
    <t>mdf-is tixari (damagrebuli aluminis fexebze)</t>
  </si>
  <si>
    <t>maTSoris mowyobiloba</t>
  </si>
  <si>
    <t>gegmiuri mogeba mowyobilobis Rirebulebis gamoklebiT</t>
  </si>
  <si>
    <r>
      <rPr>
        <b/>
        <sz val="11"/>
        <color indexed="8"/>
        <rFont val="AcadNusx"/>
        <family val="0"/>
      </rPr>
      <t>gegmiuri dagroveba liftis Rirebulebis gamoklebiT</t>
    </r>
    <r>
      <rPr>
        <b/>
        <sz val="11"/>
        <color indexed="8"/>
        <rFont val="Calibri"/>
        <family val="2"/>
      </rPr>
      <t xml:space="preserve"> </t>
    </r>
  </si>
  <si>
    <t>gegmiuri dagroveba danadgerebis Rirebulebis gamoklebiT</t>
  </si>
  <si>
    <t>jami I el.samontaJo samuSaoebi:</t>
  </si>
  <si>
    <t>nawili I el.samontaJo samuSaoebi</t>
  </si>
  <si>
    <t xml:space="preserve"> კომპიუტერული ქსელი (შენიშვნა: აპარატურის შეძენამდე პარამეტრები შეთანხმდეს დამკვეთთან)</t>
  </si>
  <si>
    <t>nawili II</t>
  </si>
  <si>
    <t>sul jami I da II</t>
  </si>
  <si>
    <t>8-400-1</t>
  </si>
  <si>
    <t>gr/m</t>
  </si>
  <si>
    <t xml:space="preserve">manqanebi  </t>
  </si>
  <si>
    <t xml:space="preserve">el.kabelეbis montaJi </t>
  </si>
  <si>
    <t>8-419-1</t>
  </si>
  <si>
    <t>საბაზრო</t>
  </si>
  <si>
    <t xml:space="preserve">საკაბელო arxis montaJi </t>
  </si>
  <si>
    <t xml:space="preserve">milebis da kabel arxis montaJi </t>
  </si>
  <si>
    <t>8-591-2</t>
  </si>
  <si>
    <t>CamrTvelის montaJi</t>
  </si>
  <si>
    <t>8-591-7</t>
  </si>
  <si>
    <t xml:space="preserve">საშტეპსელო rozetebis montaJi damiwebiT </t>
  </si>
  <si>
    <t>8-525--1</t>
  </si>
  <si>
    <t>el.avtomatebis montaJi</t>
  </si>
  <si>
    <t>შრომის დანახარჯი</t>
  </si>
  <si>
    <t>8-599-2</t>
  </si>
  <si>
    <t xml:space="preserve">   sanaTebis montaJi </t>
  </si>
  <si>
    <t>8-612-8</t>
  </si>
  <si>
    <t>მანქანები</t>
  </si>
  <si>
    <t>el.avtomatebis  და კონტაქტორების montaJi</t>
  </si>
  <si>
    <t>jami II kompiuteruli qseli და სახანძრო სიგნალიზაცია</t>
  </si>
  <si>
    <t xml:space="preserve">kabelეbis montaJi </t>
  </si>
  <si>
    <t xml:space="preserve">საშტეპსელო rozetebis montaJi </t>
  </si>
  <si>
    <t xml:space="preserve">milebis  montaJi </t>
  </si>
  <si>
    <t>მათ შორის მოწყობილობა</t>
  </si>
  <si>
    <t>gegmiuri mogeba მოწყობილობის ღირებულების გამოკლებით</t>
  </si>
  <si>
    <t>droebiTi Senoba nagebobebi</t>
  </si>
  <si>
    <t>proffenilis furclebi samagri elementebiT</t>
  </si>
  <si>
    <t>karkasis elementebi oTxkuTxa foladis milebisagan</t>
  </si>
  <si>
    <t>fasadze damcavi badis mowyoba</t>
  </si>
  <si>
    <t xml:space="preserve"> შენიშვნა:   გაუთვალისწინებელი ხარჯი (4%) არის უცვლელი.</t>
  </si>
  <si>
    <t xml:space="preserve">dRg  </t>
  </si>
  <si>
    <t>SSm pirTaTvis gankuTvnili lifti</t>
  </si>
  <si>
    <t>droebiTi SemoRobvis mowyoba gvirabebiT, konsolebiT.</t>
  </si>
  <si>
    <t>samSeneblo nawili</t>
  </si>
  <si>
    <t>ღირებულება ლარებში</t>
  </si>
  <si>
    <t>NN</t>
  </si>
  <si>
    <t>samuSaoebis dasaxeleba</t>
  </si>
  <si>
    <t xml:space="preserve">samSeneblo meqanizmebi </t>
  </si>
  <si>
    <t>Tssu-s admonistraciuli korpusi. MI sarTulze dacvis oTaxis da tualetebis rkonstruqciis  samuSaoebi</t>
  </si>
  <si>
    <t>СНиП IV-2-82                   46-32-3</t>
  </si>
  <si>
    <t xml:space="preserve">karis blokis moxsna </t>
  </si>
  <si>
    <t>СНиП IV-2-82                   46-32-2</t>
  </si>
  <si>
    <t xml:space="preserve">fanjris (სარკმელების blokis moxsna </t>
  </si>
  <si>
    <t>СНиП IV-2-82                   46-30-3</t>
  </si>
  <si>
    <t>iatakidan laminantis safaris ayra</t>
  </si>
  <si>
    <t>iatakidan მეტლახის ფილის  safaris ayra</t>
  </si>
  <si>
    <t>СНиП IV-2-82                   46-31-2</t>
  </si>
  <si>
    <t>იატაკიდან ქვიშა-ცემენტის მოჭიმვis ayra</t>
  </si>
  <si>
    <t>კედლებიდან და ტიხრებიდან კაფელის ფილების მონგრევა</t>
  </si>
  <si>
    <t>СНиП IV-2-82                   46-23-5</t>
  </si>
  <si>
    <t xml:space="preserve">ბლოკis tixrebis daSla </t>
  </si>
  <si>
    <t>СНиП IV-2-82                   46-16-1</t>
  </si>
  <si>
    <t>შეკიდული ჭერის დემონტაჟი</t>
  </si>
  <si>
    <t xml:space="preserve">samSeneblo narCenebisa da nagvis datvirTva xeliT a/TviTmclelebze </t>
  </si>
  <si>
    <t>ton</t>
  </si>
  <si>
    <t>s.r.f 15-21</t>
  </si>
  <si>
    <t>samSeneblo  narCenebisa da nagvis gazidva a/TviTmclelebiT 25 km</t>
  </si>
  <si>
    <t>СНиП  IV-2-82 8-17-3</t>
  </si>
  <si>
    <t>ტიხრების წყობა წვრილი საამშენებლო ბლოკით 10 სმ სისქით არმირებით</t>
  </si>
  <si>
    <t>SromiTi resursi</t>
  </si>
  <si>
    <t>ბლოკი საამშენებლო 39*10*19 სმ</t>
  </si>
  <si>
    <t>ქვიშა-ცემენტის ხსნარი</t>
  </si>
  <si>
    <t>მ3</t>
  </si>
  <si>
    <t>არმატურა</t>
  </si>
  <si>
    <t>კგ</t>
  </si>
  <si>
    <t>სხვა მასალა</t>
  </si>
  <si>
    <t>СНиП IV-2-82                   9-14-6</t>
  </si>
  <si>
    <t>aluminis Seminuli saofise tixrebis mowyoba simaRliT 2.50 sm karebebiT  დასარკელებით</t>
  </si>
  <si>
    <t>aluminis Seminuli saofise tixrebi karebiT</t>
  </si>
  <si>
    <t>saxva masala</t>
  </si>
  <si>
    <t>СНиП  IV-2-82 11-8-1.2</t>
  </si>
  <si>
    <t>ქვიშა-ცემენტის ხსნარის მოჭიმვის მოწყობა 3 სმ სისქით</t>
  </si>
  <si>
    <t>СНиП IV-2-82                   11-27-4</t>
  </si>
  <si>
    <t>iatakze axali laminirebuli filabis dageba plintusebis mowyobiT</t>
  </si>
  <si>
    <t>parketi laminirebuli qvesadebiT</t>
  </si>
  <si>
    <t>plintusi laminirebuli</t>
  </si>
  <si>
    <t>g.m</t>
  </si>
  <si>
    <t>СНиП  IV-2-82 11-30-6</t>
  </si>
  <si>
    <t>კარამოგრანიტის ფილების დაგება (ფერი შეთანხმდეს პროექტის ავტორთან</t>
  </si>
  <si>
    <t>კერამოგრანიტის ფილა</t>
  </si>
  <si>
    <t>წებო-ცემენტი</t>
  </si>
  <si>
    <t>СНиП IV-2-82                   10-20-3</t>
  </si>
  <si>
    <t xml:space="preserve">m.d.f-is karis blokis mowyoba </t>
  </si>
  <si>
    <t>m.d.f-is karis bloki ხელსაწყოებით</t>
  </si>
  <si>
    <t>შასასვლელი და შ.შ. პირებისთვის m.d.f-is karis bloki ხელსაწყოებით</t>
  </si>
  <si>
    <t>СНиП IV-2-82                   9-14-2</t>
  </si>
  <si>
    <t>ალუმინis სარკმელებis mowyoba</t>
  </si>
  <si>
    <t>ალუმინis სარკმელებi</t>
  </si>
  <si>
    <t>СНиП IV-2-82                   15-55-9</t>
  </si>
  <si>
    <t xml:space="preserve">კedlebis და ტიხრების galesva ქვიშა-ცემენტის xsnriT </t>
  </si>
  <si>
    <t>gaji</t>
  </si>
  <si>
    <t>СНиП  IV-2-82 15-14-1</t>
  </si>
  <si>
    <t>კედლების და ტიხრების მოპირკეთება კერამიკული ფილებით (კაფელი)</t>
  </si>
  <si>
    <t>კერამიკული ფილა (კაფელი)</t>
  </si>
  <si>
    <t>СНиП  IV-2-82 34-61-15</t>
  </si>
  <si>
    <t>შეკიდული ჭერის მოწყობა ნესტგამძლე თაბაშირ-მუყაოს ფილებით კარკასის მოწყობით</t>
  </si>
  <si>
    <t>შეკიდული ჭერის კარკასის ელემენტები</t>
  </si>
  <si>
    <t>ნესტგამძლე თაბაშირ-მუყაოს ფილები</t>
  </si>
  <si>
    <t>СНиП IV-2-82                   15-168-8</t>
  </si>
  <si>
    <t>Weris და დაცვის ოთახის უკანა კედლის damuSaveba da SeRebva wyalemulsiis saRebaviT</t>
  </si>
  <si>
    <t>saRebavi wyalemulsiis</t>
  </si>
  <si>
    <t>fiTxi</t>
  </si>
  <si>
    <t>Tssu-s admonistraciuli korpusisMme-II sarTulze kancelariis oTaxebis saremonto samuSaoebi</t>
  </si>
  <si>
    <t>karis blokis moxsna (Semdgomi gamoyenebisaTvis)</t>
  </si>
  <si>
    <t xml:space="preserve">fanjris blokis moxsna </t>
  </si>
  <si>
    <t>СНиП IV-2-82                   20-31-1</t>
  </si>
  <si>
    <t>arsebuki kondicionerebis demontaJi Semdgomi gamoyenebisaTvis</t>
  </si>
  <si>
    <t>k-0.5</t>
  </si>
  <si>
    <t>СНиП IV-2-82                   46-26-1</t>
  </si>
  <si>
    <t>CaSenebuli kaeradebis daSla</t>
  </si>
  <si>
    <t>СНиП IV-2-82                   46-23-4</t>
  </si>
  <si>
    <t>aguris tixrebis daSla 15 sm sisqiT</t>
  </si>
  <si>
    <t>Riobis gaWra blokis kedelSi</t>
  </si>
  <si>
    <t>СНиП IV-2-82                   10-55-6</t>
  </si>
  <si>
    <t>tixrebis mowyoba TabaSir-muyaos filebiT bgera-izolaciis mowyobiT</t>
  </si>
  <si>
    <t>TabaSir-muyaos filebi Cveulebrivi</t>
  </si>
  <si>
    <t>tixris karkasis elementebi</t>
  </si>
  <si>
    <t>bgera-izolacia qafaplastis</t>
  </si>
  <si>
    <t>СНиП IV-2-82                   9-14-3</t>
  </si>
  <si>
    <t>aluminis Seminuli saofise tixrebis mowyoba simaRliT 180 sm karebebiT</t>
  </si>
  <si>
    <t>СНиП IV-2-82                   10-20-1</t>
  </si>
  <si>
    <t>m.d.f-is karis blokis mowyoba (moxsnili)</t>
  </si>
  <si>
    <t>СНиП IV-2-82                   9-14-8</t>
  </si>
  <si>
    <t>liTonplastikis fanjris blokis mowyoba</t>
  </si>
  <si>
    <t>liTonplastikis fanjris bloki</t>
  </si>
  <si>
    <t>amoSenebuli Riobebis da kedlebis galesva gajis xsnriT alag-alag</t>
  </si>
  <si>
    <t>Weris da kedlebis damuSaveba da SeRebva wyalemulsiis saRebaviT</t>
  </si>
  <si>
    <t>kondicionerebis montaJi 1c moxsnili+ 1 c axali</t>
  </si>
  <si>
    <t>ko,pl</t>
  </si>
  <si>
    <t>axali kondicioneri (Sida da gare bloki)</t>
  </si>
  <si>
    <t>freoni Zveli kondicionerisaTvis</t>
  </si>
  <si>
    <t>Tssu-s admonistraciuli korpusis MI sarTulze sakonferencio darbazSi sademontaJo samuSaoebi</t>
  </si>
  <si>
    <t>კონდიციონერების დემონტაჟი და დასაწყობება დამკვეთის მიერ მითითებულ ადგილზე</t>
  </si>
  <si>
    <t>ВЗЕР 25-15-46</t>
  </si>
  <si>
    <t>პანელური რადიატორების მონტაჟი და დასაწყობება დამკვეთის მიერ მითითებულ ადგილზე</t>
  </si>
  <si>
    <t>ВЗЕР 25-15-39</t>
  </si>
  <si>
    <t>გათბობის მილსადენის დემონტაჟი და დასაწყობება დამკვეთის მიერ მითითებულ ადგილზე</t>
  </si>
  <si>
    <t>გ.მ</t>
  </si>
  <si>
    <t>სავარძლების დემონტაჟი და დასაწყობება დამკვეთის მიერ მითითებულ ადგილზე</t>
  </si>
  <si>
    <t>სცენის უკან გობელენების მოხსნა განსაკუთრებული სიფრთხილით და დასაწყობება დამკვეთის მიერ მითითებულ ადგილზე</t>
  </si>
  <si>
    <t>СНиП IV-2-82                   46-31-14</t>
  </si>
  <si>
    <t>რბილი იატაკის საფარის დაშლა  და დასაწყობება დამკვეთის მიერ მითითებულ ადგილზე</t>
  </si>
  <si>
    <t>СНиП IV-2-82                   46-30-2</t>
  </si>
  <si>
    <t xml:space="preserve">ხცენაზე ასასვლელი ხის კიბის და ბაქნის  დაშლა </t>
  </si>
  <si>
    <t>СНиП IV-2-82                   8-22-6</t>
  </si>
  <si>
    <t>შიდა ხარაჩოების მოწყობა შემდგომი დაშლით</t>
  </si>
  <si>
    <t>ხარაჩოს ფოლადის ელემენტები</t>
  </si>
  <si>
    <t>ხარაჩოს ხის ელემენტები</t>
  </si>
  <si>
    <t>ხის ფარი</t>
  </si>
  <si>
    <t>СНиП IV-2-82                   46-27-2</t>
  </si>
  <si>
    <t>შეკიდული ჭერის კონსტრუქციის დემონტაჟი და დასაწყობება დამკვეთის მიერ მითითებულ ადგილზე</t>
  </si>
  <si>
    <t>СНиП IV-2-82                   46-26-4</t>
  </si>
  <si>
    <t>კედლის პანელების დემონტაჟი კარკასის ელემენტებით</t>
  </si>
  <si>
    <t>Tssu-s kuTvnil teritoriaze calke mdgari erTsarTuliani saxlis saremonto samuSaoebi</t>
  </si>
  <si>
    <t>СНиП IV-2-82                   46-28-2</t>
  </si>
  <si>
    <t>Tunuqis saxurvis safaris ayra</t>
  </si>
  <si>
    <t>СНиП IV-2-82                   46-27-4</t>
  </si>
  <si>
    <t xml:space="preserve"> saxurvis molrtyvis ayra</t>
  </si>
  <si>
    <t>kedlis xis moficvris daSla</t>
  </si>
  <si>
    <t>Senobis ukan Tunuqis saCexis safaris ayra</t>
  </si>
  <si>
    <t>СНиП IV-2-82                   10-36-4</t>
  </si>
  <si>
    <t>saxuravis xis molartyvis mowyoba</t>
  </si>
  <si>
    <t>daxerxili xis masala</t>
  </si>
  <si>
    <t>saxuravis frontonis Seficvra</t>
  </si>
  <si>
    <t>СНиП IV-2-82                   12-8-5</t>
  </si>
  <si>
    <t>saxuravis gadaxurva liTonkramitis gurclebiY</t>
  </si>
  <si>
    <t>liTonkranitis furclebi daferili</t>
  </si>
  <si>
    <t>Surupi specialuri</t>
  </si>
  <si>
    <t>СНиП IV-2-82                   8-17-3</t>
  </si>
  <si>
    <t>kedlebis da tixrebis amoSeneba satixre blokiT 10 sm sisqiT armiewbiT</t>
  </si>
  <si>
    <t>satixre bloki 390*190*10</t>
  </si>
  <si>
    <t>qviSa-cementis xsnari</t>
  </si>
  <si>
    <t>СНиП IV-2-82                   11-8-1.2</t>
  </si>
  <si>
    <t>iatakze moWimvis mowyoba qviSa-cementis xsnariT 30 mm sisqiT</t>
  </si>
  <si>
    <t>СНиП IV-2-82                   11-21-2</t>
  </si>
  <si>
    <t>iatakze metlaxis filebis dageba</t>
  </si>
  <si>
    <t>fila metlaxis</t>
  </si>
  <si>
    <t>СНиП IV-2-82                   9-5-1</t>
  </si>
  <si>
    <t>liTonplastikis karis blokis mowyoba</t>
  </si>
  <si>
    <t>liTonplastikis karis bloki</t>
  </si>
  <si>
    <t>СНиП IV-2-82                   10-9-4</t>
  </si>
  <si>
    <t>Sekiduli Weris nestgamZle TabaSir-muyaos filebiT TboizolaciiT qva-bambiT</t>
  </si>
  <si>
    <t>TabaSir-muyaos Weris konstruqcia da filebi</t>
  </si>
  <si>
    <t>qva-bamba</t>
  </si>
  <si>
    <t>Sida kedlebis da tixrebis galesva qviSa-cementis xsnatiT</t>
  </si>
  <si>
    <t>СНиП IV-2-82                   15-14-1</t>
  </si>
  <si>
    <t>kedlebis da tixrebis mopirkeTeba keramikuli filebiT (kafeli)</t>
  </si>
  <si>
    <t>fila kafelis</t>
  </si>
  <si>
    <t>СНиП IV-2-82                   16-52-1</t>
  </si>
  <si>
    <t>fasadis kedlebis  galesva qviSa-cementis xsnatiT</t>
  </si>
  <si>
    <t>СНиП IV-2-82                   15-168-7</t>
  </si>
  <si>
    <t>fasadis kedlebis damuSaveba da SeRebva wyalemulsiis saRebaviT</t>
  </si>
  <si>
    <t>saRebavi wyalemulsiis safasade</t>
  </si>
  <si>
    <t>СНиП IV-2-82                   11-1-6</t>
  </si>
  <si>
    <t>Senobis garSemo RorRis fenilis mowyoba Semonakirwylis mosawyobad 15 sm sisqiT</t>
  </si>
  <si>
    <t>RorRi</t>
  </si>
  <si>
    <t>СНиП IV-2-82                   11-1-11</t>
  </si>
  <si>
    <t>betonis Semonakirwylis mowyoba Senobis garSemo</t>
  </si>
  <si>
    <t>Bbetoni m-100</t>
  </si>
  <si>
    <t>СНиП IV-2-82                   15-160-1</t>
  </si>
  <si>
    <t>frontonis xis moqicvriS damuSaveba da SeRebva zeTovani saRebaviT</t>
  </si>
  <si>
    <t>saRebavi zetovani</t>
  </si>
  <si>
    <t>fiTxi xis</t>
  </si>
  <si>
    <t xml:space="preserve">zednadebi xarjebi  </t>
  </si>
  <si>
    <t xml:space="preserve">gegmiuri mogeba   </t>
  </si>
  <si>
    <t>ლოკალური xarjTaRricxva #2-1</t>
  </si>
  <si>
    <t xml:space="preserve"> wyalmomarageba da kanalizacia </t>
  </si>
  <si>
    <t xml:space="preserve"> Tssu-s admonistraciuli korpusi. MI sarTulze dacvis oTaxis da tualetebis saremonto  samuSaoebi,</t>
  </si>
  <si>
    <t>დემონტაჟი</t>
  </si>
  <si>
    <t>ВЗЕР 2516-54;58</t>
  </si>
  <si>
    <t>უნიტაზის მოხსნა ჩასარეცხი ავზით</t>
  </si>
  <si>
    <t>ВЗЕР 25-16-53</t>
  </si>
  <si>
    <t>პირსაბნის მოხსნა შემრევი ონკანით</t>
  </si>
  <si>
    <t>ВЗЕР 25-16-60</t>
  </si>
  <si>
    <t>ტრაპის მოხსნა</t>
  </si>
  <si>
    <t>ВЗЕР 25-16-5</t>
  </si>
  <si>
    <t>ვენტილების დემონტაჟი</t>
  </si>
  <si>
    <t>ВЗЕР 25-16-1</t>
  </si>
  <si>
    <t>წყალმომარაგების მილსადენების დემონტაჟი ფასონური ნაწილებით</t>
  </si>
  <si>
    <t>გრ. მ.</t>
  </si>
  <si>
    <t>ВЗЕР 25 16-41</t>
  </si>
  <si>
    <t>სკანალიზაციო მილსადენების დემონტაჟი</t>
  </si>
  <si>
    <t>მოწყობილობა</t>
  </si>
  <si>
    <t>СНиП  IV-2-82 17--1-5</t>
  </si>
  <si>
    <t>ხელსაბანი შემრევით და ბოთლისებური სიფონით და ფეხით</t>
  </si>
  <si>
    <t>sab azro</t>
  </si>
  <si>
    <t>СНиП  IV-2-82 17--4-1</t>
  </si>
  <si>
    <t>უნიტაზი ჩამრეცხი ავზით და გოფრირებული მილით</t>
  </si>
  <si>
    <t>СНиП  IV-2-82 17--1-9</t>
  </si>
  <si>
    <t>ტრაპი F-50</t>
  </si>
  <si>
    <t>შეზრუდული შესაძლებლობის პირთა ხელსაბანი სენსორული  შემრევით და ბოთლისებური სიფონით და ფეხით</t>
  </si>
  <si>
    <t>წყლის გამაცხელებელი ავზი 50 ლ.</t>
  </si>
  <si>
    <t>წყლის გამაცხელებელი ავზი 1500 ლ.</t>
  </si>
  <si>
    <t>შეზრუდული შესაძლებლობის პირთა უნიტაზი ჩამრეცხი ავზით და გოფრირებული მილით და სპეციალური ხელსაწყოებით</t>
  </si>
  <si>
    <t>СНиП  IV-2-82 16-7-3</t>
  </si>
  <si>
    <t>წყალმომარაგების მილების მონტაჟი ფასონური ნაწილებით დ=25-20 მმ</t>
  </si>
  <si>
    <t>პლასტმასის წყალსადენის მილი F-25 ფასონური ნაწილებით</t>
  </si>
  <si>
    <t>პლასტმასის წყალსადენის მილი F-20 ფასონური ნაწილებით</t>
  </si>
  <si>
    <t>СНиП  IV-2-82 16-12-1</t>
  </si>
  <si>
    <t>ვენტილების მონტაჟი</t>
  </si>
  <si>
    <r>
      <t xml:space="preserve">ventili                 </t>
    </r>
    <r>
      <rPr>
        <sz val="11"/>
        <color indexed="8"/>
        <rFont val="Symbol"/>
        <family val="1"/>
      </rPr>
      <t>F25</t>
    </r>
  </si>
  <si>
    <r>
      <t xml:space="preserve">ventili                 </t>
    </r>
    <r>
      <rPr>
        <sz val="11"/>
        <color indexed="8"/>
        <rFont val="Symbol"/>
        <family val="1"/>
      </rPr>
      <t>F20</t>
    </r>
  </si>
  <si>
    <r>
      <t xml:space="preserve">kuTxis ventili                 </t>
    </r>
    <r>
      <rPr>
        <sz val="11"/>
        <color indexed="8"/>
        <rFont val="Symbol"/>
        <family val="1"/>
      </rPr>
      <t>F20</t>
    </r>
  </si>
  <si>
    <t>СНиП  IV-2-82 16-6-2</t>
  </si>
  <si>
    <t>კანალიზაციის პლასტმასის მილი F 110</t>
  </si>
  <si>
    <t>30</t>
  </si>
  <si>
    <t>კანალიზაციის პლასტმასის მილი F 110 ფასონური ნაწილებით</t>
  </si>
  <si>
    <t>1</t>
  </si>
  <si>
    <t>СНиП  IV-2-82 16-6-1</t>
  </si>
  <si>
    <t>კანალიზაციის პლასტმასის მილი F 50</t>
  </si>
  <si>
    <t>40</t>
  </si>
  <si>
    <t>კანალიზაციის პლასტმასის მილი F 50 ფასონური ნაწილებით</t>
  </si>
  <si>
    <t>ვენტილაციისის პლასტმასის მილი F 110</t>
  </si>
  <si>
    <t>12</t>
  </si>
  <si>
    <t>სარკეების მონტაჟი</t>
  </si>
  <si>
    <t>ტუალეტის ქაღალდის დისტრიბიუტერი</t>
  </si>
  <si>
    <t>სასაპნე</t>
  </si>
  <si>
    <t xml:space="preserve"> Tssu-s kuTvnil teritoriaze calke mdgari erTsarTuliani saxlis saremonto samuSaoebi</t>
  </si>
  <si>
    <t>СНиП IV-2-82 16-8-1</t>
  </si>
  <si>
    <t xml:space="preserve">polipropilenis milebis montaJi (fasonuri nawilebiT) </t>
  </si>
  <si>
    <t>grZ.m</t>
  </si>
  <si>
    <r>
      <t xml:space="preserve">polipropilenis milebis montaJi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=20 mm(fasonuri nawilebiT) </t>
    </r>
  </si>
  <si>
    <t>СНиП IV-2-82 16-6-1</t>
  </si>
  <si>
    <r>
      <t xml:space="preserve">kanalizaciis polipropilenis  milebis montaJi </t>
    </r>
    <r>
      <rPr>
        <sz val="11"/>
        <rFont val="Arial"/>
        <family val="2"/>
      </rPr>
      <t>d</t>
    </r>
    <r>
      <rPr>
        <sz val="11"/>
        <rFont val="AcadNusx"/>
        <family val="0"/>
      </rPr>
      <t>=50 mm(fasonuri nawilebiT)</t>
    </r>
  </si>
  <si>
    <r>
      <t xml:space="preserve">kanalizaciis polipropilenis  milebi </t>
    </r>
    <r>
      <rPr>
        <sz val="10"/>
        <rFont val="Arial"/>
        <family val="2"/>
      </rPr>
      <t>d</t>
    </r>
    <r>
      <rPr>
        <sz val="10"/>
        <rFont val="AcadNusx"/>
        <family val="0"/>
      </rPr>
      <t>=50 mm(fasonuri nawilebiT)</t>
    </r>
  </si>
  <si>
    <t>СНиП IV-2-82 16-6-2</t>
  </si>
  <si>
    <r>
      <t xml:space="preserve">kanalizaciis polipropilenis  milebis montaJi </t>
    </r>
    <r>
      <rPr>
        <sz val="11"/>
        <rFont val="Arial"/>
        <family val="2"/>
      </rPr>
      <t>d</t>
    </r>
    <r>
      <rPr>
        <sz val="11"/>
        <rFont val="AcadNusx"/>
        <family val="0"/>
      </rPr>
      <t>=100 mm (fasonuri nawilebiT)</t>
    </r>
  </si>
  <si>
    <r>
      <t xml:space="preserve">kanalizaciis polipropilenis  milebi </t>
    </r>
    <r>
      <rPr>
        <sz val="10"/>
        <rFont val="Arial"/>
        <family val="2"/>
      </rPr>
      <t>d</t>
    </r>
    <r>
      <rPr>
        <sz val="10"/>
        <rFont val="AcadNusx"/>
        <family val="0"/>
      </rPr>
      <t>=100 mm (fasonuri nawilebiT)</t>
    </r>
  </si>
  <si>
    <t>СНиП IV-2-82 17-1-5</t>
  </si>
  <si>
    <t>axali fexiani xelsabanis montaJi. SemreviT, sifoniT (fasonuri nawilebiT)</t>
  </si>
  <si>
    <t>კომპლ</t>
  </si>
  <si>
    <t>axali fexiani xelsabani. SemreviT, sifoniT  (fasonuri nawilebiT)</t>
  </si>
  <si>
    <t xml:space="preserve">50 litriani  denze momuSave wylis gamacxelebeli bakis montaJi </t>
  </si>
  <si>
    <t>СНиП IV-2-82 17-1-8</t>
  </si>
  <si>
    <t>saSxape qveSis montaJi Semrevi okaniT</t>
  </si>
  <si>
    <t>saSxape qveSi Semrevi okaniT</t>
  </si>
  <si>
    <t>СНиП IV-2-82 17-5-1</t>
  </si>
  <si>
    <t>unitazis montaJi Casarecxi avziT</t>
  </si>
  <si>
    <t>unitazi Casarecxi avziT</t>
  </si>
  <si>
    <t>СНиП IV-2-82 17-6-2</t>
  </si>
  <si>
    <t>WurWlis sarecxi niJaris montaJi 2-ganyofilebiani Semrevi onkaniT</t>
  </si>
  <si>
    <t>WurWlis sarecxi niJaris  2-ganyofilebiani Semrevi onkaniT</t>
  </si>
  <si>
    <t xml:space="preserve">gegmiuri mogeba  </t>
  </si>
  <si>
    <t>ლოკალური xarjTaRricxva #2-2</t>
  </si>
  <si>
    <t>ელ.სამონტაჟო სამუშაოები</t>
  </si>
  <si>
    <t>Tssu-s admonistraciuli korpusi. Mme-II sarTulze kancelariis oTaxebis saremonto samuSaoebi</t>
  </si>
  <si>
    <t xml:space="preserve">  sanaTebis montaJi </t>
  </si>
  <si>
    <t>amstrongis tipis sanaTebi (led naTurebiT)</t>
  </si>
  <si>
    <t>წერტილოვანი სანათები</t>
  </si>
  <si>
    <t xml:space="preserve">rozetebis montaJi damiwebiT </t>
  </si>
  <si>
    <t>rozetebi(Cveulebrivi)</t>
  </si>
  <si>
    <t>CamrTvel-gamomrTvelebis montaJi</t>
  </si>
  <si>
    <t>CamrTvel-gamomrTvelebi</t>
  </si>
  <si>
    <t xml:space="preserve">el.sadenეbis montaJi </t>
  </si>
  <si>
    <t xml:space="preserve">el.gayvanilobis montaJi 3*2.5mm kveTis spilenZis sadeni(ormagi izolaciiT, mSrali) </t>
  </si>
  <si>
    <t xml:space="preserve">el.gayvanilobis montaJi 2*2.5mm kveTis spilenZis sadeni(ormagi izolaciiT, mSrali) </t>
  </si>
  <si>
    <t xml:space="preserve">el.gayvanilobis montaJi 3*4.0mm kveTis spilenZis sadeni(ormagi izolaciiT, mSrali) </t>
  </si>
  <si>
    <t>kabel arxis montaJi 2,5*4,0</t>
  </si>
  <si>
    <t>kabel arxi 2,5*4,0</t>
  </si>
  <si>
    <t>avtomati 3-polusiani 25-amp montaJi daerTeba qselze</t>
  </si>
  <si>
    <t>avtomati 1-polusiani 16-25-amp montaJi daerTeba qselze</t>
  </si>
  <si>
    <t>ტუალეტის ვენტილატორების მონტაჟი</t>
  </si>
  <si>
    <t>amstrongis tipis   sanaTebis montaJi (led naTurebiT)</t>
  </si>
  <si>
    <t>8-599-2                 კ-0.5</t>
  </si>
  <si>
    <t xml:space="preserve">  sanaTebis montaJi და დასაწყობება დამკვეთის მიერ მითითებულ ადგილზე</t>
  </si>
  <si>
    <t>8-400-1             კ-0.3</t>
  </si>
  <si>
    <t>8-419-1                           კ-0.3</t>
  </si>
  <si>
    <t xml:space="preserve">kabel arxis montaJi </t>
  </si>
  <si>
    <t>Tssu-s kuTnil teritoriaze calke mdgari erTsarTuliani saxlis saremonto samuSaoebi</t>
  </si>
  <si>
    <t>amstrongis tipis  da wertilovani sanaTebis montaJi (led naTurebiT)</t>
  </si>
  <si>
    <t>wertilovani sanaTi</t>
  </si>
  <si>
    <t xml:space="preserve">zednadebi xarjebi მონტაჟის ღირებულებაზე </t>
  </si>
  <si>
    <t>ლოკალური xarjTaRricxva #2-3</t>
  </si>
  <si>
    <t>2-1</t>
  </si>
  <si>
    <t>2-3</t>
  </si>
  <si>
    <t>2-2</t>
  </si>
  <si>
    <t>samSeneblo სარემონტო</t>
  </si>
  <si>
    <t xml:space="preserve">wyalmomarageba da kanalizacia </t>
  </si>
  <si>
    <t xml:space="preserve">sul jami1+2 </t>
  </si>
  <si>
    <t>Tssu-s admonistraciuli korpusis MI sarTulze dacvis oTaxis da tualetebis saremonto  samuSaoebi, Tssu-s admonistraciuli korpusisMme-II sarTulze kancelariis oTaxebis saremonto samuSaoebi, Tssu-s admonistraciuli korpusis MI sarTulze sakonferencio darbazSi sademontaJo samuSaoebi, Tssu-s kuTvnil teritoriaze calke mdgari erTsarTuliani Senobis saremonto samuSaoebi</t>
  </si>
  <si>
    <t>Tbilisis saxelmwifo samedicino universitetis administraciuli  korpusis foies Tavze daSenebis samuSaoebi</t>
  </si>
  <si>
    <t>Tbilisis saxelmwifo samedicino universitetis administraciuli  korpusis foies Tavze daSenebis samuSaoebi, Tssu-s admonistraciuli korpusisMI sarTulze dacvis oTaxis da tualetebis saremonto  samuSaoebi, Tssu-s admonistraciuli korpusisMme-II sarTulze kancelariis oTaxebis saremonto samuSaoebi, Tssu-s administraciuli korpusis MI sarTulze sakonferencio darbazSi sademontaJo samuSaoebi, Tssu-s kuTvnil teritoriaze 50kvm farTis nagebobis saremonto samuSaoebi</t>
  </si>
  <si>
    <t>Tssu-s admonistraciuli korpusisMI sarTulze dacvis oTaxis da tualetebis saremonto  samuSaoebi, Tssu-s admonistraciuli korpusisMme-II sarTulze kancelariis oTaxebis saremonto samuSaoebi, Tssu-s administraciuli korpusis MI sarTulze sakonferencio darbazSi sademontaJo samuSaoebi, Tssu-s kuTvnil teritoriaze 50kvm farTis nagebobis saremonto samuSaoebi</t>
  </si>
  <si>
    <t>Tbilisis saxelmwifo samedicino universitetis administraciuli  korpusis foieze Tavze daSenebis samuSaoebi</t>
  </si>
  <si>
    <t>lokaluri xarjTaRricxva 1-3</t>
  </si>
  <si>
    <t>krebsiTi defeqturi aqti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</si>
</sst>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0_р_._-;\-* #,##0.00_р_._-;_-* &quot;-&quot;??_р_._-;_-@_-"/>
    <numFmt numFmtId="179" formatCode="0.0000"/>
    <numFmt numFmtId="180" formatCode="0.000"/>
    <numFmt numFmtId="181" formatCode="0.00000"/>
    <numFmt numFmtId="182" formatCode="_-* #,##0.00_-;\-* #,##0.0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0.0"/>
    <numFmt numFmtId="186" formatCode="#,##0.000;[Red]#,##0.000"/>
    <numFmt numFmtId="187" formatCode="0.000000"/>
    <numFmt numFmtId="188" formatCode="0.00000000"/>
    <numFmt numFmtId="189" formatCode="#,##0.0"/>
    <numFmt numFmtId="190" formatCode="#,##0.000"/>
    <numFmt numFmtId="191" formatCode="0;[Red]0"/>
    <numFmt numFmtId="192" formatCode="[$-409]dddd\,\ mmmm\ dd\,\ yyyy"/>
    <numFmt numFmtId="193" formatCode="[$-409]h:mm:ss\ AM/PM"/>
    <numFmt numFmtId="194" formatCode="_(* #,##0.0000_);_(* \(#,##0.0000\);_(* &quot;-&quot;????_);_(@_)"/>
    <numFmt numFmtId="195" formatCode="_(* #,##0.000_);_(* \(#,##0.000\);_(* &quot;-&quot;???_);_(@_)"/>
    <numFmt numFmtId="196" formatCode="0.0%"/>
    <numFmt numFmtId="197" formatCode="0.00_);\(0.00\)"/>
    <numFmt numFmtId="198" formatCode="###0;###0"/>
    <numFmt numFmtId="199" formatCode="_-* #,##0\ _L_a_r_i_-;\-* #,##0\ _L_a_r_i_-;_-* &quot;-&quot;??\ _L_a_r_i_-;_-@_-"/>
    <numFmt numFmtId="200" formatCode="_-* #,##0.0\ _L_a_r_i_-;\-* #,##0.0\ _L_a_r_i_-;_-* &quot;-&quot;??\ _L_a_r_i_-;_-@_-"/>
    <numFmt numFmtId="201" formatCode="#,##0.0000"/>
    <numFmt numFmtId="202" formatCode="_-* #,##0_-;\-* #,##0_-;_-* &quot;-&quot;??_-;_-@_-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sz val="10"/>
      <name val="Arial Cyr"/>
      <family val="2"/>
    </font>
    <font>
      <i/>
      <sz val="10"/>
      <name val="AcadNusx"/>
      <family val="0"/>
    </font>
    <font>
      <b/>
      <sz val="10"/>
      <color indexed="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Sylfae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Arachveulebrivi Thin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Calibri"/>
      <family val="2"/>
    </font>
    <font>
      <sz val="12"/>
      <name val="Arial Cyr"/>
      <family val="2"/>
    </font>
    <font>
      <vertAlign val="superscript"/>
      <sz val="10"/>
      <name val="AcadNusx"/>
      <family val="0"/>
    </font>
    <font>
      <sz val="9"/>
      <name val="AcadNusx"/>
      <family val="0"/>
    </font>
    <font>
      <b/>
      <sz val="11"/>
      <name val="Arial"/>
      <family val="2"/>
    </font>
    <font>
      <b/>
      <sz val="10"/>
      <name val="Calibri"/>
      <family val="2"/>
    </font>
    <font>
      <sz val="10"/>
      <name val="Cambria"/>
      <family val="1"/>
    </font>
    <font>
      <vertAlign val="superscript"/>
      <sz val="10"/>
      <name val="Calibri"/>
      <family val="2"/>
    </font>
    <font>
      <vertAlign val="superscript"/>
      <sz val="10"/>
      <name val="Cambria"/>
      <family val="1"/>
    </font>
    <font>
      <b/>
      <sz val="10"/>
      <name val="Cambria"/>
      <family val="1"/>
    </font>
    <font>
      <sz val="8"/>
      <name val="AcadNusx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cadMtavr"/>
      <family val="0"/>
    </font>
    <font>
      <sz val="10"/>
      <name val="AcadMtavr"/>
      <family val="0"/>
    </font>
    <font>
      <sz val="11"/>
      <name val="Arachveulebrivi Thin"/>
      <family val="2"/>
    </font>
    <font>
      <sz val="12"/>
      <name val="Arachveulebrivi Thin"/>
      <family val="2"/>
    </font>
    <font>
      <sz val="11"/>
      <name val="Calibri"/>
      <family val="2"/>
    </font>
    <font>
      <b/>
      <u val="single"/>
      <sz val="10"/>
      <name val="AcadNusx"/>
      <family val="0"/>
    </font>
    <font>
      <b/>
      <sz val="11"/>
      <name val="Cambria"/>
      <family val="1"/>
    </font>
    <font>
      <sz val="11"/>
      <name val="Cambria"/>
      <family val="1"/>
    </font>
    <font>
      <b/>
      <i/>
      <sz val="10"/>
      <name val="AcadNusx"/>
      <family val="2"/>
    </font>
    <font>
      <b/>
      <sz val="11"/>
      <name val="Calibri"/>
      <family val="2"/>
    </font>
    <font>
      <sz val="11"/>
      <name val="Arial"/>
      <family val="2"/>
    </font>
    <font>
      <b/>
      <sz val="9"/>
      <name val="AcadNusx"/>
      <family val="0"/>
    </font>
    <font>
      <b/>
      <sz val="11"/>
      <name val="Sylfaen"/>
      <family val="1"/>
    </font>
    <font>
      <sz val="11"/>
      <name val="Sylfaen"/>
      <family val="1"/>
    </font>
    <font>
      <sz val="11"/>
      <name val="Euphemi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u val="single"/>
      <sz val="10"/>
      <name val="AcadNusx"/>
      <family val="0"/>
    </font>
    <font>
      <b/>
      <sz val="12"/>
      <color indexed="8"/>
      <name val="AcadNusx"/>
      <family val="0"/>
    </font>
    <font>
      <b/>
      <sz val="10"/>
      <name val="Arial"/>
      <family val="2"/>
    </font>
    <font>
      <b/>
      <sz val="11"/>
      <name val="AcadMtavr"/>
      <family val="0"/>
    </font>
    <font>
      <sz val="11"/>
      <color indexed="8"/>
      <name val="Arial"/>
      <family val="2"/>
    </font>
    <font>
      <sz val="12"/>
      <name val="Arial"/>
      <family val="2"/>
    </font>
    <font>
      <sz val="11"/>
      <name val="AcadMtavr"/>
      <family val="0"/>
    </font>
    <font>
      <b/>
      <sz val="8"/>
      <name val="AcadNusx"/>
      <family val="0"/>
    </font>
    <font>
      <u val="single"/>
      <sz val="11"/>
      <name val="Sylfaen"/>
      <family val="1"/>
    </font>
    <font>
      <b/>
      <sz val="10"/>
      <name val="Arial Cyr"/>
      <family val="2"/>
    </font>
    <font>
      <b/>
      <u val="single"/>
      <sz val="12"/>
      <name val="Sylfaen"/>
      <family val="1"/>
    </font>
    <font>
      <sz val="12"/>
      <name val="Sylfaen"/>
      <family val="1"/>
    </font>
    <font>
      <sz val="11"/>
      <color indexed="8"/>
      <name val="Symbol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i/>
      <sz val="10"/>
      <color indexed="8"/>
      <name val="AcadNusx"/>
      <family val="0"/>
    </font>
    <font>
      <sz val="11"/>
      <color indexed="8"/>
      <name val="Sylfae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AcadNusx"/>
      <family val="0"/>
    </font>
    <font>
      <sz val="10"/>
      <color indexed="8"/>
      <name val="Sylfaen"/>
      <family val="1"/>
    </font>
    <font>
      <b/>
      <i/>
      <sz val="10"/>
      <color indexed="8"/>
      <name val="AcadNusx"/>
      <family val="0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AcadNusx"/>
      <family val="0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Sylfaen"/>
      <family val="1"/>
    </font>
    <font>
      <sz val="11"/>
      <color indexed="8"/>
      <name val="AcadMtavr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i/>
      <sz val="10"/>
      <color theme="1"/>
      <name val="AcadNusx"/>
      <family val="0"/>
    </font>
    <font>
      <sz val="11"/>
      <color theme="1"/>
      <name val="Sylfaen"/>
      <family val="1"/>
    </font>
    <font>
      <b/>
      <i/>
      <sz val="11"/>
      <color theme="1"/>
      <name val="Calibri"/>
      <family val="2"/>
    </font>
    <font>
      <b/>
      <sz val="11"/>
      <color theme="1"/>
      <name val="AcadNusx"/>
      <family val="0"/>
    </font>
    <font>
      <b/>
      <sz val="11"/>
      <color rgb="FF000000"/>
      <name val="AcadNusx"/>
      <family val="0"/>
    </font>
    <font>
      <sz val="11"/>
      <color theme="1"/>
      <name val="AcadNusx"/>
      <family val="0"/>
    </font>
    <font>
      <b/>
      <i/>
      <sz val="11"/>
      <color rgb="FF000000"/>
      <name val="AcadNusx"/>
      <family val="0"/>
    </font>
    <font>
      <b/>
      <sz val="12"/>
      <color rgb="FF000000"/>
      <name val="AcadNusx"/>
      <family val="0"/>
    </font>
    <font>
      <b/>
      <sz val="12"/>
      <color theme="1"/>
      <name val="AcadNusx"/>
      <family val="0"/>
    </font>
    <font>
      <sz val="11"/>
      <color theme="1"/>
      <name val="Arial"/>
      <family val="2"/>
    </font>
    <font>
      <sz val="10"/>
      <color theme="1"/>
      <name val="Sylfaen"/>
      <family val="1"/>
    </font>
    <font>
      <b/>
      <i/>
      <sz val="10"/>
      <color rgb="FF000000"/>
      <name val="AcadNusx"/>
      <family val="0"/>
    </font>
    <font>
      <b/>
      <sz val="10"/>
      <color rgb="FF000000"/>
      <name val="AcadNusx"/>
      <family val="0"/>
    </font>
    <font>
      <sz val="10"/>
      <color rgb="FF000000"/>
      <name val="AcadNusx"/>
      <family val="0"/>
    </font>
    <font>
      <i/>
      <sz val="10"/>
      <color rgb="FF000000"/>
      <name val="AcadNusx"/>
      <family val="0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AcadNusx"/>
      <family val="0"/>
    </font>
    <font>
      <i/>
      <sz val="11"/>
      <color rgb="FF000000"/>
      <name val="AcadNusx"/>
      <family val="0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cadNusx"/>
      <family val="0"/>
    </font>
    <font>
      <sz val="12"/>
      <color theme="1"/>
      <name val="Sylfaen"/>
      <family val="1"/>
    </font>
    <font>
      <sz val="11"/>
      <color theme="1"/>
      <name val="AcadMtavr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0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0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0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0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0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00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0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0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01" fillId="4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2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03" fillId="47" borderId="3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0" fontId="1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5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0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0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0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9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10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1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112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0" borderId="0">
      <alignment/>
      <protection/>
    </xf>
    <xf numFmtId="0" fontId="1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4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" fillId="0" borderId="0" applyFont="0" applyFill="0" applyBorder="0" applyAlignment="0" applyProtection="0"/>
  </cellStyleXfs>
  <cellXfs count="1152">
    <xf numFmtId="0" fontId="0" fillId="0" borderId="0" xfId="0" applyFont="1" applyAlignment="1">
      <alignment/>
    </xf>
    <xf numFmtId="0" fontId="7" fillId="0" borderId="19" xfId="627" applyFont="1" applyFill="1" applyBorder="1" applyAlignment="1">
      <alignment horizontal="center" vertical="center"/>
      <protection/>
    </xf>
    <xf numFmtId="0" fontId="7" fillId="0" borderId="20" xfId="627" applyFont="1" applyFill="1" applyBorder="1" applyAlignment="1">
      <alignment horizontal="center" vertical="center"/>
      <protection/>
    </xf>
    <xf numFmtId="0" fontId="7" fillId="0" borderId="21" xfId="627" applyFont="1" applyFill="1" applyBorder="1" applyAlignment="1">
      <alignment horizontal="center" vertical="center"/>
      <protection/>
    </xf>
    <xf numFmtId="0" fontId="3" fillId="0" borderId="22" xfId="627" applyFont="1" applyFill="1" applyBorder="1" applyAlignment="1">
      <alignment horizontal="center" vertical="center"/>
      <protection/>
    </xf>
    <xf numFmtId="0" fontId="3" fillId="0" borderId="23" xfId="627" applyFont="1" applyFill="1" applyBorder="1" applyAlignment="1">
      <alignment horizontal="center" vertical="center"/>
      <protection/>
    </xf>
    <xf numFmtId="0" fontId="3" fillId="0" borderId="24" xfId="627" applyFont="1" applyFill="1" applyBorder="1" applyAlignment="1">
      <alignment horizontal="center" vertical="center"/>
      <protection/>
    </xf>
    <xf numFmtId="0" fontId="3" fillId="0" borderId="25" xfId="627" applyFont="1" applyFill="1" applyBorder="1" applyAlignment="1">
      <alignment horizontal="center" vertical="center"/>
      <protection/>
    </xf>
    <xf numFmtId="0" fontId="3" fillId="0" borderId="26" xfId="627" applyFont="1" applyFill="1" applyBorder="1" applyAlignment="1">
      <alignment horizontal="center" vertical="center"/>
      <protection/>
    </xf>
    <xf numFmtId="0" fontId="116" fillId="0" borderId="0" xfId="0" applyFont="1" applyFill="1" applyAlignment="1">
      <alignment vertical="center"/>
    </xf>
    <xf numFmtId="0" fontId="3" fillId="0" borderId="27" xfId="627" applyFont="1" applyFill="1" applyBorder="1" applyAlignment="1">
      <alignment horizontal="center" vertical="center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29" xfId="531" applyNumberFormat="1" applyFont="1" applyFill="1" applyBorder="1" applyAlignment="1" applyProtection="1">
      <alignment horizontal="center" vertical="center" wrapText="1"/>
      <protection/>
    </xf>
    <xf numFmtId="0" fontId="116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17" fillId="0" borderId="0" xfId="0" applyFont="1" applyFill="1" applyAlignment="1">
      <alignment vertical="center" wrapText="1"/>
    </xf>
    <xf numFmtId="0" fontId="117" fillId="0" borderId="0" xfId="0" applyFont="1" applyFill="1" applyAlignment="1">
      <alignment vertical="center"/>
    </xf>
    <xf numFmtId="0" fontId="7" fillId="0" borderId="30" xfId="627" applyFont="1" applyFill="1" applyBorder="1" applyAlignment="1">
      <alignment horizontal="right" vertical="center"/>
      <protection/>
    </xf>
    <xf numFmtId="0" fontId="31" fillId="0" borderId="25" xfId="0" applyFont="1" applyFill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4" fillId="55" borderId="0" xfId="0" applyFont="1" applyFill="1" applyBorder="1" applyAlignment="1">
      <alignment horizontal="center"/>
    </xf>
    <xf numFmtId="0" fontId="31" fillId="55" borderId="23" xfId="715" applyFont="1" applyFill="1" applyBorder="1" applyAlignment="1">
      <alignment horizontal="center" vertical="center" wrapText="1"/>
      <protection/>
    </xf>
    <xf numFmtId="0" fontId="3" fillId="55" borderId="23" xfId="715" applyFont="1" applyFill="1" applyBorder="1" applyAlignment="1">
      <alignment horizontal="center"/>
      <protection/>
    </xf>
    <xf numFmtId="0" fontId="3" fillId="55" borderId="0" xfId="715" applyFont="1" applyFill="1" applyBorder="1" applyAlignment="1">
      <alignment horizontal="center"/>
      <protection/>
    </xf>
    <xf numFmtId="0" fontId="31" fillId="55" borderId="20" xfId="715" applyFont="1" applyFill="1" applyBorder="1" applyAlignment="1">
      <alignment horizontal="center" vertical="center" wrapText="1"/>
      <protection/>
    </xf>
    <xf numFmtId="180" fontId="3" fillId="55" borderId="23" xfId="0" applyNumberFormat="1" applyFont="1" applyFill="1" applyBorder="1" applyAlignment="1">
      <alignment horizontal="center"/>
    </xf>
    <xf numFmtId="180" fontId="3" fillId="55" borderId="20" xfId="0" applyNumberFormat="1" applyFont="1" applyFill="1" applyBorder="1" applyAlignment="1">
      <alignment horizontal="center"/>
    </xf>
    <xf numFmtId="2" fontId="3" fillId="55" borderId="20" xfId="0" applyNumberFormat="1" applyFont="1" applyFill="1" applyBorder="1" applyAlignment="1">
      <alignment horizontal="center"/>
    </xf>
    <xf numFmtId="0" fontId="3" fillId="55" borderId="20" xfId="0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179" fontId="3" fillId="55" borderId="20" xfId="0" applyNumberFormat="1" applyFont="1" applyFill="1" applyBorder="1" applyAlignment="1">
      <alignment horizontal="center"/>
    </xf>
    <xf numFmtId="0" fontId="3" fillId="55" borderId="0" xfId="0" applyFont="1" applyFill="1" applyBorder="1" applyAlignment="1">
      <alignment horizontal="center"/>
    </xf>
    <xf numFmtId="2" fontId="3" fillId="55" borderId="20" xfId="715" applyNumberFormat="1" applyFont="1" applyFill="1" applyBorder="1" applyAlignment="1">
      <alignment horizontal="center"/>
      <protection/>
    </xf>
    <xf numFmtId="0" fontId="3" fillId="55" borderId="20" xfId="0" applyFont="1" applyFill="1" applyBorder="1" applyAlignment="1">
      <alignment horizontal="center" vertical="center" wrapText="1"/>
    </xf>
    <xf numFmtId="2" fontId="3" fillId="55" borderId="20" xfId="0" applyNumberFormat="1" applyFont="1" applyFill="1" applyBorder="1" applyAlignment="1">
      <alignment horizontal="center" vertical="center" wrapText="1"/>
    </xf>
    <xf numFmtId="180" fontId="3" fillId="55" borderId="0" xfId="0" applyNumberFormat="1" applyFont="1" applyFill="1" applyBorder="1" applyAlignment="1">
      <alignment horizontal="center"/>
    </xf>
    <xf numFmtId="0" fontId="3" fillId="55" borderId="20" xfId="715" applyFont="1" applyFill="1" applyBorder="1" applyAlignment="1">
      <alignment horizontal="center"/>
      <protection/>
    </xf>
    <xf numFmtId="0" fontId="31" fillId="55" borderId="20" xfId="0" applyFont="1" applyFill="1" applyBorder="1" applyAlignment="1">
      <alignment horizontal="left" vertical="center" wrapText="1"/>
    </xf>
    <xf numFmtId="0" fontId="34" fillId="55" borderId="0" xfId="495" applyFont="1" applyFill="1" applyBorder="1" applyAlignment="1">
      <alignment horizontal="center"/>
      <protection/>
    </xf>
    <xf numFmtId="0" fontId="32" fillId="55" borderId="20" xfId="495" applyFont="1" applyFill="1" applyBorder="1" applyAlignment="1">
      <alignment horizontal="left" vertical="center" wrapText="1"/>
      <protection/>
    </xf>
    <xf numFmtId="0" fontId="31" fillId="55" borderId="20" xfId="627" applyFont="1" applyFill="1" applyBorder="1" applyAlignment="1">
      <alignment horizontal="center"/>
      <protection/>
    </xf>
    <xf numFmtId="49" fontId="60" fillId="55" borderId="20" xfId="0" applyNumberFormat="1" applyFont="1" applyFill="1" applyBorder="1" applyAlignment="1">
      <alignment horizontal="left" vertical="center" wrapText="1"/>
    </xf>
    <xf numFmtId="49" fontId="61" fillId="55" borderId="20" xfId="0" applyNumberFormat="1" applyFont="1" applyFill="1" applyBorder="1" applyAlignment="1">
      <alignment horizontal="center" vertical="center" wrapText="1"/>
    </xf>
    <xf numFmtId="2" fontId="61" fillId="55" borderId="20" xfId="0" applyNumberFormat="1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/>
    </xf>
    <xf numFmtId="180" fontId="31" fillId="55" borderId="20" xfId="0" applyNumberFormat="1" applyFont="1" applyFill="1" applyBorder="1" applyAlignment="1">
      <alignment horizontal="center" vertical="center"/>
    </xf>
    <xf numFmtId="0" fontId="31" fillId="55" borderId="20" xfId="0" applyFont="1" applyFill="1" applyBorder="1" applyAlignment="1">
      <alignment horizontal="center"/>
    </xf>
    <xf numFmtId="0" fontId="31" fillId="55" borderId="20" xfId="0" applyFont="1" applyFill="1" applyBorder="1" applyAlignment="1">
      <alignment/>
    </xf>
    <xf numFmtId="0" fontId="31" fillId="55" borderId="0" xfId="0" applyFont="1" applyFill="1" applyAlignment="1">
      <alignment/>
    </xf>
    <xf numFmtId="0" fontId="31" fillId="55" borderId="20" xfId="0" applyFont="1" applyFill="1" applyBorder="1" applyAlignment="1">
      <alignment vertical="center"/>
    </xf>
    <xf numFmtId="0" fontId="31" fillId="55" borderId="20" xfId="495" applyFont="1" applyFill="1" applyBorder="1" applyAlignment="1">
      <alignment horizontal="center"/>
      <protection/>
    </xf>
    <xf numFmtId="0" fontId="32" fillId="55" borderId="20" xfId="495" applyFont="1" applyFill="1" applyBorder="1" applyAlignment="1">
      <alignment horizontal="center" vertical="center" wrapText="1"/>
      <protection/>
    </xf>
    <xf numFmtId="0" fontId="61" fillId="55" borderId="20" xfId="0" applyFont="1" applyFill="1" applyBorder="1" applyAlignment="1">
      <alignment vertical="center" wrapText="1"/>
    </xf>
    <xf numFmtId="0" fontId="61" fillId="55" borderId="20" xfId="0" applyFont="1" applyFill="1" applyBorder="1" applyAlignment="1" applyProtection="1">
      <alignment horizontal="center" vertical="center" wrapText="1"/>
      <protection/>
    </xf>
    <xf numFmtId="43" fontId="31" fillId="55" borderId="20" xfId="343" applyFont="1" applyFill="1" applyBorder="1" applyAlignment="1" applyProtection="1">
      <alignment vertical="center"/>
      <protection/>
    </xf>
    <xf numFmtId="49" fontId="118" fillId="55" borderId="20" xfId="0" applyNumberFormat="1" applyFont="1" applyFill="1" applyBorder="1" applyAlignment="1">
      <alignment horizontal="left" vertical="center" wrapText="1"/>
    </xf>
    <xf numFmtId="0" fontId="61" fillId="55" borderId="20" xfId="0" applyFont="1" applyFill="1" applyBorder="1" applyAlignment="1" applyProtection="1">
      <alignment horizontal="center" vertical="center" wrapText="1"/>
      <protection/>
    </xf>
    <xf numFmtId="0" fontId="58" fillId="55" borderId="20" xfId="0" applyFont="1" applyFill="1" applyBorder="1" applyAlignment="1">
      <alignment horizontal="center" vertical="center"/>
    </xf>
    <xf numFmtId="0" fontId="34" fillId="55" borderId="20" xfId="495" applyFont="1" applyFill="1" applyBorder="1" applyAlignment="1">
      <alignment horizontal="center"/>
      <protection/>
    </xf>
    <xf numFmtId="0" fontId="118" fillId="55" borderId="20" xfId="0" applyFont="1" applyFill="1" applyBorder="1" applyAlignment="1">
      <alignment horizontal="left" vertical="center" wrapText="1"/>
    </xf>
    <xf numFmtId="0" fontId="61" fillId="55" borderId="20" xfId="0" applyFont="1" applyFill="1" applyBorder="1" applyAlignment="1">
      <alignment vertical="center" wrapText="1"/>
    </xf>
    <xf numFmtId="0" fontId="58" fillId="55" borderId="20" xfId="0" applyFont="1" applyFill="1" applyBorder="1" applyAlignment="1">
      <alignment horizontal="center" vertical="center"/>
    </xf>
    <xf numFmtId="0" fontId="31" fillId="55" borderId="20" xfId="0" applyFont="1" applyFill="1" applyBorder="1" applyAlignment="1" applyProtection="1">
      <alignment horizontal="center" vertical="center" wrapText="1"/>
      <protection/>
    </xf>
    <xf numFmtId="0" fontId="31" fillId="55" borderId="20" xfId="0" applyFont="1" applyFill="1" applyBorder="1" applyAlignment="1" applyProtection="1">
      <alignment horizontal="center" vertical="center"/>
      <protection/>
    </xf>
    <xf numFmtId="171" fontId="31" fillId="55" borderId="20" xfId="730" applyFont="1" applyFill="1" applyBorder="1" applyAlignment="1" applyProtection="1">
      <alignment vertical="center"/>
      <protection/>
    </xf>
    <xf numFmtId="0" fontId="28" fillId="55" borderId="20" xfId="0" applyFont="1" applyFill="1" applyBorder="1" applyAlignment="1">
      <alignment vertical="center" wrapText="1"/>
    </xf>
    <xf numFmtId="0" fontId="32" fillId="55" borderId="20" xfId="711" applyFont="1" applyFill="1" applyBorder="1" applyAlignment="1">
      <alignment horizontal="center" vertical="center" wrapText="1"/>
      <protection/>
    </xf>
    <xf numFmtId="9" fontId="32" fillId="55" borderId="20" xfId="711" applyNumberFormat="1" applyFont="1" applyFill="1" applyBorder="1" applyAlignment="1">
      <alignment horizontal="center" vertical="center" wrapText="1"/>
      <protection/>
    </xf>
    <xf numFmtId="179" fontId="31" fillId="55" borderId="20" xfId="711" applyNumberFormat="1" applyFont="1" applyFill="1" applyBorder="1" applyAlignment="1">
      <alignment horizontal="center" vertical="center" wrapText="1"/>
      <protection/>
    </xf>
    <xf numFmtId="180" fontId="31" fillId="55" borderId="20" xfId="711" applyNumberFormat="1" applyFont="1" applyFill="1" applyBorder="1" applyAlignment="1">
      <alignment horizontal="center" vertical="center" wrapText="1"/>
      <protection/>
    </xf>
    <xf numFmtId="0" fontId="32" fillId="55" borderId="20" xfId="495" applyFont="1" applyFill="1" applyBorder="1" applyAlignment="1">
      <alignment horizontal="center" vertical="center"/>
      <protection/>
    </xf>
    <xf numFmtId="0" fontId="50" fillId="55" borderId="0" xfId="525" applyFont="1" applyFill="1">
      <alignment/>
      <protection/>
    </xf>
    <xf numFmtId="0" fontId="50" fillId="55" borderId="0" xfId="565" applyFont="1" applyFill="1" applyBorder="1">
      <alignment/>
      <protection/>
    </xf>
    <xf numFmtId="0" fontId="3" fillId="55" borderId="0" xfId="495" applyFont="1" applyFill="1" applyBorder="1" applyAlignment="1">
      <alignment horizontal="center"/>
      <protection/>
    </xf>
    <xf numFmtId="0" fontId="114" fillId="0" borderId="0" xfId="0" applyFont="1" applyFill="1" applyAlignment="1">
      <alignment vertical="center" wrapText="1"/>
    </xf>
    <xf numFmtId="0" fontId="119" fillId="0" borderId="0" xfId="0" applyFont="1" applyFill="1" applyAlignment="1">
      <alignment horizontal="left" vertical="center"/>
    </xf>
    <xf numFmtId="0" fontId="114" fillId="0" borderId="0" xfId="0" applyFont="1" applyFill="1" applyAlignment="1">
      <alignment vertical="center" wrapText="1"/>
    </xf>
    <xf numFmtId="0" fontId="114" fillId="0" borderId="0" xfId="0" applyFont="1" applyFill="1" applyAlignment="1">
      <alignment horizontal="center" vertical="center"/>
    </xf>
    <xf numFmtId="0" fontId="114" fillId="0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0" fontId="0" fillId="55" borderId="0" xfId="0" applyFont="1" applyFill="1" applyAlignment="1">
      <alignment vertic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20" xfId="715" applyFont="1" applyFill="1" applyBorder="1" applyAlignment="1">
      <alignment vertical="center"/>
      <protection/>
    </xf>
    <xf numFmtId="0" fontId="58" fillId="0" borderId="20" xfId="715" applyFont="1" applyFill="1" applyBorder="1" applyAlignment="1">
      <alignment horizontal="center" vertical="center"/>
      <protection/>
    </xf>
    <xf numFmtId="9" fontId="114" fillId="0" borderId="20" xfId="715" applyNumberFormat="1" applyFont="1" applyFill="1" applyBorder="1" applyAlignment="1">
      <alignment horizontal="center" vertical="center"/>
      <protection/>
    </xf>
    <xf numFmtId="4" fontId="58" fillId="0" borderId="20" xfId="715" applyNumberFormat="1" applyFont="1" applyFill="1" applyBorder="1" applyAlignment="1">
      <alignment horizontal="center" vertical="center"/>
      <protection/>
    </xf>
    <xf numFmtId="4" fontId="114" fillId="0" borderId="20" xfId="715" applyNumberFormat="1" applyFont="1" applyFill="1" applyBorder="1" applyAlignment="1">
      <alignment horizontal="center" vertical="center"/>
      <protection/>
    </xf>
    <xf numFmtId="4" fontId="114" fillId="0" borderId="19" xfId="715" applyNumberFormat="1" applyFont="1" applyFill="1" applyBorder="1" applyAlignment="1">
      <alignment horizontal="center" vertical="center"/>
      <protection/>
    </xf>
    <xf numFmtId="0" fontId="114" fillId="0" borderId="20" xfId="715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/>
    </xf>
    <xf numFmtId="0" fontId="58" fillId="0" borderId="0" xfId="715" applyFont="1" applyFill="1" applyBorder="1" applyAlignment="1">
      <alignment vertical="center"/>
      <protection/>
    </xf>
    <xf numFmtId="0" fontId="114" fillId="0" borderId="0" xfId="715" applyFont="1" applyFill="1" applyBorder="1" applyAlignment="1">
      <alignment horizontal="center" vertical="center" wrapText="1"/>
      <protection/>
    </xf>
    <xf numFmtId="0" fontId="58" fillId="0" borderId="0" xfId="715" applyFont="1" applyFill="1" applyBorder="1" applyAlignment="1">
      <alignment horizontal="center" vertical="center"/>
      <protection/>
    </xf>
    <xf numFmtId="4" fontId="58" fillId="0" borderId="0" xfId="715" applyNumberFormat="1" applyFont="1" applyFill="1" applyBorder="1" applyAlignment="1">
      <alignment horizontal="center" vertical="center"/>
      <protection/>
    </xf>
    <xf numFmtId="4" fontId="114" fillId="0" borderId="0" xfId="715" applyNumberFormat="1" applyFont="1" applyFill="1" applyBorder="1" applyAlignment="1">
      <alignment horizontal="center" vertical="center"/>
      <protection/>
    </xf>
    <xf numFmtId="49" fontId="61" fillId="0" borderId="0" xfId="0" applyNumberFormat="1" applyFont="1" applyFill="1" applyAlignment="1">
      <alignment horizontal="center" vertical="center"/>
    </xf>
    <xf numFmtId="2" fontId="6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114" fillId="55" borderId="0" xfId="0" applyFont="1" applyFill="1" applyAlignment="1">
      <alignment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31" fillId="55" borderId="0" xfId="0" applyFont="1" applyFill="1" applyBorder="1" applyAlignment="1">
      <alignment horizontal="center" vertical="center" wrapText="1"/>
    </xf>
    <xf numFmtId="180" fontId="31" fillId="55" borderId="23" xfId="0" applyNumberFormat="1" applyFont="1" applyFill="1" applyBorder="1" applyAlignment="1">
      <alignment horizontal="center" vertical="center" wrapText="1"/>
    </xf>
    <xf numFmtId="0" fontId="4" fillId="55" borderId="23" xfId="0" applyFont="1" applyFill="1" applyBorder="1" applyAlignment="1">
      <alignment horizontal="center"/>
    </xf>
    <xf numFmtId="0" fontId="4" fillId="55" borderId="23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3" fillId="55" borderId="26" xfId="0" applyFont="1" applyFill="1" applyBorder="1" applyAlignment="1">
      <alignment horizontal="center"/>
    </xf>
    <xf numFmtId="0" fontId="3" fillId="55" borderId="31" xfId="0" applyFont="1" applyFill="1" applyBorder="1" applyAlignment="1">
      <alignment horizontal="center"/>
    </xf>
    <xf numFmtId="0" fontId="120" fillId="55" borderId="20" xfId="0" applyFont="1" applyFill="1" applyBorder="1" applyAlignment="1">
      <alignment vertical="center" wrapText="1"/>
    </xf>
    <xf numFmtId="0" fontId="4" fillId="0" borderId="22" xfId="627" applyFont="1" applyFill="1" applyBorder="1" applyAlignment="1">
      <alignment horizontal="center" vertical="center"/>
      <protection/>
    </xf>
    <xf numFmtId="0" fontId="38" fillId="0" borderId="20" xfId="0" applyFont="1" applyFill="1" applyBorder="1" applyAlignment="1">
      <alignment horizontal="center" vertical="center" wrapText="1"/>
    </xf>
    <xf numFmtId="4" fontId="31" fillId="0" borderId="20" xfId="714" applyNumberFormat="1" applyFont="1" applyFill="1" applyBorder="1" applyAlignment="1">
      <alignment horizontal="center" vertical="center"/>
      <protection/>
    </xf>
    <xf numFmtId="4" fontId="31" fillId="0" borderId="19" xfId="714" applyNumberFormat="1" applyFont="1" applyFill="1" applyBorder="1" applyAlignment="1">
      <alignment horizontal="center" vertical="center"/>
      <protection/>
    </xf>
    <xf numFmtId="4" fontId="31" fillId="0" borderId="20" xfId="714" applyNumberFormat="1" applyFont="1" applyFill="1" applyBorder="1" applyAlignment="1">
      <alignment horizontal="center" vertical="center" wrapText="1"/>
      <protection/>
    </xf>
    <xf numFmtId="2" fontId="121" fillId="0" borderId="20" xfId="0" applyNumberFormat="1" applyFont="1" applyFill="1" applyBorder="1" applyAlignment="1">
      <alignment horizontal="center" vertical="center" wrapText="1"/>
    </xf>
    <xf numFmtId="0" fontId="31" fillId="0" borderId="20" xfId="531" applyFont="1" applyFill="1" applyBorder="1" applyAlignment="1" applyProtection="1">
      <alignment horizontal="center" vertical="center" wrapText="1"/>
      <protection/>
    </xf>
    <xf numFmtId="179" fontId="122" fillId="0" borderId="20" xfId="0" applyNumberFormat="1" applyFont="1" applyFill="1" applyBorder="1" applyAlignment="1">
      <alignment horizontal="center" vertical="center" wrapText="1"/>
    </xf>
    <xf numFmtId="43" fontId="123" fillId="0" borderId="20" xfId="0" applyNumberFormat="1" applyFont="1" applyFill="1" applyBorder="1" applyAlignment="1">
      <alignment horizontal="right" vertical="center" wrapText="1"/>
    </xf>
    <xf numFmtId="43" fontId="31" fillId="0" borderId="20" xfId="627" applyNumberFormat="1" applyFont="1" applyFill="1" applyBorder="1" applyAlignment="1">
      <alignment horizontal="center" vertical="center"/>
      <protection/>
    </xf>
    <xf numFmtId="43" fontId="31" fillId="0" borderId="20" xfId="0" applyNumberFormat="1" applyFont="1" applyFill="1" applyBorder="1" applyAlignment="1">
      <alignment horizontal="center" vertical="center"/>
    </xf>
    <xf numFmtId="43" fontId="31" fillId="55" borderId="20" xfId="0" applyNumberFormat="1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114" fillId="0" borderId="0" xfId="715" applyFont="1" applyFill="1" applyBorder="1" applyAlignment="1">
      <alignment horizontal="center" vertical="center"/>
      <protection/>
    </xf>
    <xf numFmtId="0" fontId="4" fillId="55" borderId="20" xfId="0" applyFont="1" applyFill="1" applyBorder="1" applyAlignment="1">
      <alignment horizontal="center" vertical="center" wrapText="1"/>
    </xf>
    <xf numFmtId="9" fontId="4" fillId="55" borderId="20" xfId="0" applyNumberFormat="1" applyFont="1" applyFill="1" applyBorder="1" applyAlignment="1">
      <alignment horizontal="center" vertical="center" wrapText="1"/>
    </xf>
    <xf numFmtId="4" fontId="31" fillId="55" borderId="20" xfId="0" applyNumberFormat="1" applyFont="1" applyFill="1" applyBorder="1" applyAlignment="1">
      <alignment horizontal="center" vertical="center" wrapText="1"/>
    </xf>
    <xf numFmtId="0" fontId="3" fillId="55" borderId="26" xfId="715" applyFont="1" applyFill="1" applyBorder="1" applyAlignment="1">
      <alignment horizontal="center"/>
      <protection/>
    </xf>
    <xf numFmtId="0" fontId="3" fillId="55" borderId="31" xfId="715" applyFont="1" applyFill="1" applyBorder="1" applyAlignment="1">
      <alignment horizontal="center"/>
      <protection/>
    </xf>
    <xf numFmtId="0" fontId="32" fillId="55" borderId="20" xfId="0" applyFont="1" applyFill="1" applyBorder="1" applyAlignment="1">
      <alignment horizontal="center" vertical="center" wrapText="1"/>
    </xf>
    <xf numFmtId="0" fontId="34" fillId="55" borderId="32" xfId="723" applyFont="1" applyFill="1" applyBorder="1" applyAlignment="1">
      <alignment horizontal="center" vertical="center" wrapText="1"/>
      <protection/>
    </xf>
    <xf numFmtId="198" fontId="124" fillId="55" borderId="20" xfId="723" applyNumberFormat="1" applyFont="1" applyFill="1" applyBorder="1" applyAlignment="1">
      <alignment horizontal="center" vertical="center" wrapText="1"/>
      <protection/>
    </xf>
    <xf numFmtId="198" fontId="124" fillId="55" borderId="33" xfId="723" applyNumberFormat="1" applyFont="1" applyFill="1" applyBorder="1" applyAlignment="1">
      <alignment horizontal="center" vertical="center" wrapText="1"/>
      <protection/>
    </xf>
    <xf numFmtId="198" fontId="124" fillId="55" borderId="34" xfId="723" applyNumberFormat="1" applyFont="1" applyFill="1" applyBorder="1" applyAlignment="1">
      <alignment horizontal="center" vertical="center" wrapText="1"/>
      <protection/>
    </xf>
    <xf numFmtId="198" fontId="124" fillId="55" borderId="32" xfId="723" applyNumberFormat="1" applyFont="1" applyFill="1" applyBorder="1" applyAlignment="1">
      <alignment horizontal="center" vertical="center" wrapText="1"/>
      <protection/>
    </xf>
    <xf numFmtId="198" fontId="124" fillId="55" borderId="35" xfId="723" applyNumberFormat="1" applyFont="1" applyFill="1" applyBorder="1" applyAlignment="1">
      <alignment horizontal="center" vertical="center" wrapText="1"/>
      <protection/>
    </xf>
    <xf numFmtId="0" fontId="70" fillId="55" borderId="20" xfId="0" applyFont="1" applyFill="1" applyBorder="1" applyAlignment="1">
      <alignment vertical="center"/>
    </xf>
    <xf numFmtId="49" fontId="4" fillId="55" borderId="20" xfId="0" applyNumberFormat="1" applyFont="1" applyFill="1" applyBorder="1" applyAlignment="1">
      <alignment horizontal="center" vertical="center" wrapText="1"/>
    </xf>
    <xf numFmtId="0" fontId="70" fillId="55" borderId="20" xfId="0" applyFont="1" applyFill="1" applyBorder="1" applyAlignment="1">
      <alignment horizontal="left" vertical="center" wrapText="1"/>
    </xf>
    <xf numFmtId="0" fontId="3" fillId="55" borderId="20" xfId="0" applyFont="1" applyFill="1" applyBorder="1" applyAlignment="1">
      <alignment horizontal="center" vertical="center"/>
    </xf>
    <xf numFmtId="0" fontId="122" fillId="55" borderId="20" xfId="0" applyFont="1" applyFill="1" applyBorder="1" applyAlignment="1">
      <alignment vertical="center" wrapText="1"/>
    </xf>
    <xf numFmtId="0" fontId="122" fillId="55" borderId="20" xfId="0" applyFont="1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/>
    </xf>
    <xf numFmtId="0" fontId="70" fillId="55" borderId="20" xfId="0" applyFont="1" applyFill="1" applyBorder="1" applyAlignment="1">
      <alignment horizontal="center" vertical="center" wrapText="1"/>
    </xf>
    <xf numFmtId="0" fontId="70" fillId="55" borderId="20" xfId="0" applyFont="1" applyFill="1" applyBorder="1" applyAlignment="1">
      <alignment horizontal="center" vertical="center"/>
    </xf>
    <xf numFmtId="0" fontId="2" fillId="55" borderId="0" xfId="0" applyFont="1" applyFill="1" applyAlignment="1">
      <alignment horizontal="center" vertical="center"/>
    </xf>
    <xf numFmtId="0" fontId="32" fillId="55" borderId="20" xfId="0" applyFont="1" applyFill="1" applyBorder="1" applyAlignment="1">
      <alignment horizontal="center" vertical="center"/>
    </xf>
    <xf numFmtId="0" fontId="70" fillId="55" borderId="23" xfId="0" applyFont="1" applyFill="1" applyBorder="1" applyAlignment="1">
      <alignment vertical="center"/>
    </xf>
    <xf numFmtId="0" fontId="33" fillId="55" borderId="20" xfId="0" applyFont="1" applyFill="1" applyBorder="1" applyAlignment="1">
      <alignment horizontal="left" vertical="center" wrapText="1"/>
    </xf>
    <xf numFmtId="0" fontId="33" fillId="55" borderId="20" xfId="0" applyFont="1" applyFill="1" applyBorder="1" applyAlignment="1">
      <alignment horizontal="center" vertical="center" wrapText="1"/>
    </xf>
    <xf numFmtId="0" fontId="125" fillId="55" borderId="20" xfId="0" applyFont="1" applyFill="1" applyBorder="1" applyAlignment="1">
      <alignment horizontal="center" vertical="center" wrapText="1"/>
    </xf>
    <xf numFmtId="0" fontId="126" fillId="55" borderId="20" xfId="0" applyFont="1" applyFill="1" applyBorder="1" applyAlignment="1">
      <alignment vertical="center" wrapText="1"/>
    </xf>
    <xf numFmtId="0" fontId="120" fillId="55" borderId="20" xfId="0" applyFont="1" applyFill="1" applyBorder="1" applyAlignment="1">
      <alignment horizontal="center" vertical="center" wrapText="1"/>
    </xf>
    <xf numFmtId="0" fontId="72" fillId="55" borderId="20" xfId="715" applyFont="1" applyFill="1" applyBorder="1" applyAlignment="1">
      <alignment vertical="center"/>
      <protection/>
    </xf>
    <xf numFmtId="0" fontId="72" fillId="55" borderId="20" xfId="715" applyFont="1" applyFill="1" applyBorder="1" applyAlignment="1">
      <alignment vertical="center" wrapText="1"/>
      <protection/>
    </xf>
    <xf numFmtId="0" fontId="120" fillId="55" borderId="20" xfId="715" applyFont="1" applyFill="1" applyBorder="1" applyAlignment="1">
      <alignment horizontal="left" vertical="center" wrapText="1"/>
      <protection/>
    </xf>
    <xf numFmtId="0" fontId="58" fillId="55" borderId="20" xfId="715" applyFont="1" applyFill="1" applyBorder="1" applyAlignment="1">
      <alignment horizontal="center" vertical="center"/>
      <protection/>
    </xf>
    <xf numFmtId="9" fontId="114" fillId="55" borderId="20" xfId="715" applyNumberFormat="1" applyFont="1" applyFill="1" applyBorder="1" applyAlignment="1">
      <alignment horizontal="center" vertical="center"/>
      <protection/>
    </xf>
    <xf numFmtId="0" fontId="69" fillId="55" borderId="20" xfId="0" applyFont="1" applyFill="1" applyBorder="1" applyAlignment="1">
      <alignment/>
    </xf>
    <xf numFmtId="0" fontId="120" fillId="55" borderId="20" xfId="715" applyFont="1" applyFill="1" applyBorder="1" applyAlignment="1">
      <alignment horizontal="center" vertical="center" wrapText="1"/>
      <protection/>
    </xf>
    <xf numFmtId="0" fontId="34" fillId="55" borderId="0" xfId="495" applyFont="1" applyFill="1" applyAlignment="1">
      <alignment horizontal="center"/>
      <protection/>
    </xf>
    <xf numFmtId="43" fontId="69" fillId="55" borderId="20" xfId="0" applyNumberFormat="1" applyFont="1" applyFill="1" applyBorder="1" applyAlignment="1">
      <alignment horizontal="center" vertical="center"/>
    </xf>
    <xf numFmtId="43" fontId="127" fillId="55" borderId="20" xfId="0" applyNumberFormat="1" applyFont="1" applyFill="1" applyBorder="1" applyAlignment="1">
      <alignment horizontal="center" vertical="center"/>
    </xf>
    <xf numFmtId="43" fontId="70" fillId="55" borderId="20" xfId="0" applyNumberFormat="1" applyFont="1" applyFill="1" applyBorder="1" applyAlignment="1">
      <alignment horizontal="center" vertical="center"/>
    </xf>
    <xf numFmtId="43" fontId="69" fillId="55" borderId="20" xfId="0" applyNumberFormat="1" applyFont="1" applyFill="1" applyBorder="1" applyAlignment="1">
      <alignment/>
    </xf>
    <xf numFmtId="0" fontId="116" fillId="55" borderId="0" xfId="0" applyFont="1" applyFill="1" applyAlignment="1">
      <alignment vertical="center" wrapText="1"/>
    </xf>
    <xf numFmtId="0" fontId="116" fillId="55" borderId="0" xfId="0" applyFont="1" applyFill="1" applyAlignment="1">
      <alignment vertical="center"/>
    </xf>
    <xf numFmtId="0" fontId="61" fillId="55" borderId="0" xfId="0" applyFont="1" applyFill="1" applyAlignment="1">
      <alignment horizontal="center" vertical="center"/>
    </xf>
    <xf numFmtId="0" fontId="0" fillId="55" borderId="0" xfId="0" applyFont="1" applyFill="1" applyAlignment="1">
      <alignment/>
    </xf>
    <xf numFmtId="0" fontId="39" fillId="55" borderId="20" xfId="0" applyFont="1" applyFill="1" applyBorder="1" applyAlignment="1">
      <alignment horizontal="center" vertical="center"/>
    </xf>
    <xf numFmtId="43" fontId="70" fillId="55" borderId="20" xfId="0" applyNumberFormat="1" applyFont="1" applyFill="1" applyBorder="1" applyAlignment="1">
      <alignment horizontal="center" vertical="center" wrapText="1"/>
    </xf>
    <xf numFmtId="0" fontId="39" fillId="55" borderId="0" xfId="0" applyFont="1" applyFill="1" applyBorder="1" applyAlignment="1">
      <alignment horizontal="center" vertical="center"/>
    </xf>
    <xf numFmtId="0" fontId="0" fillId="55" borderId="20" xfId="0" applyFill="1" applyBorder="1" applyAlignment="1">
      <alignment vertical="center" wrapText="1"/>
    </xf>
    <xf numFmtId="0" fontId="39" fillId="55" borderId="20" xfId="0" applyFont="1" applyFill="1" applyBorder="1" applyAlignment="1">
      <alignment horizontal="center" vertical="center" wrapText="1"/>
    </xf>
    <xf numFmtId="0" fontId="114" fillId="55" borderId="20" xfId="0" applyFont="1" applyFill="1" applyBorder="1" applyAlignment="1">
      <alignment vertical="center"/>
    </xf>
    <xf numFmtId="0" fontId="0" fillId="55" borderId="20" xfId="0" applyFill="1" applyBorder="1" applyAlignment="1">
      <alignment horizontal="center" vertical="center" wrapText="1"/>
    </xf>
    <xf numFmtId="43" fontId="0" fillId="55" borderId="20" xfId="0" applyNumberFormat="1" applyFill="1" applyBorder="1" applyAlignment="1">
      <alignment horizontal="center" vertical="center"/>
    </xf>
    <xf numFmtId="0" fontId="114" fillId="55" borderId="23" xfId="0" applyFont="1" applyFill="1" applyBorder="1" applyAlignment="1">
      <alignment vertical="center"/>
    </xf>
    <xf numFmtId="43" fontId="58" fillId="55" borderId="20" xfId="0" applyNumberFormat="1" applyFont="1" applyFill="1" applyBorder="1" applyAlignment="1">
      <alignment horizontal="center" vertical="center"/>
    </xf>
    <xf numFmtId="0" fontId="3" fillId="55" borderId="20" xfId="0" applyFont="1" applyFill="1" applyBorder="1" applyAlignment="1">
      <alignment horizontal="center" vertical="top"/>
    </xf>
    <xf numFmtId="14" fontId="3" fillId="55" borderId="20" xfId="0" applyNumberFormat="1" applyFont="1" applyFill="1" applyBorder="1" applyAlignment="1">
      <alignment horizontal="center" vertical="top" wrapText="1"/>
    </xf>
    <xf numFmtId="0" fontId="4" fillId="55" borderId="20" xfId="0" applyFont="1" applyFill="1" applyBorder="1" applyAlignment="1">
      <alignment horizontal="left" vertical="top" wrapText="1"/>
    </xf>
    <xf numFmtId="0" fontId="4" fillId="55" borderId="20" xfId="0" applyFont="1" applyFill="1" applyBorder="1" applyAlignment="1">
      <alignment horizontal="center" vertical="top"/>
    </xf>
    <xf numFmtId="0" fontId="0" fillId="55" borderId="20" xfId="0" applyFill="1" applyBorder="1" applyAlignment="1">
      <alignment vertical="top"/>
    </xf>
    <xf numFmtId="43" fontId="4" fillId="55" borderId="20" xfId="0" applyNumberFormat="1" applyFont="1" applyFill="1" applyBorder="1" applyAlignment="1">
      <alignment horizontal="center" vertical="top"/>
    </xf>
    <xf numFmtId="0" fontId="3" fillId="55" borderId="20" xfId="0" applyFont="1" applyFill="1" applyBorder="1" applyAlignment="1">
      <alignment horizontal="left"/>
    </xf>
    <xf numFmtId="0" fontId="3" fillId="55" borderId="20" xfId="0" applyFont="1" applyFill="1" applyBorder="1" applyAlignment="1">
      <alignment horizontal="center" vertical="top" wrapText="1"/>
    </xf>
    <xf numFmtId="43" fontId="3" fillId="55" borderId="20" xfId="0" applyNumberFormat="1" applyFont="1" applyFill="1" applyBorder="1" applyAlignment="1">
      <alignment horizontal="center"/>
    </xf>
    <xf numFmtId="49" fontId="61" fillId="55" borderId="0" xfId="0" applyNumberFormat="1" applyFont="1" applyFill="1" applyAlignment="1">
      <alignment horizontal="center" vertical="center"/>
    </xf>
    <xf numFmtId="2" fontId="61" fillId="55" borderId="0" xfId="0" applyNumberFormat="1" applyFont="1" applyFill="1" applyAlignment="1">
      <alignment horizontal="center" vertical="center"/>
    </xf>
    <xf numFmtId="2" fontId="3" fillId="55" borderId="0" xfId="0" applyNumberFormat="1" applyFont="1" applyFill="1" applyBorder="1" applyAlignment="1">
      <alignment horizontal="center"/>
    </xf>
    <xf numFmtId="0" fontId="3" fillId="55" borderId="20" xfId="0" applyFont="1" applyFill="1" applyBorder="1" applyAlignment="1">
      <alignment vertical="center" wrapText="1"/>
    </xf>
    <xf numFmtId="0" fontId="31" fillId="55" borderId="25" xfId="718" applyFont="1" applyFill="1" applyBorder="1" applyAlignment="1">
      <alignment vertical="center" wrapText="1"/>
      <protection/>
    </xf>
    <xf numFmtId="0" fontId="31" fillId="55" borderId="0" xfId="718" applyFont="1" applyFill="1" applyBorder="1" applyAlignment="1">
      <alignment vertical="center" wrapText="1"/>
      <protection/>
    </xf>
    <xf numFmtId="0" fontId="31" fillId="55" borderId="36" xfId="718" applyFont="1" applyFill="1" applyBorder="1" applyAlignment="1">
      <alignment vertical="center" wrapText="1"/>
      <protection/>
    </xf>
    <xf numFmtId="0" fontId="3" fillId="55" borderId="0" xfId="718" applyFont="1" applyFill="1" applyBorder="1" applyAlignment="1">
      <alignment vertical="center" wrapText="1"/>
      <protection/>
    </xf>
    <xf numFmtId="0" fontId="116" fillId="55" borderId="0" xfId="0" applyFont="1" applyFill="1" applyAlignment="1">
      <alignment horizontal="center" vertical="center"/>
    </xf>
    <xf numFmtId="0" fontId="3" fillId="55" borderId="25" xfId="718" applyFont="1" applyFill="1" applyBorder="1" applyAlignment="1">
      <alignment vertical="center" wrapText="1"/>
      <protection/>
    </xf>
    <xf numFmtId="0" fontId="3" fillId="55" borderId="27" xfId="627" applyFont="1" applyFill="1" applyBorder="1" applyAlignment="1">
      <alignment horizontal="center" vertical="center"/>
      <protection/>
    </xf>
    <xf numFmtId="0" fontId="3" fillId="55" borderId="22" xfId="627" applyFont="1" applyFill="1" applyBorder="1" applyAlignment="1">
      <alignment horizontal="center" vertical="center"/>
      <protection/>
    </xf>
    <xf numFmtId="0" fontId="3" fillId="55" borderId="25" xfId="627" applyFont="1" applyFill="1" applyBorder="1" applyAlignment="1">
      <alignment horizontal="center" vertical="center"/>
      <protection/>
    </xf>
    <xf numFmtId="0" fontId="3" fillId="55" borderId="23" xfId="627" applyFont="1" applyFill="1" applyBorder="1" applyAlignment="1">
      <alignment horizontal="center" vertical="center"/>
      <protection/>
    </xf>
    <xf numFmtId="0" fontId="3" fillId="55" borderId="24" xfId="627" applyFont="1" applyFill="1" applyBorder="1" applyAlignment="1">
      <alignment horizontal="center" vertical="center"/>
      <protection/>
    </xf>
    <xf numFmtId="0" fontId="3" fillId="55" borderId="26" xfId="627" applyFont="1" applyFill="1" applyBorder="1" applyAlignment="1">
      <alignment horizontal="center" vertical="center"/>
      <protection/>
    </xf>
    <xf numFmtId="0" fontId="7" fillId="55" borderId="19" xfId="627" applyFont="1" applyFill="1" applyBorder="1" applyAlignment="1">
      <alignment horizontal="center" vertical="center"/>
      <protection/>
    </xf>
    <xf numFmtId="0" fontId="7" fillId="55" borderId="20" xfId="627" applyFont="1" applyFill="1" applyBorder="1" applyAlignment="1">
      <alignment horizontal="center" vertical="center"/>
      <protection/>
    </xf>
    <xf numFmtId="0" fontId="7" fillId="55" borderId="21" xfId="627" applyFont="1" applyFill="1" applyBorder="1" applyAlignment="1">
      <alignment horizontal="center" vertical="center"/>
      <protection/>
    </xf>
    <xf numFmtId="0" fontId="7" fillId="55" borderId="30" xfId="627" applyFont="1" applyFill="1" applyBorder="1" applyAlignment="1">
      <alignment horizontal="right" vertical="center"/>
      <protection/>
    </xf>
    <xf numFmtId="0" fontId="117" fillId="55" borderId="0" xfId="0" applyFont="1" applyFill="1" applyAlignment="1">
      <alignment vertical="center" wrapText="1"/>
    </xf>
    <xf numFmtId="0" fontId="117" fillId="55" borderId="0" xfId="0" applyFont="1" applyFill="1" applyAlignment="1">
      <alignment vertical="center"/>
    </xf>
    <xf numFmtId="0" fontId="3" fillId="55" borderId="22" xfId="0" applyFont="1" applyFill="1" applyBorder="1" applyAlignment="1">
      <alignment horizontal="center" vertical="center"/>
    </xf>
    <xf numFmtId="0" fontId="3" fillId="55" borderId="22" xfId="531" applyNumberFormat="1" applyFont="1" applyFill="1" applyBorder="1" applyAlignment="1" applyProtection="1">
      <alignment horizontal="center" vertical="center" wrapText="1"/>
      <protection/>
    </xf>
    <xf numFmtId="2" fontId="128" fillId="55" borderId="22" xfId="0" applyNumberFormat="1" applyFont="1" applyFill="1" applyBorder="1" applyAlignment="1">
      <alignment horizontal="center" vertical="center" wrapText="1"/>
    </xf>
    <xf numFmtId="0" fontId="3" fillId="55" borderId="22" xfId="531" applyFont="1" applyFill="1" applyBorder="1" applyAlignment="1" applyProtection="1">
      <alignment horizontal="center" vertical="center" wrapText="1"/>
      <protection/>
    </xf>
    <xf numFmtId="0" fontId="116" fillId="55" borderId="22" xfId="0" applyFont="1" applyFill="1" applyBorder="1" applyAlignment="1">
      <alignment horizontal="center" vertical="center" wrapText="1"/>
    </xf>
    <xf numFmtId="2" fontId="128" fillId="55" borderId="22" xfId="0" applyNumberFormat="1" applyFont="1" applyFill="1" applyBorder="1" applyAlignment="1">
      <alignment horizontal="right" vertical="center" wrapText="1"/>
    </xf>
    <xf numFmtId="2" fontId="3" fillId="55" borderId="22" xfId="0" applyNumberFormat="1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3" fillId="55" borderId="29" xfId="531" applyNumberFormat="1" applyFont="1" applyFill="1" applyBorder="1" applyAlignment="1" applyProtection="1">
      <alignment horizontal="center" vertical="center" wrapText="1"/>
      <protection/>
    </xf>
    <xf numFmtId="2" fontId="129" fillId="55" borderId="20" xfId="0" applyNumberFormat="1" applyFont="1" applyFill="1" applyBorder="1" applyAlignment="1">
      <alignment horizontal="center" vertical="center" wrapText="1"/>
    </xf>
    <xf numFmtId="0" fontId="3" fillId="55" borderId="20" xfId="531" applyFont="1" applyFill="1" applyBorder="1" applyAlignment="1" applyProtection="1">
      <alignment horizontal="center" vertical="center" wrapText="1"/>
      <protection/>
    </xf>
    <xf numFmtId="179" fontId="116" fillId="55" borderId="20" xfId="0" applyNumberFormat="1" applyFont="1" applyFill="1" applyBorder="1" applyAlignment="1">
      <alignment horizontal="center" vertical="center" wrapText="1"/>
    </xf>
    <xf numFmtId="43" fontId="128" fillId="55" borderId="20" xfId="0" applyNumberFormat="1" applyFont="1" applyFill="1" applyBorder="1" applyAlignment="1">
      <alignment horizontal="right" vertical="center" wrapText="1"/>
    </xf>
    <xf numFmtId="43" fontId="3" fillId="55" borderId="20" xfId="627" applyNumberFormat="1" applyFont="1" applyFill="1" applyBorder="1" applyAlignment="1">
      <alignment horizontal="center" vertical="center"/>
      <protection/>
    </xf>
    <xf numFmtId="43" fontId="3" fillId="55" borderId="20" xfId="0" applyNumberFormat="1" applyFont="1" applyFill="1" applyBorder="1" applyAlignment="1">
      <alignment horizontal="center" vertical="center"/>
    </xf>
    <xf numFmtId="0" fontId="31" fillId="55" borderId="25" xfId="0" applyFont="1" applyFill="1" applyBorder="1" applyAlignment="1">
      <alignment horizontal="center" vertical="center" wrapText="1"/>
    </xf>
    <xf numFmtId="0" fontId="38" fillId="55" borderId="25" xfId="0" applyFont="1" applyFill="1" applyBorder="1" applyAlignment="1">
      <alignment horizontal="center" vertical="center" wrapText="1"/>
    </xf>
    <xf numFmtId="179" fontId="3" fillId="55" borderId="20" xfId="0" applyNumberFormat="1" applyFont="1" applyFill="1" applyBorder="1" applyAlignment="1">
      <alignment horizontal="center" vertical="center" wrapText="1"/>
    </xf>
    <xf numFmtId="0" fontId="31" fillId="55" borderId="23" xfId="0" applyFont="1" applyFill="1" applyBorder="1" applyAlignment="1">
      <alignment horizontal="center"/>
    </xf>
    <xf numFmtId="0" fontId="31" fillId="55" borderId="25" xfId="0" applyFont="1" applyFill="1" applyBorder="1" applyAlignment="1">
      <alignment horizontal="center"/>
    </xf>
    <xf numFmtId="0" fontId="38" fillId="55" borderId="25" xfId="0" applyFont="1" applyFill="1" applyBorder="1" applyAlignment="1">
      <alignment horizontal="center"/>
    </xf>
    <xf numFmtId="0" fontId="31" fillId="55" borderId="26" xfId="0" applyFont="1" applyFill="1" applyBorder="1" applyAlignment="1">
      <alignment horizontal="center"/>
    </xf>
    <xf numFmtId="0" fontId="31" fillId="55" borderId="31" xfId="0" applyFont="1" applyFill="1" applyBorder="1" applyAlignment="1">
      <alignment horizontal="center"/>
    </xf>
    <xf numFmtId="0" fontId="31" fillId="55" borderId="22" xfId="0" applyFont="1" applyFill="1" applyBorder="1" applyAlignment="1">
      <alignment horizontal="center"/>
    </xf>
    <xf numFmtId="17" fontId="31" fillId="55" borderId="22" xfId="0" applyNumberFormat="1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/>
    </xf>
    <xf numFmtId="0" fontId="31" fillId="55" borderId="22" xfId="0" applyFont="1" applyFill="1" applyBorder="1" applyAlignment="1">
      <alignment horizontal="center" vertical="center" wrapText="1"/>
    </xf>
    <xf numFmtId="180" fontId="3" fillId="55" borderId="20" xfId="0" applyNumberFormat="1" applyFont="1" applyFill="1" applyBorder="1" applyAlignment="1">
      <alignment horizontal="center" vertical="center" wrapText="1"/>
    </xf>
    <xf numFmtId="0" fontId="31" fillId="55" borderId="0" xfId="0" applyFont="1" applyFill="1" applyBorder="1" applyAlignment="1">
      <alignment vertical="center" wrapText="1"/>
    </xf>
    <xf numFmtId="0" fontId="3" fillId="55" borderId="22" xfId="0" applyFont="1" applyFill="1" applyBorder="1" applyAlignment="1">
      <alignment horizontal="center"/>
    </xf>
    <xf numFmtId="0" fontId="3" fillId="55" borderId="37" xfId="0" applyFont="1" applyFill="1" applyBorder="1" applyAlignment="1">
      <alignment horizontal="center"/>
    </xf>
    <xf numFmtId="14" fontId="3" fillId="55" borderId="23" xfId="0" applyNumberFormat="1" applyFont="1" applyFill="1" applyBorder="1" applyAlignment="1">
      <alignment horizontal="center"/>
    </xf>
    <xf numFmtId="17" fontId="3" fillId="55" borderId="0" xfId="0" applyNumberFormat="1" applyFont="1" applyFill="1" applyBorder="1" applyAlignment="1">
      <alignment horizontal="center"/>
    </xf>
    <xf numFmtId="0" fontId="3" fillId="55" borderId="23" xfId="0" applyFont="1" applyFill="1" applyBorder="1" applyAlignment="1">
      <alignment horizontal="center" vertical="center"/>
    </xf>
    <xf numFmtId="180" fontId="3" fillId="55" borderId="20" xfId="0" applyNumberFormat="1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/>
    </xf>
    <xf numFmtId="0" fontId="3" fillId="55" borderId="26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179" fontId="130" fillId="55" borderId="20" xfId="0" applyNumberFormat="1" applyFont="1" applyFill="1" applyBorder="1" applyAlignment="1">
      <alignment horizontal="center" vertical="center" wrapText="1"/>
    </xf>
    <xf numFmtId="179" fontId="131" fillId="55" borderId="20" xfId="0" applyNumberFormat="1" applyFont="1" applyFill="1" applyBorder="1" applyAlignment="1">
      <alignment horizontal="right" vertical="center" wrapText="1"/>
    </xf>
    <xf numFmtId="2" fontId="4" fillId="55" borderId="20" xfId="0" applyNumberFormat="1" applyFont="1" applyFill="1" applyBorder="1" applyAlignment="1">
      <alignment horizontal="center" vertical="center"/>
    </xf>
    <xf numFmtId="0" fontId="4" fillId="55" borderId="20" xfId="627" applyFont="1" applyFill="1" applyBorder="1" applyAlignment="1">
      <alignment horizontal="center" vertical="center"/>
      <protection/>
    </xf>
    <xf numFmtId="0" fontId="3" fillId="55" borderId="20" xfId="0" applyNumberFormat="1" applyFont="1" applyFill="1" applyBorder="1" applyAlignment="1">
      <alignment horizontal="center" vertical="center" wrapText="1"/>
    </xf>
    <xf numFmtId="9" fontId="8" fillId="55" borderId="20" xfId="0" applyNumberFormat="1" applyFont="1" applyFill="1" applyBorder="1" applyAlignment="1">
      <alignment horizontal="center" vertical="center" wrapText="1"/>
    </xf>
    <xf numFmtId="2" fontId="131" fillId="55" borderId="20" xfId="0" applyNumberFormat="1" applyFont="1" applyFill="1" applyBorder="1" applyAlignment="1">
      <alignment horizontal="right" vertical="center" wrapText="1"/>
    </xf>
    <xf numFmtId="0" fontId="116" fillId="55" borderId="20" xfId="0" applyFont="1" applyFill="1" applyBorder="1" applyAlignment="1">
      <alignment vertical="center"/>
    </xf>
    <xf numFmtId="0" fontId="3" fillId="55" borderId="23" xfId="0" applyNumberFormat="1" applyFont="1" applyFill="1" applyBorder="1" applyAlignment="1">
      <alignment horizontal="center" vertical="center" wrapText="1"/>
    </xf>
    <xf numFmtId="0" fontId="3" fillId="55" borderId="25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right" vertical="center" wrapText="1"/>
    </xf>
    <xf numFmtId="179" fontId="130" fillId="55" borderId="26" xfId="0" applyNumberFormat="1" applyFont="1" applyFill="1" applyBorder="1" applyAlignment="1">
      <alignment horizontal="center" vertical="center" wrapText="1"/>
    </xf>
    <xf numFmtId="2" fontId="131" fillId="55" borderId="26" xfId="0" applyNumberFormat="1" applyFont="1" applyFill="1" applyBorder="1" applyAlignment="1">
      <alignment horizontal="right" vertical="center" wrapText="1"/>
    </xf>
    <xf numFmtId="180" fontId="3" fillId="55" borderId="26" xfId="0" applyNumberFormat="1" applyFont="1" applyFill="1" applyBorder="1" applyAlignment="1">
      <alignment horizontal="center" vertical="center" wrapText="1"/>
    </xf>
    <xf numFmtId="2" fontId="3" fillId="55" borderId="26" xfId="0" applyNumberFormat="1" applyFont="1" applyFill="1" applyBorder="1" applyAlignment="1">
      <alignment horizontal="center" vertical="center" wrapText="1"/>
    </xf>
    <xf numFmtId="0" fontId="34" fillId="55" borderId="0" xfId="715" applyFont="1" applyFill="1" applyBorder="1" applyAlignment="1">
      <alignment horizontal="center" vertical="center"/>
      <protection/>
    </xf>
    <xf numFmtId="0" fontId="3" fillId="55" borderId="20" xfId="0" applyFont="1" applyFill="1" applyBorder="1" applyAlignment="1">
      <alignment horizontal="left" wrapText="1"/>
    </xf>
    <xf numFmtId="0" fontId="3" fillId="55" borderId="20" xfId="0" applyFont="1" applyFill="1" applyBorder="1" applyAlignment="1">
      <alignment horizontal="center" vertical="justify"/>
    </xf>
    <xf numFmtId="0" fontId="3" fillId="55" borderId="0" xfId="0" applyFont="1" applyFill="1" applyAlignment="1">
      <alignment/>
    </xf>
    <xf numFmtId="0" fontId="3" fillId="55" borderId="0" xfId="715" applyFont="1" applyFill="1">
      <alignment/>
      <protection/>
    </xf>
    <xf numFmtId="0" fontId="3" fillId="55" borderId="20" xfId="0" applyFont="1" applyFill="1" applyBorder="1" applyAlignment="1">
      <alignment horizontal="center" wrapText="1"/>
    </xf>
    <xf numFmtId="180" fontId="3" fillId="55" borderId="20" xfId="715" applyNumberFormat="1" applyFont="1" applyFill="1" applyBorder="1" applyAlignment="1">
      <alignment horizontal="center"/>
      <protection/>
    </xf>
    <xf numFmtId="179" fontId="3" fillId="55" borderId="20" xfId="715" applyNumberFormat="1" applyFont="1" applyFill="1" applyBorder="1" applyAlignment="1">
      <alignment horizontal="center"/>
      <protection/>
    </xf>
    <xf numFmtId="14" fontId="3" fillId="55" borderId="0" xfId="0" applyNumberFormat="1" applyFont="1" applyFill="1" applyBorder="1" applyAlignment="1">
      <alignment horizontal="center"/>
    </xf>
    <xf numFmtId="2" fontId="3" fillId="55" borderId="0" xfId="0" applyNumberFormat="1" applyFont="1" applyFill="1" applyAlignment="1">
      <alignment/>
    </xf>
    <xf numFmtId="180" fontId="3" fillId="55" borderId="26" xfId="0" applyNumberFormat="1" applyFont="1" applyFill="1" applyBorder="1" applyAlignment="1">
      <alignment horizontal="center"/>
    </xf>
    <xf numFmtId="2" fontId="3" fillId="55" borderId="31" xfId="0" applyNumberFormat="1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/>
    </xf>
    <xf numFmtId="14" fontId="3" fillId="55" borderId="38" xfId="0" applyNumberFormat="1" applyFont="1" applyFill="1" applyBorder="1" applyAlignment="1">
      <alignment horizontal="center" vertical="center"/>
    </xf>
    <xf numFmtId="0" fontId="3" fillId="55" borderId="0" xfId="0" applyFont="1" applyFill="1" applyAlignment="1">
      <alignment vertical="center" wrapText="1"/>
    </xf>
    <xf numFmtId="0" fontId="3" fillId="55" borderId="39" xfId="0" applyFont="1" applyFill="1" applyBorder="1" applyAlignment="1">
      <alignment horizontal="center"/>
    </xf>
    <xf numFmtId="0" fontId="3" fillId="55" borderId="23" xfId="720" applyFont="1" applyFill="1" applyBorder="1" applyAlignment="1">
      <alignment horizontal="center" vertical="center" wrapText="1"/>
      <protection/>
    </xf>
    <xf numFmtId="0" fontId="3" fillId="55" borderId="23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180" fontId="3" fillId="55" borderId="23" xfId="0" applyNumberFormat="1" applyFont="1" applyFill="1" applyBorder="1" applyAlignment="1">
      <alignment horizontal="center" vertical="center" wrapText="1"/>
    </xf>
    <xf numFmtId="2" fontId="3" fillId="55" borderId="0" xfId="0" applyNumberFormat="1" applyFont="1" applyFill="1" applyBorder="1" applyAlignment="1">
      <alignment horizontal="center" vertical="center" wrapText="1"/>
    </xf>
    <xf numFmtId="180" fontId="3" fillId="55" borderId="23" xfId="715" applyNumberFormat="1" applyFont="1" applyFill="1" applyBorder="1" applyAlignment="1">
      <alignment horizontal="center"/>
      <protection/>
    </xf>
    <xf numFmtId="2" fontId="3" fillId="55" borderId="0" xfId="715" applyNumberFormat="1" applyFont="1" applyFill="1" applyBorder="1" applyAlignment="1">
      <alignment horizontal="center"/>
      <protection/>
    </xf>
    <xf numFmtId="180" fontId="3" fillId="55" borderId="26" xfId="715" applyNumberFormat="1" applyFont="1" applyFill="1" applyBorder="1" applyAlignment="1">
      <alignment horizontal="center"/>
      <protection/>
    </xf>
    <xf numFmtId="2" fontId="3" fillId="55" borderId="31" xfId="715" applyNumberFormat="1" applyFont="1" applyFill="1" applyBorder="1" applyAlignment="1">
      <alignment horizontal="center"/>
      <protection/>
    </xf>
    <xf numFmtId="2" fontId="3" fillId="55" borderId="20" xfId="0" applyNumberFormat="1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/>
    </xf>
    <xf numFmtId="0" fontId="3" fillId="55" borderId="0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 wrapText="1"/>
    </xf>
    <xf numFmtId="0" fontId="3" fillId="55" borderId="20" xfId="0" applyFont="1" applyFill="1" applyBorder="1" applyAlignment="1">
      <alignment horizontal="left" vertical="center" wrapText="1"/>
    </xf>
    <xf numFmtId="0" fontId="30" fillId="55" borderId="23" xfId="0" applyFont="1" applyFill="1" applyBorder="1" applyAlignment="1">
      <alignment horizontal="left" vertical="center"/>
    </xf>
    <xf numFmtId="0" fontId="3" fillId="55" borderId="22" xfId="0" applyFont="1" applyFill="1" applyBorder="1" applyAlignment="1">
      <alignment horizontal="center" vertical="center" wrapText="1"/>
    </xf>
    <xf numFmtId="0" fontId="3" fillId="55" borderId="38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3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/>
    </xf>
    <xf numFmtId="0" fontId="3" fillId="55" borderId="38" xfId="0" applyFont="1" applyFill="1" applyBorder="1" applyAlignment="1">
      <alignment horizontal="center"/>
    </xf>
    <xf numFmtId="0" fontId="3" fillId="55" borderId="36" xfId="0" applyFont="1" applyFill="1" applyBorder="1" applyAlignment="1">
      <alignment horizontal="center" vertical="center" wrapText="1"/>
    </xf>
    <xf numFmtId="0" fontId="3" fillId="55" borderId="36" xfId="0" applyFont="1" applyFill="1" applyBorder="1" applyAlignment="1">
      <alignment horizontal="center"/>
    </xf>
    <xf numFmtId="0" fontId="116" fillId="55" borderId="0" xfId="0" applyFont="1" applyFill="1" applyAlignment="1">
      <alignment horizontal="left" vertical="center"/>
    </xf>
    <xf numFmtId="0" fontId="116" fillId="55" borderId="0" xfId="0" applyFont="1" applyFill="1" applyAlignment="1">
      <alignment horizontal="right" vertical="center"/>
    </xf>
    <xf numFmtId="0" fontId="120" fillId="55" borderId="0" xfId="715" applyFont="1" applyFill="1" applyBorder="1" applyAlignment="1">
      <alignment vertical="center" wrapText="1"/>
      <protection/>
    </xf>
    <xf numFmtId="0" fontId="4" fillId="55" borderId="20" xfId="626" applyFont="1" applyFill="1" applyBorder="1" applyAlignment="1">
      <alignment horizontal="center" vertical="center" wrapText="1"/>
      <protection/>
    </xf>
    <xf numFmtId="0" fontId="3" fillId="55" borderId="23" xfId="627" applyFont="1" applyFill="1" applyBorder="1" applyAlignment="1">
      <alignment horizontal="center" vertical="center" wrapText="1"/>
      <protection/>
    </xf>
    <xf numFmtId="0" fontId="3" fillId="55" borderId="0" xfId="627" applyFont="1" applyFill="1" applyBorder="1" applyAlignment="1">
      <alignment horizontal="center" vertical="center"/>
      <protection/>
    </xf>
    <xf numFmtId="0" fontId="3" fillId="55" borderId="31" xfId="627" applyFont="1" applyFill="1" applyBorder="1" applyAlignment="1">
      <alignment horizontal="center" vertical="center"/>
      <protection/>
    </xf>
    <xf numFmtId="2" fontId="128" fillId="55" borderId="20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/>
    </xf>
    <xf numFmtId="0" fontId="4" fillId="55" borderId="23" xfId="0" applyFont="1" applyFill="1" applyBorder="1" applyAlignment="1">
      <alignment horizontal="center" wrapText="1"/>
    </xf>
    <xf numFmtId="0" fontId="31" fillId="55" borderId="0" xfId="0" applyFont="1" applyFill="1" applyAlignment="1">
      <alignment horizontal="center"/>
    </xf>
    <xf numFmtId="14" fontId="3" fillId="55" borderId="0" xfId="0" applyNumberFormat="1" applyFont="1" applyFill="1" applyAlignment="1">
      <alignment horizontal="center" vertical="center"/>
    </xf>
    <xf numFmtId="180" fontId="3" fillId="55" borderId="23" xfId="0" applyNumberFormat="1" applyFont="1" applyFill="1" applyBorder="1" applyAlignment="1">
      <alignment horizontal="center" vertical="center"/>
    </xf>
    <xf numFmtId="2" fontId="3" fillId="55" borderId="23" xfId="0" applyNumberFormat="1" applyFont="1" applyFill="1" applyBorder="1" applyAlignment="1">
      <alignment horizontal="center" vertical="center"/>
    </xf>
    <xf numFmtId="0" fontId="3" fillId="55" borderId="0" xfId="0" applyFont="1" applyFill="1" applyAlignment="1">
      <alignment vertical="center"/>
    </xf>
    <xf numFmtId="0" fontId="3" fillId="55" borderId="40" xfId="536" applyFont="1" applyFill="1" applyBorder="1" applyAlignment="1">
      <alignment horizontal="center" vertical="center" wrapText="1"/>
      <protection/>
    </xf>
    <xf numFmtId="0" fontId="3" fillId="55" borderId="41" xfId="536" applyFont="1" applyFill="1" applyBorder="1" applyAlignment="1">
      <alignment horizontal="center" vertical="center" wrapText="1"/>
      <protection/>
    </xf>
    <xf numFmtId="0" fontId="3" fillId="55" borderId="20" xfId="536" applyFont="1" applyFill="1" applyBorder="1" applyAlignment="1">
      <alignment horizontal="center" vertical="center" wrapText="1"/>
      <protection/>
    </xf>
    <xf numFmtId="179" fontId="3" fillId="55" borderId="20" xfId="536" applyNumberFormat="1" applyFont="1" applyFill="1" applyBorder="1" applyAlignment="1">
      <alignment horizontal="center" vertical="center" wrapText="1"/>
      <protection/>
    </xf>
    <xf numFmtId="43" fontId="4" fillId="55" borderId="20" xfId="536" applyNumberFormat="1" applyFont="1" applyFill="1" applyBorder="1" applyAlignment="1">
      <alignment horizontal="right" vertical="center" wrapText="1"/>
      <protection/>
    </xf>
    <xf numFmtId="0" fontId="3" fillId="55" borderId="0" xfId="495" applyFont="1" applyFill="1" applyBorder="1" applyAlignment="1">
      <alignment horizontal="center" vertical="center" wrapText="1"/>
      <protection/>
    </xf>
    <xf numFmtId="0" fontId="3" fillId="55" borderId="42" xfId="536" applyFont="1" applyFill="1" applyBorder="1" applyAlignment="1">
      <alignment horizontal="center" vertical="center"/>
      <protection/>
    </xf>
    <xf numFmtId="0" fontId="3" fillId="55" borderId="43" xfId="536" applyFont="1" applyFill="1" applyBorder="1" applyAlignment="1">
      <alignment horizontal="center" vertical="center"/>
      <protection/>
    </xf>
    <xf numFmtId="179" fontId="3" fillId="55" borderId="20" xfId="536" applyNumberFormat="1" applyFont="1" applyFill="1" applyBorder="1" applyAlignment="1">
      <alignment horizontal="center" vertical="center"/>
      <protection/>
    </xf>
    <xf numFmtId="43" fontId="3" fillId="55" borderId="20" xfId="536" applyNumberFormat="1" applyFont="1" applyFill="1" applyBorder="1" applyAlignment="1">
      <alignment horizontal="right" vertical="center"/>
      <protection/>
    </xf>
    <xf numFmtId="0" fontId="3" fillId="55" borderId="0" xfId="495" applyFont="1" applyFill="1" applyBorder="1" applyAlignment="1">
      <alignment horizontal="center" vertical="center"/>
      <protection/>
    </xf>
    <xf numFmtId="0" fontId="3" fillId="55" borderId="40" xfId="498" applyFont="1" applyFill="1" applyBorder="1" applyAlignment="1">
      <alignment horizontal="center" vertical="center" wrapText="1"/>
      <protection/>
    </xf>
    <xf numFmtId="0" fontId="3" fillId="55" borderId="41" xfId="498" applyFont="1" applyFill="1" applyBorder="1" applyAlignment="1">
      <alignment horizontal="center" vertical="center" wrapText="1"/>
      <protection/>
    </xf>
    <xf numFmtId="179" fontId="3" fillId="55" borderId="20" xfId="498" applyNumberFormat="1" applyFont="1" applyFill="1" applyBorder="1" applyAlignment="1">
      <alignment horizontal="center" vertical="center" wrapText="1"/>
      <protection/>
    </xf>
    <xf numFmtId="43" fontId="4" fillId="55" borderId="20" xfId="498" applyNumberFormat="1" applyFont="1" applyFill="1" applyBorder="1" applyAlignment="1">
      <alignment horizontal="right" vertical="center" wrapText="1"/>
      <protection/>
    </xf>
    <xf numFmtId="0" fontId="3" fillId="55" borderId="0" xfId="498" applyFont="1" applyFill="1" applyAlignment="1">
      <alignment vertical="center" wrapText="1"/>
      <protection/>
    </xf>
    <xf numFmtId="0" fontId="3" fillId="55" borderId="42" xfId="498" applyFont="1" applyFill="1" applyBorder="1" applyAlignment="1">
      <alignment horizontal="center" vertical="center"/>
      <protection/>
    </xf>
    <xf numFmtId="0" fontId="3" fillId="55" borderId="43" xfId="498" applyFont="1" applyFill="1" applyBorder="1" applyAlignment="1">
      <alignment horizontal="center" vertical="center"/>
      <protection/>
    </xf>
    <xf numFmtId="179" fontId="3" fillId="55" borderId="20" xfId="498" applyNumberFormat="1" applyFont="1" applyFill="1" applyBorder="1" applyAlignment="1">
      <alignment horizontal="center" vertical="center"/>
      <protection/>
    </xf>
    <xf numFmtId="43" fontId="3" fillId="55" borderId="20" xfId="498" applyNumberFormat="1" applyFont="1" applyFill="1" applyBorder="1" applyAlignment="1">
      <alignment horizontal="right" vertical="center"/>
      <protection/>
    </xf>
    <xf numFmtId="0" fontId="3" fillId="55" borderId="0" xfId="498" applyFont="1" applyFill="1" applyAlignment="1">
      <alignment vertical="center"/>
      <protection/>
    </xf>
    <xf numFmtId="0" fontId="3" fillId="55" borderId="40" xfId="495" applyFont="1" applyFill="1" applyBorder="1" applyAlignment="1">
      <alignment horizontal="center" vertical="center"/>
      <protection/>
    </xf>
    <xf numFmtId="0" fontId="3" fillId="55" borderId="41" xfId="495" applyFont="1" applyFill="1" applyBorder="1" applyAlignment="1">
      <alignment horizontal="center" vertical="center" wrapText="1"/>
      <protection/>
    </xf>
    <xf numFmtId="0" fontId="3" fillId="55" borderId="20" xfId="495" applyFont="1" applyFill="1" applyBorder="1" applyAlignment="1">
      <alignment horizontal="center" vertical="center"/>
      <protection/>
    </xf>
    <xf numFmtId="179" fontId="3" fillId="55" borderId="20" xfId="495" applyNumberFormat="1" applyFont="1" applyFill="1" applyBorder="1" applyAlignment="1">
      <alignment horizontal="center" vertical="center"/>
      <protection/>
    </xf>
    <xf numFmtId="43" fontId="3" fillId="55" borderId="20" xfId="495" applyNumberFormat="1" applyFont="1" applyFill="1" applyBorder="1" applyAlignment="1">
      <alignment horizontal="right" vertical="center"/>
      <protection/>
    </xf>
    <xf numFmtId="0" fontId="3" fillId="55" borderId="0" xfId="495" applyFont="1" applyFill="1" applyAlignment="1">
      <alignment vertical="center" wrapText="1"/>
      <protection/>
    </xf>
    <xf numFmtId="0" fontId="3" fillId="55" borderId="0" xfId="495" applyFont="1" applyFill="1" applyAlignment="1">
      <alignment vertical="center"/>
      <protection/>
    </xf>
    <xf numFmtId="0" fontId="3" fillId="55" borderId="42" xfId="495" applyFont="1" applyFill="1" applyBorder="1" applyAlignment="1">
      <alignment horizontal="center" vertical="center"/>
      <protection/>
    </xf>
    <xf numFmtId="0" fontId="3" fillId="55" borderId="44" xfId="495" applyFont="1" applyFill="1" applyBorder="1" applyAlignment="1">
      <alignment horizontal="center" vertical="center"/>
      <protection/>
    </xf>
    <xf numFmtId="0" fontId="4" fillId="55" borderId="20" xfId="495" applyFont="1" applyFill="1" applyBorder="1" applyAlignment="1">
      <alignment horizontal="left" vertical="center" wrapText="1"/>
      <protection/>
    </xf>
    <xf numFmtId="0" fontId="3" fillId="55" borderId="45" xfId="0" applyFont="1" applyFill="1" applyBorder="1" applyAlignment="1">
      <alignment horizontal="center" vertical="center"/>
    </xf>
    <xf numFmtId="0" fontId="3" fillId="55" borderId="31" xfId="0" applyFont="1" applyFill="1" applyBorder="1" applyAlignment="1">
      <alignment horizontal="center" vertical="center"/>
    </xf>
    <xf numFmtId="179" fontId="3" fillId="55" borderId="20" xfId="0" applyNumberFormat="1" applyFont="1" applyFill="1" applyBorder="1" applyAlignment="1">
      <alignment horizontal="center" vertical="center"/>
    </xf>
    <xf numFmtId="43" fontId="3" fillId="55" borderId="20" xfId="0" applyNumberFormat="1" applyFont="1" applyFill="1" applyBorder="1" applyAlignment="1">
      <alignment horizontal="right" vertical="center"/>
    </xf>
    <xf numFmtId="17" fontId="3" fillId="55" borderId="0" xfId="0" applyNumberFormat="1" applyFont="1" applyFill="1" applyBorder="1" applyAlignment="1">
      <alignment horizontal="center" vertical="center" wrapText="1"/>
    </xf>
    <xf numFmtId="180" fontId="3" fillId="55" borderId="0" xfId="0" applyNumberFormat="1" applyFont="1" applyFill="1" applyBorder="1" applyAlignment="1">
      <alignment horizontal="center" vertical="center"/>
    </xf>
    <xf numFmtId="0" fontId="3" fillId="55" borderId="0" xfId="0" applyFont="1" applyFill="1" applyBorder="1" applyAlignment="1">
      <alignment vertical="center"/>
    </xf>
    <xf numFmtId="14" fontId="3" fillId="55" borderId="23" xfId="0" applyNumberFormat="1" applyFont="1" applyFill="1" applyBorder="1" applyAlignment="1">
      <alignment horizontal="center" vertical="center" wrapText="1"/>
    </xf>
    <xf numFmtId="14" fontId="3" fillId="55" borderId="23" xfId="0" applyNumberFormat="1" applyFont="1" applyFill="1" applyBorder="1" applyAlignment="1">
      <alignment horizontal="center" vertical="center"/>
    </xf>
    <xf numFmtId="0" fontId="3" fillId="55" borderId="37" xfId="0" applyFont="1" applyFill="1" applyBorder="1" applyAlignment="1">
      <alignment horizontal="center" vertical="center" wrapText="1"/>
    </xf>
    <xf numFmtId="0" fontId="3" fillId="55" borderId="0" xfId="0" applyFont="1" applyFill="1" applyBorder="1" applyAlignment="1">
      <alignment vertical="center" wrapText="1"/>
    </xf>
    <xf numFmtId="0" fontId="3" fillId="55" borderId="25" xfId="0" applyFont="1" applyFill="1" applyBorder="1" applyAlignment="1">
      <alignment horizontal="center"/>
    </xf>
    <xf numFmtId="0" fontId="31" fillId="55" borderId="23" xfId="0" applyFont="1" applyFill="1" applyBorder="1" applyAlignment="1">
      <alignment horizontal="center" vertical="center" wrapText="1"/>
    </xf>
    <xf numFmtId="180" fontId="31" fillId="55" borderId="0" xfId="0" applyNumberFormat="1" applyFont="1" applyFill="1" applyAlignment="1">
      <alignment horizontal="center" vertical="center" wrapText="1"/>
    </xf>
    <xf numFmtId="17" fontId="3" fillId="55" borderId="37" xfId="0" applyNumberFormat="1" applyFont="1" applyFill="1" applyBorder="1" applyAlignment="1">
      <alignment horizontal="center" vertical="center" wrapText="1"/>
    </xf>
    <xf numFmtId="180" fontId="3" fillId="55" borderId="22" xfId="0" applyNumberFormat="1" applyFont="1" applyFill="1" applyBorder="1" applyAlignment="1">
      <alignment horizontal="center" vertical="center" wrapText="1"/>
    </xf>
    <xf numFmtId="0" fontId="3" fillId="55" borderId="46" xfId="630" applyFont="1" applyFill="1" applyBorder="1" applyAlignment="1">
      <alignment horizontal="center" vertical="center" wrapText="1"/>
      <protection/>
    </xf>
    <xf numFmtId="49" fontId="3" fillId="55" borderId="23" xfId="630" applyNumberFormat="1" applyFont="1" applyFill="1" applyBorder="1" applyAlignment="1">
      <alignment horizontal="center" vertical="center" wrapText="1"/>
      <protection/>
    </xf>
    <xf numFmtId="0" fontId="4" fillId="55" borderId="26" xfId="0" applyFont="1" applyFill="1" applyBorder="1" applyAlignment="1">
      <alignment horizontal="center" vertical="center" wrapText="1"/>
    </xf>
    <xf numFmtId="0" fontId="3" fillId="55" borderId="26" xfId="630" applyFont="1" applyFill="1" applyBorder="1" applyAlignment="1">
      <alignment horizontal="center" vertical="center" wrapText="1"/>
      <protection/>
    </xf>
    <xf numFmtId="0" fontId="3" fillId="55" borderId="0" xfId="630" applyFont="1" applyFill="1" applyBorder="1" applyAlignment="1">
      <alignment vertical="center"/>
      <protection/>
    </xf>
    <xf numFmtId="0" fontId="3" fillId="55" borderId="20" xfId="630" applyFont="1" applyFill="1" applyBorder="1" applyAlignment="1">
      <alignment horizontal="center" vertical="center" wrapText="1"/>
      <protection/>
    </xf>
    <xf numFmtId="0" fontId="3" fillId="55" borderId="0" xfId="630" applyFont="1" applyFill="1" applyAlignment="1">
      <alignment vertical="center"/>
      <protection/>
    </xf>
    <xf numFmtId="0" fontId="3" fillId="55" borderId="23" xfId="630" applyFont="1" applyFill="1" applyBorder="1" applyAlignment="1">
      <alignment vertical="center" wrapText="1"/>
      <protection/>
    </xf>
    <xf numFmtId="181" fontId="3" fillId="55" borderId="20" xfId="630" applyNumberFormat="1" applyFont="1" applyFill="1" applyBorder="1" applyAlignment="1">
      <alignment horizontal="center" vertical="center" wrapText="1"/>
      <protection/>
    </xf>
    <xf numFmtId="0" fontId="3" fillId="55" borderId="42" xfId="630" applyFont="1" applyFill="1" applyBorder="1" applyAlignment="1">
      <alignment horizontal="center" vertical="center" wrapText="1"/>
      <protection/>
    </xf>
    <xf numFmtId="49" fontId="3" fillId="55" borderId="43" xfId="630" applyNumberFormat="1" applyFont="1" applyFill="1" applyBorder="1" applyAlignment="1">
      <alignment horizontal="center" vertical="center" wrapText="1"/>
      <protection/>
    </xf>
    <xf numFmtId="179" fontId="3" fillId="55" borderId="20" xfId="630" applyNumberFormat="1" applyFont="1" applyFill="1" applyBorder="1" applyAlignment="1">
      <alignment horizontal="center" vertical="center" wrapText="1"/>
      <protection/>
    </xf>
    <xf numFmtId="180" fontId="31" fillId="55" borderId="20" xfId="0" applyNumberFormat="1" applyFont="1" applyFill="1" applyBorder="1" applyAlignment="1">
      <alignment horizontal="center"/>
    </xf>
    <xf numFmtId="1" fontId="3" fillId="55" borderId="20" xfId="0" applyNumberFormat="1" applyFont="1" applyFill="1" applyBorder="1" applyAlignment="1">
      <alignment horizontal="center" vertical="center"/>
    </xf>
    <xf numFmtId="2" fontId="31" fillId="55" borderId="20" xfId="0" applyNumberFormat="1" applyFont="1" applyFill="1" applyBorder="1" applyAlignment="1">
      <alignment horizontal="center"/>
    </xf>
    <xf numFmtId="185" fontId="3" fillId="55" borderId="20" xfId="0" applyNumberFormat="1" applyFont="1" applyFill="1" applyBorder="1" applyAlignment="1">
      <alignment horizontal="center" vertical="center" wrapText="1"/>
    </xf>
    <xf numFmtId="0" fontId="3" fillId="55" borderId="37" xfId="0" applyFont="1" applyFill="1" applyBorder="1" applyAlignment="1">
      <alignment horizontal="center" vertical="center"/>
    </xf>
    <xf numFmtId="0" fontId="4" fillId="55" borderId="0" xfId="0" applyFont="1" applyFill="1" applyBorder="1" applyAlignment="1">
      <alignment horizontal="center" vertical="center"/>
    </xf>
    <xf numFmtId="180" fontId="4" fillId="55" borderId="20" xfId="0" applyNumberFormat="1" applyFont="1" applyFill="1" applyBorder="1" applyAlignment="1">
      <alignment horizontal="center" vertical="center"/>
    </xf>
    <xf numFmtId="0" fontId="132" fillId="55" borderId="0" xfId="0" applyFont="1" applyFill="1" applyAlignment="1">
      <alignment vertical="center"/>
    </xf>
    <xf numFmtId="0" fontId="132" fillId="55" borderId="0" xfId="0" applyFont="1" applyFill="1" applyAlignment="1">
      <alignment horizontal="center" vertical="center"/>
    </xf>
    <xf numFmtId="0" fontId="132" fillId="55" borderId="0" xfId="0" applyFont="1" applyFill="1" applyAlignment="1">
      <alignment vertical="center" wrapText="1"/>
    </xf>
    <xf numFmtId="0" fontId="4" fillId="55" borderId="20" xfId="626" applyFont="1" applyFill="1" applyBorder="1" applyAlignment="1">
      <alignment horizontal="center" vertical="center"/>
      <protection/>
    </xf>
    <xf numFmtId="0" fontId="3" fillId="55" borderId="20" xfId="626" applyFont="1" applyFill="1" applyBorder="1" applyAlignment="1">
      <alignment horizontal="center" vertical="center"/>
      <protection/>
    </xf>
    <xf numFmtId="0" fontId="7" fillId="55" borderId="30" xfId="627" applyFont="1" applyFill="1" applyBorder="1" applyAlignment="1">
      <alignment horizontal="center" vertical="center"/>
      <protection/>
    </xf>
    <xf numFmtId="0" fontId="133" fillId="55" borderId="0" xfId="0" applyFont="1" applyFill="1" applyAlignment="1">
      <alignment vertical="center"/>
    </xf>
    <xf numFmtId="0" fontId="133" fillId="55" borderId="0" xfId="0" applyFont="1" applyFill="1" applyAlignment="1">
      <alignment horizontal="center" vertical="center"/>
    </xf>
    <xf numFmtId="0" fontId="133" fillId="55" borderId="0" xfId="0" applyFont="1" applyFill="1" applyAlignment="1">
      <alignment vertical="center" wrapText="1"/>
    </xf>
    <xf numFmtId="0" fontId="3" fillId="55" borderId="46" xfId="0" applyFont="1" applyFill="1" applyBorder="1" applyAlignment="1">
      <alignment horizontal="center" vertical="center"/>
    </xf>
    <xf numFmtId="0" fontId="29" fillId="55" borderId="20" xfId="0" applyFont="1" applyFill="1" applyBorder="1" applyAlignment="1">
      <alignment horizontal="center" vertical="center"/>
    </xf>
    <xf numFmtId="180" fontId="29" fillId="55" borderId="20" xfId="0" applyNumberFormat="1" applyFont="1" applyFill="1" applyBorder="1" applyAlignment="1">
      <alignment horizontal="center" vertical="center" wrapText="1"/>
    </xf>
    <xf numFmtId="0" fontId="29" fillId="55" borderId="20" xfId="625" applyFont="1" applyFill="1" applyBorder="1" applyAlignment="1">
      <alignment horizontal="center" vertical="center"/>
      <protection/>
    </xf>
    <xf numFmtId="2" fontId="29" fillId="55" borderId="20" xfId="0" applyNumberFormat="1" applyFont="1" applyFill="1" applyBorder="1" applyAlignment="1">
      <alignment horizontal="center" vertical="center"/>
    </xf>
    <xf numFmtId="2" fontId="29" fillId="55" borderId="20" xfId="625" applyNumberFormat="1" applyFont="1" applyFill="1" applyBorder="1" applyAlignment="1">
      <alignment horizontal="center" vertical="center"/>
      <protection/>
    </xf>
    <xf numFmtId="0" fontId="29" fillId="55" borderId="0" xfId="0" applyFont="1" applyFill="1" applyBorder="1" applyAlignment="1">
      <alignment vertical="center"/>
    </xf>
    <xf numFmtId="0" fontId="3" fillId="55" borderId="36" xfId="0" applyFont="1" applyFill="1" applyBorder="1" applyAlignment="1">
      <alignment horizontal="center" vertical="center"/>
    </xf>
    <xf numFmtId="0" fontId="4" fillId="55" borderId="20" xfId="514" applyFont="1" applyFill="1" applyBorder="1" applyAlignment="1">
      <alignment horizontal="center" vertical="center"/>
      <protection/>
    </xf>
    <xf numFmtId="16" fontId="4" fillId="55" borderId="20" xfId="514" applyNumberFormat="1" applyFont="1" applyFill="1" applyBorder="1" applyAlignment="1">
      <alignment horizontal="center" vertical="center"/>
      <protection/>
    </xf>
    <xf numFmtId="0" fontId="3" fillId="55" borderId="20" xfId="514" applyFont="1" applyFill="1" applyBorder="1" applyAlignment="1">
      <alignment horizontal="center"/>
      <protection/>
    </xf>
    <xf numFmtId="190" fontId="3" fillId="55" borderId="20" xfId="514" applyNumberFormat="1" applyFont="1" applyFill="1" applyBorder="1" applyAlignment="1">
      <alignment horizontal="center"/>
      <protection/>
    </xf>
    <xf numFmtId="4" fontId="3" fillId="55" borderId="20" xfId="514" applyNumberFormat="1" applyFont="1" applyFill="1" applyBorder="1" applyAlignment="1">
      <alignment horizontal="center"/>
      <protection/>
    </xf>
    <xf numFmtId="4" fontId="3" fillId="55" borderId="20" xfId="0" applyNumberFormat="1" applyFont="1" applyFill="1" applyBorder="1" applyAlignment="1">
      <alignment horizontal="center"/>
    </xf>
    <xf numFmtId="0" fontId="4" fillId="55" borderId="20" xfId="514" applyFont="1" applyFill="1" applyBorder="1" applyAlignment="1">
      <alignment horizontal="center" vertical="center" wrapText="1"/>
      <protection/>
    </xf>
    <xf numFmtId="14" fontId="4" fillId="55" borderId="20" xfId="514" applyNumberFormat="1" applyFont="1" applyFill="1" applyBorder="1" applyAlignment="1">
      <alignment horizontal="center" vertical="center" wrapText="1"/>
      <protection/>
    </xf>
    <xf numFmtId="0" fontId="3" fillId="55" borderId="20" xfId="522" applyFont="1" applyFill="1" applyBorder="1" applyAlignment="1">
      <alignment horizontal="center"/>
      <protection/>
    </xf>
    <xf numFmtId="4" fontId="3" fillId="55" borderId="20" xfId="522" applyNumberFormat="1" applyFont="1" applyFill="1" applyBorder="1" applyAlignment="1">
      <alignment horizontal="center"/>
      <protection/>
    </xf>
    <xf numFmtId="2" fontId="31" fillId="55" borderId="0" xfId="0" applyNumberFormat="1" applyFont="1" applyFill="1" applyAlignment="1">
      <alignment horizontal="center" vertical="center" wrapText="1"/>
    </xf>
    <xf numFmtId="0" fontId="34" fillId="55" borderId="0" xfId="0" applyFont="1" applyFill="1" applyAlignment="1">
      <alignment horizontal="center" vertical="center" wrapText="1"/>
    </xf>
    <xf numFmtId="0" fontId="34" fillId="55" borderId="0" xfId="0" applyFont="1" applyFill="1" applyAlignment="1">
      <alignment horizontal="center"/>
    </xf>
    <xf numFmtId="180" fontId="31" fillId="55" borderId="23" xfId="0" applyNumberFormat="1" applyFont="1" applyFill="1" applyBorder="1" applyAlignment="1">
      <alignment horizontal="center"/>
    </xf>
    <xf numFmtId="180" fontId="31" fillId="55" borderId="0" xfId="0" applyNumberFormat="1" applyFont="1" applyFill="1" applyAlignment="1">
      <alignment horizontal="center"/>
    </xf>
    <xf numFmtId="180" fontId="31" fillId="55" borderId="26" xfId="0" applyNumberFormat="1" applyFont="1" applyFill="1" applyBorder="1" applyAlignment="1">
      <alignment horizontal="center"/>
    </xf>
    <xf numFmtId="180" fontId="31" fillId="55" borderId="31" xfId="0" applyNumberFormat="1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 vertical="center" wrapText="1"/>
    </xf>
    <xf numFmtId="14" fontId="32" fillId="55" borderId="0" xfId="0" applyNumberFormat="1" applyFont="1" applyFill="1" applyAlignment="1">
      <alignment horizontal="center" vertical="center" wrapText="1"/>
    </xf>
    <xf numFmtId="14" fontId="4" fillId="55" borderId="20" xfId="0" applyNumberFormat="1" applyFont="1" applyFill="1" applyBorder="1" applyAlignment="1">
      <alignment horizontal="center" vertical="center" wrapText="1"/>
    </xf>
    <xf numFmtId="4" fontId="4" fillId="55" borderId="20" xfId="0" applyNumberFormat="1" applyFont="1" applyFill="1" applyBorder="1" applyAlignment="1">
      <alignment horizontal="center" vertical="center"/>
    </xf>
    <xf numFmtId="190" fontId="3" fillId="55" borderId="20" xfId="0" applyNumberFormat="1" applyFont="1" applyFill="1" applyBorder="1" applyAlignment="1">
      <alignment horizontal="center"/>
    </xf>
    <xf numFmtId="14" fontId="4" fillId="55" borderId="20" xfId="0" applyNumberFormat="1" applyFont="1" applyFill="1" applyBorder="1" applyAlignment="1">
      <alignment horizontal="center" vertical="center"/>
    </xf>
    <xf numFmtId="190" fontId="4" fillId="55" borderId="20" xfId="0" applyNumberFormat="1" applyFont="1" applyFill="1" applyBorder="1" applyAlignment="1">
      <alignment horizontal="center" vertical="center"/>
    </xf>
    <xf numFmtId="2" fontId="31" fillId="55" borderId="0" xfId="522" applyNumberFormat="1" applyFont="1" applyFill="1" applyBorder="1" applyAlignment="1">
      <alignment horizontal="center" vertical="center" wrapText="1"/>
      <protection/>
    </xf>
    <xf numFmtId="0" fontId="34" fillId="55" borderId="0" xfId="522" applyFont="1" applyFill="1" applyBorder="1" applyAlignment="1">
      <alignment horizontal="center" vertical="center" wrapText="1"/>
      <protection/>
    </xf>
    <xf numFmtId="0" fontId="34" fillId="55" borderId="0" xfId="522" applyFont="1" applyFill="1" applyAlignment="1">
      <alignment horizontal="center" vertical="center" wrapText="1"/>
      <protection/>
    </xf>
    <xf numFmtId="2" fontId="31" fillId="55" borderId="0" xfId="522" applyNumberFormat="1" applyFont="1" applyFill="1" applyBorder="1" applyAlignment="1">
      <alignment horizontal="center"/>
      <protection/>
    </xf>
    <xf numFmtId="185" fontId="31" fillId="55" borderId="0" xfId="522" applyNumberFormat="1" applyFont="1" applyFill="1" applyBorder="1" applyAlignment="1">
      <alignment horizontal="center"/>
      <protection/>
    </xf>
    <xf numFmtId="0" fontId="34" fillId="55" borderId="0" xfId="522" applyFont="1" applyFill="1" applyBorder="1" applyAlignment="1">
      <alignment horizontal="center"/>
      <protection/>
    </xf>
    <xf numFmtId="0" fontId="34" fillId="55" borderId="0" xfId="522" applyFont="1" applyFill="1" applyAlignment="1">
      <alignment horizontal="center"/>
      <protection/>
    </xf>
    <xf numFmtId="14" fontId="4" fillId="55" borderId="20" xfId="0" applyNumberFormat="1" applyFont="1" applyFill="1" applyBorder="1" applyAlignment="1">
      <alignment horizontal="center"/>
    </xf>
    <xf numFmtId="190" fontId="4" fillId="55" borderId="20" xfId="0" applyNumberFormat="1" applyFont="1" applyFill="1" applyBorder="1" applyAlignment="1">
      <alignment horizontal="center"/>
    </xf>
    <xf numFmtId="4" fontId="4" fillId="55" borderId="20" xfId="0" applyNumberFormat="1" applyFont="1" applyFill="1" applyBorder="1" applyAlignment="1">
      <alignment horizontal="center"/>
    </xf>
    <xf numFmtId="190" fontId="38" fillId="55" borderId="20" xfId="498" applyNumberFormat="1" applyFont="1" applyFill="1" applyBorder="1" applyAlignment="1">
      <alignment horizontal="center"/>
      <protection/>
    </xf>
    <xf numFmtId="0" fontId="4" fillId="55" borderId="20" xfId="603" applyFont="1" applyFill="1" applyBorder="1" applyAlignment="1">
      <alignment horizontal="center" vertical="center"/>
      <protection/>
    </xf>
    <xf numFmtId="14" fontId="4" fillId="55" borderId="20" xfId="603" applyNumberFormat="1" applyFont="1" applyFill="1" applyBorder="1" applyAlignment="1">
      <alignment horizontal="center" vertical="center"/>
      <protection/>
    </xf>
    <xf numFmtId="0" fontId="3" fillId="55" borderId="20" xfId="603" applyFont="1" applyFill="1" applyBorder="1" applyAlignment="1">
      <alignment horizontal="center"/>
      <protection/>
    </xf>
    <xf numFmtId="190" fontId="3" fillId="55" borderId="20" xfId="603" applyNumberFormat="1" applyFont="1" applyFill="1" applyBorder="1" applyAlignment="1">
      <alignment horizontal="center"/>
      <protection/>
    </xf>
    <xf numFmtId="4" fontId="3" fillId="55" borderId="20" xfId="603" applyNumberFormat="1" applyFont="1" applyFill="1" applyBorder="1" applyAlignment="1">
      <alignment horizontal="center"/>
      <protection/>
    </xf>
    <xf numFmtId="0" fontId="3" fillId="55" borderId="20" xfId="498" applyFont="1" applyFill="1" applyBorder="1" applyAlignment="1">
      <alignment horizontal="center"/>
      <protection/>
    </xf>
    <xf numFmtId="4" fontId="3" fillId="55" borderId="20" xfId="498" applyNumberFormat="1" applyFont="1" applyFill="1" applyBorder="1" applyAlignment="1">
      <alignment horizontal="center"/>
      <protection/>
    </xf>
    <xf numFmtId="0" fontId="39" fillId="55" borderId="22" xfId="0" applyFont="1" applyFill="1" applyBorder="1" applyAlignment="1">
      <alignment horizontal="center" vertical="center"/>
    </xf>
    <xf numFmtId="0" fontId="114" fillId="55" borderId="0" xfId="0" applyFont="1" applyFill="1" applyBorder="1" applyAlignment="1">
      <alignment vertical="center"/>
    </xf>
    <xf numFmtId="190" fontId="127" fillId="55" borderId="20" xfId="0" applyNumberFormat="1" applyFont="1" applyFill="1" applyBorder="1" applyAlignment="1">
      <alignment horizontal="center" vertical="center"/>
    </xf>
    <xf numFmtId="0" fontId="49" fillId="55" borderId="20" xfId="0" applyFont="1" applyFill="1" applyBorder="1" applyAlignment="1">
      <alignment horizontal="center" vertical="center"/>
    </xf>
    <xf numFmtId="179" fontId="131" fillId="55" borderId="20" xfId="0" applyNumberFormat="1" applyFont="1" applyFill="1" applyBorder="1" applyAlignment="1">
      <alignment horizontal="center" vertical="center" wrapText="1"/>
    </xf>
    <xf numFmtId="2" fontId="132" fillId="55" borderId="0" xfId="0" applyNumberFormat="1" applyFont="1" applyFill="1" applyAlignment="1">
      <alignment vertical="center"/>
    </xf>
    <xf numFmtId="2" fontId="132" fillId="55" borderId="0" xfId="0" applyNumberFormat="1" applyFont="1" applyFill="1" applyAlignment="1">
      <alignment horizontal="center" vertical="center"/>
    </xf>
    <xf numFmtId="2" fontId="131" fillId="55" borderId="20" xfId="0" applyNumberFormat="1" applyFont="1" applyFill="1" applyBorder="1" applyAlignment="1">
      <alignment horizontal="center" vertical="center" wrapText="1"/>
    </xf>
    <xf numFmtId="0" fontId="132" fillId="55" borderId="20" xfId="0" applyFont="1" applyFill="1" applyBorder="1" applyAlignment="1">
      <alignment vertical="center"/>
    </xf>
    <xf numFmtId="0" fontId="132" fillId="55" borderId="0" xfId="0" applyFont="1" applyFill="1" applyAlignment="1">
      <alignment horizontal="left" vertical="center"/>
    </xf>
    <xf numFmtId="0" fontId="3" fillId="55" borderId="30" xfId="0" applyFont="1" applyFill="1" applyBorder="1" applyAlignment="1">
      <alignment horizontal="center" vertical="center"/>
    </xf>
    <xf numFmtId="0" fontId="34" fillId="55" borderId="20" xfId="0" applyFont="1" applyFill="1" applyBorder="1" applyAlignment="1">
      <alignment horizontal="center"/>
    </xf>
    <xf numFmtId="0" fontId="31" fillId="55" borderId="20" xfId="522" applyFont="1" applyFill="1" applyBorder="1" applyAlignment="1">
      <alignment horizontal="center" vertical="center" wrapText="1"/>
      <protection/>
    </xf>
    <xf numFmtId="185" fontId="31" fillId="55" borderId="20" xfId="0" applyNumberFormat="1" applyFont="1" applyFill="1" applyBorder="1" applyAlignment="1">
      <alignment horizontal="center"/>
    </xf>
    <xf numFmtId="180" fontId="31" fillId="55" borderId="20" xfId="0" applyNumberFormat="1" applyFont="1" applyFill="1" applyBorder="1" applyAlignment="1">
      <alignment horizontal="center" vertical="center" wrapText="1"/>
    </xf>
    <xf numFmtId="2" fontId="31" fillId="55" borderId="20" xfId="0" applyNumberFormat="1" applyFont="1" applyFill="1" applyBorder="1" applyAlignment="1">
      <alignment horizontal="center" vertical="center" wrapText="1"/>
    </xf>
    <xf numFmtId="0" fontId="3" fillId="55" borderId="23" xfId="522" applyFont="1" applyFill="1" applyBorder="1" applyAlignment="1">
      <alignment horizontal="center" vertical="center" wrapText="1"/>
      <protection/>
    </xf>
    <xf numFmtId="0" fontId="3" fillId="55" borderId="20" xfId="522" applyFont="1" applyFill="1" applyBorder="1" applyAlignment="1">
      <alignment horizontal="center" vertical="center" wrapText="1"/>
      <protection/>
    </xf>
    <xf numFmtId="180" fontId="31" fillId="55" borderId="20" xfId="522" applyNumberFormat="1" applyFont="1" applyFill="1" applyBorder="1" applyAlignment="1">
      <alignment horizontal="center" vertical="center" wrapText="1"/>
      <protection/>
    </xf>
    <xf numFmtId="2" fontId="31" fillId="55" borderId="20" xfId="522" applyNumberFormat="1" applyFont="1" applyFill="1" applyBorder="1" applyAlignment="1">
      <alignment horizontal="center" vertical="center" wrapText="1"/>
      <protection/>
    </xf>
    <xf numFmtId="0" fontId="31" fillId="55" borderId="20" xfId="522" applyFont="1" applyFill="1" applyBorder="1" applyAlignment="1">
      <alignment horizontal="center"/>
      <protection/>
    </xf>
    <xf numFmtId="0" fontId="45" fillId="55" borderId="20" xfId="522" applyFont="1" applyFill="1" applyBorder="1" applyAlignment="1">
      <alignment horizontal="center"/>
      <protection/>
    </xf>
    <xf numFmtId="0" fontId="45" fillId="55" borderId="20" xfId="522" applyFont="1" applyFill="1" applyBorder="1" applyAlignment="1">
      <alignment horizontal="center" vertical="center" wrapText="1"/>
      <protection/>
    </xf>
    <xf numFmtId="0" fontId="122" fillId="55" borderId="0" xfId="0" applyFont="1" applyFill="1" applyAlignment="1">
      <alignment vertical="center"/>
    </xf>
    <xf numFmtId="0" fontId="48" fillId="55" borderId="20" xfId="0" applyFont="1" applyFill="1" applyBorder="1" applyAlignment="1">
      <alignment horizontal="center" vertical="center" wrapText="1"/>
    </xf>
    <xf numFmtId="0" fontId="50" fillId="55" borderId="20" xfId="0" applyFont="1" applyFill="1" applyBorder="1" applyAlignment="1">
      <alignment horizontal="center" vertical="center"/>
    </xf>
    <xf numFmtId="180" fontId="50" fillId="55" borderId="20" xfId="0" applyNumberFormat="1" applyFont="1" applyFill="1" applyBorder="1" applyAlignment="1">
      <alignment horizontal="center" vertical="center" wrapText="1"/>
    </xf>
    <xf numFmtId="0" fontId="50" fillId="55" borderId="20" xfId="625" applyFont="1" applyFill="1" applyBorder="1" applyAlignment="1">
      <alignment horizontal="center" vertical="center"/>
      <protection/>
    </xf>
    <xf numFmtId="2" fontId="50" fillId="55" borderId="20" xfId="0" applyNumberFormat="1" applyFont="1" applyFill="1" applyBorder="1" applyAlignment="1">
      <alignment horizontal="center" vertical="center"/>
    </xf>
    <xf numFmtId="2" fontId="50" fillId="55" borderId="20" xfId="625" applyNumberFormat="1" applyFont="1" applyFill="1" applyBorder="1" applyAlignment="1">
      <alignment horizontal="center" vertical="center"/>
      <protection/>
    </xf>
    <xf numFmtId="0" fontId="32" fillId="55" borderId="20" xfId="522" applyFont="1" applyFill="1" applyBorder="1" applyAlignment="1">
      <alignment horizontal="center" vertical="center" wrapText="1"/>
      <protection/>
    </xf>
    <xf numFmtId="0" fontId="32" fillId="55" borderId="20" xfId="514" applyFont="1" applyFill="1" applyBorder="1" applyAlignment="1">
      <alignment horizontal="center" vertical="center"/>
      <protection/>
    </xf>
    <xf numFmtId="190" fontId="32" fillId="55" borderId="20" xfId="514" applyNumberFormat="1" applyFont="1" applyFill="1" applyBorder="1" applyAlignment="1">
      <alignment horizontal="center" vertical="center"/>
      <protection/>
    </xf>
    <xf numFmtId="4" fontId="32" fillId="55" borderId="20" xfId="514" applyNumberFormat="1" applyFont="1" applyFill="1" applyBorder="1" applyAlignment="1">
      <alignment horizontal="center" vertical="center"/>
      <protection/>
    </xf>
    <xf numFmtId="0" fontId="32" fillId="55" borderId="20" xfId="514" applyFont="1" applyFill="1" applyBorder="1" applyAlignment="1">
      <alignment horizontal="center" vertical="center" wrapText="1"/>
      <protection/>
    </xf>
    <xf numFmtId="0" fontId="32" fillId="55" borderId="22" xfId="0" applyFont="1" applyFill="1" applyBorder="1" applyAlignment="1">
      <alignment horizontal="center" vertical="center" wrapText="1"/>
    </xf>
    <xf numFmtId="0" fontId="32" fillId="55" borderId="20" xfId="623" applyFont="1" applyFill="1" applyBorder="1" applyAlignment="1">
      <alignment horizontal="center" vertical="center" wrapText="1"/>
      <protection/>
    </xf>
    <xf numFmtId="4" fontId="32" fillId="55" borderId="20" xfId="0" applyNumberFormat="1" applyFont="1" applyFill="1" applyBorder="1" applyAlignment="1">
      <alignment horizontal="center" vertical="center"/>
    </xf>
    <xf numFmtId="190" fontId="32" fillId="55" borderId="20" xfId="0" applyNumberFormat="1" applyFont="1" applyFill="1" applyBorder="1" applyAlignment="1">
      <alignment horizontal="center" vertical="center"/>
    </xf>
    <xf numFmtId="0" fontId="32" fillId="55" borderId="20" xfId="603" applyFont="1" applyFill="1" applyBorder="1" applyAlignment="1">
      <alignment horizontal="center" vertical="center"/>
      <protection/>
    </xf>
    <xf numFmtId="190" fontId="32" fillId="55" borderId="20" xfId="603" applyNumberFormat="1" applyFont="1" applyFill="1" applyBorder="1" applyAlignment="1">
      <alignment horizontal="center" vertical="center"/>
      <protection/>
    </xf>
    <xf numFmtId="4" fontId="32" fillId="55" borderId="20" xfId="603" applyNumberFormat="1" applyFont="1" applyFill="1" applyBorder="1" applyAlignment="1">
      <alignment horizontal="center" vertical="center"/>
      <protection/>
    </xf>
    <xf numFmtId="0" fontId="32" fillId="55" borderId="20" xfId="0" applyFont="1" applyFill="1" applyBorder="1" applyAlignment="1">
      <alignment horizontal="center"/>
    </xf>
    <xf numFmtId="190" fontId="32" fillId="55" borderId="20" xfId="0" applyNumberFormat="1" applyFont="1" applyFill="1" applyBorder="1" applyAlignment="1">
      <alignment horizontal="center"/>
    </xf>
    <xf numFmtId="4" fontId="32" fillId="55" borderId="20" xfId="0" applyNumberFormat="1" applyFont="1" applyFill="1" applyBorder="1" applyAlignment="1">
      <alignment horizontal="center"/>
    </xf>
    <xf numFmtId="4" fontId="58" fillId="55" borderId="20" xfId="714" applyNumberFormat="1" applyFont="1" applyFill="1" applyBorder="1" applyAlignment="1">
      <alignment horizontal="center" vertical="center"/>
      <protection/>
    </xf>
    <xf numFmtId="0" fontId="66" fillId="55" borderId="20" xfId="0" applyFont="1" applyFill="1" applyBorder="1" applyAlignment="1">
      <alignment horizontal="center" vertical="center" wrapText="1"/>
    </xf>
    <xf numFmtId="179" fontId="134" fillId="55" borderId="20" xfId="0" applyNumberFormat="1" applyFont="1" applyFill="1" applyBorder="1" applyAlignment="1">
      <alignment horizontal="center" vertical="center" wrapText="1"/>
    </xf>
    <xf numFmtId="179" fontId="135" fillId="55" borderId="20" xfId="0" applyNumberFormat="1" applyFont="1" applyFill="1" applyBorder="1" applyAlignment="1">
      <alignment horizontal="center" vertical="center" wrapText="1"/>
    </xf>
    <xf numFmtId="9" fontId="65" fillId="55" borderId="20" xfId="0" applyNumberFormat="1" applyFont="1" applyFill="1" applyBorder="1" applyAlignment="1">
      <alignment horizontal="center" vertical="center" wrapText="1"/>
    </xf>
    <xf numFmtId="2" fontId="135" fillId="55" borderId="20" xfId="0" applyNumberFormat="1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vertical="center"/>
    </xf>
    <xf numFmtId="0" fontId="3" fillId="55" borderId="20" xfId="514" applyFont="1" applyFill="1" applyBorder="1" applyAlignment="1">
      <alignment horizontal="center" wrapText="1"/>
      <protection/>
    </xf>
    <xf numFmtId="190" fontId="3" fillId="55" borderId="20" xfId="522" applyNumberFormat="1" applyFont="1" applyFill="1" applyBorder="1" applyAlignment="1">
      <alignment horizontal="center"/>
      <protection/>
    </xf>
    <xf numFmtId="0" fontId="3" fillId="55" borderId="20" xfId="522" applyFont="1" applyFill="1" applyBorder="1" applyAlignment="1">
      <alignment horizontal="center" wrapText="1"/>
      <protection/>
    </xf>
    <xf numFmtId="180" fontId="3" fillId="55" borderId="20" xfId="522" applyNumberFormat="1" applyFont="1" applyFill="1" applyBorder="1" applyAlignment="1">
      <alignment horizontal="center"/>
      <protection/>
    </xf>
    <xf numFmtId="2" fontId="3" fillId="55" borderId="20" xfId="522" applyNumberFormat="1" applyFont="1" applyFill="1" applyBorder="1" applyAlignment="1">
      <alignment horizontal="center"/>
      <protection/>
    </xf>
    <xf numFmtId="180" fontId="3" fillId="55" borderId="20" xfId="522" applyNumberFormat="1" applyFont="1" applyFill="1" applyBorder="1" applyAlignment="1">
      <alignment horizontal="center" vertical="center" wrapText="1"/>
      <protection/>
    </xf>
    <xf numFmtId="2" fontId="3" fillId="55" borderId="20" xfId="522" applyNumberFormat="1" applyFont="1" applyFill="1" applyBorder="1" applyAlignment="1">
      <alignment horizontal="center" vertical="center" wrapText="1"/>
      <protection/>
    </xf>
    <xf numFmtId="190" fontId="3" fillId="55" borderId="20" xfId="498" applyNumberFormat="1" applyFont="1" applyFill="1" applyBorder="1" applyAlignment="1">
      <alignment horizontal="center"/>
      <protection/>
    </xf>
    <xf numFmtId="190" fontId="45" fillId="55" borderId="20" xfId="0" applyNumberFormat="1" applyFont="1" applyFill="1" applyBorder="1" applyAlignment="1">
      <alignment horizontal="center"/>
    </xf>
    <xf numFmtId="0" fontId="132" fillId="55" borderId="20" xfId="0" applyFont="1" applyFill="1" applyBorder="1" applyAlignment="1">
      <alignment horizontal="center" vertical="center"/>
    </xf>
    <xf numFmtId="4" fontId="2" fillId="55" borderId="20" xfId="714" applyNumberFormat="1" applyFont="1" applyFill="1" applyBorder="1" applyAlignment="1">
      <alignment horizontal="center" vertical="center"/>
      <protection/>
    </xf>
    <xf numFmtId="190" fontId="132" fillId="55" borderId="20" xfId="0" applyNumberFormat="1" applyFont="1" applyFill="1" applyBorder="1" applyAlignment="1">
      <alignment horizontal="center" vertical="center"/>
    </xf>
    <xf numFmtId="2" fontId="132" fillId="55" borderId="20" xfId="0" applyNumberFormat="1" applyFont="1" applyFill="1" applyBorder="1" applyAlignment="1">
      <alignment horizontal="center" vertical="center"/>
    </xf>
    <xf numFmtId="9" fontId="32" fillId="55" borderId="20" xfId="662" applyFont="1" applyFill="1" applyBorder="1" applyAlignment="1">
      <alignment horizontal="center" vertical="center" wrapText="1"/>
    </xf>
    <xf numFmtId="180" fontId="32" fillId="55" borderId="20" xfId="495" applyNumberFormat="1" applyFont="1" applyFill="1" applyBorder="1" applyAlignment="1">
      <alignment horizontal="center" vertical="center" wrapText="1"/>
      <protection/>
    </xf>
    <xf numFmtId="0" fontId="4" fillId="55" borderId="22" xfId="522" applyFont="1" applyFill="1" applyBorder="1" applyAlignment="1">
      <alignment horizontal="center" vertical="center" wrapText="1"/>
      <protection/>
    </xf>
    <xf numFmtId="179" fontId="3" fillId="55" borderId="37" xfId="0" applyNumberFormat="1" applyFont="1" applyFill="1" applyBorder="1" applyAlignment="1">
      <alignment horizontal="center" vertical="center" wrapText="1"/>
    </xf>
    <xf numFmtId="185" fontId="3" fillId="55" borderId="0" xfId="0" applyNumberFormat="1" applyFont="1" applyFill="1" applyAlignment="1">
      <alignment vertical="center" wrapText="1"/>
    </xf>
    <xf numFmtId="2" fontId="3" fillId="55" borderId="0" xfId="0" applyNumberFormat="1" applyFont="1" applyFill="1" applyAlignment="1">
      <alignment horizontal="center" vertical="center"/>
    </xf>
    <xf numFmtId="185" fontId="3" fillId="55" borderId="0" xfId="0" applyNumberFormat="1" applyFont="1" applyFill="1" applyAlignment="1">
      <alignment/>
    </xf>
    <xf numFmtId="14" fontId="3" fillId="55" borderId="0" xfId="522" applyNumberFormat="1" applyFont="1" applyFill="1" applyAlignment="1">
      <alignment horizontal="center" vertical="center" wrapText="1"/>
      <protection/>
    </xf>
    <xf numFmtId="0" fontId="3" fillId="55" borderId="0" xfId="522" applyFont="1" applyFill="1" applyBorder="1" applyAlignment="1">
      <alignment horizontal="center" vertical="center" wrapText="1"/>
      <protection/>
    </xf>
    <xf numFmtId="180" fontId="3" fillId="55" borderId="23" xfId="522" applyNumberFormat="1" applyFont="1" applyFill="1" applyBorder="1" applyAlignment="1">
      <alignment horizontal="center" vertical="center" wrapText="1"/>
      <protection/>
    </xf>
    <xf numFmtId="2" fontId="3" fillId="55" borderId="0" xfId="522" applyNumberFormat="1" applyFont="1" applyFill="1" applyAlignment="1">
      <alignment horizontal="center" vertical="center" wrapText="1"/>
      <protection/>
    </xf>
    <xf numFmtId="0" fontId="3" fillId="55" borderId="0" xfId="522" applyFont="1" applyFill="1" applyAlignment="1">
      <alignment horizontal="center" vertical="center" wrapText="1"/>
      <protection/>
    </xf>
    <xf numFmtId="0" fontId="3" fillId="55" borderId="23" xfId="522" applyFont="1" applyFill="1" applyBorder="1" applyAlignment="1">
      <alignment horizontal="center"/>
      <protection/>
    </xf>
    <xf numFmtId="0" fontId="3" fillId="55" borderId="0" xfId="522" applyFont="1" applyFill="1" applyBorder="1" applyAlignment="1">
      <alignment horizontal="center"/>
      <protection/>
    </xf>
    <xf numFmtId="0" fontId="3" fillId="55" borderId="0" xfId="522" applyFont="1" applyFill="1" applyAlignment="1">
      <alignment horizontal="center"/>
      <protection/>
    </xf>
    <xf numFmtId="0" fontId="3" fillId="55" borderId="26" xfId="522" applyFont="1" applyFill="1" applyBorder="1" applyAlignment="1">
      <alignment horizontal="center"/>
      <protection/>
    </xf>
    <xf numFmtId="0" fontId="3" fillId="55" borderId="31" xfId="522" applyFont="1" applyFill="1" applyBorder="1" applyAlignment="1">
      <alignment horizontal="center"/>
      <protection/>
    </xf>
    <xf numFmtId="49" fontId="3" fillId="55" borderId="23" xfId="0" applyNumberFormat="1" applyFont="1" applyFill="1" applyBorder="1" applyAlignment="1">
      <alignment horizontal="center" vertical="center"/>
    </xf>
    <xf numFmtId="0" fontId="3" fillId="55" borderId="0" xfId="495" applyFont="1" applyFill="1" applyAlignment="1">
      <alignment horizontal="center"/>
      <protection/>
    </xf>
    <xf numFmtId="49" fontId="3" fillId="55" borderId="26" xfId="0" applyNumberFormat="1" applyFont="1" applyFill="1" applyBorder="1" applyAlignment="1">
      <alignment horizontal="center" vertical="center"/>
    </xf>
    <xf numFmtId="2" fontId="4" fillId="55" borderId="23" xfId="0" applyNumberFormat="1" applyFont="1" applyFill="1" applyBorder="1" applyAlignment="1">
      <alignment horizontal="center" vertical="center" wrapText="1"/>
    </xf>
    <xf numFmtId="0" fontId="4" fillId="55" borderId="23" xfId="522" applyFont="1" applyFill="1" applyBorder="1" applyAlignment="1">
      <alignment horizontal="center"/>
      <protection/>
    </xf>
    <xf numFmtId="180" fontId="3" fillId="55" borderId="23" xfId="522" applyNumberFormat="1" applyFont="1" applyFill="1" applyBorder="1" applyAlignment="1">
      <alignment horizontal="center"/>
      <protection/>
    </xf>
    <xf numFmtId="180" fontId="3" fillId="55" borderId="0" xfId="522" applyNumberFormat="1" applyFont="1" applyFill="1" applyBorder="1" applyAlignment="1">
      <alignment horizontal="center"/>
      <protection/>
    </xf>
    <xf numFmtId="0" fontId="3" fillId="55" borderId="23" xfId="716" applyFont="1" applyFill="1" applyBorder="1" applyAlignment="1">
      <alignment horizontal="center"/>
      <protection/>
    </xf>
    <xf numFmtId="0" fontId="3" fillId="55" borderId="0" xfId="716" applyFont="1" applyFill="1" applyBorder="1" applyAlignment="1">
      <alignment horizontal="center"/>
      <protection/>
    </xf>
    <xf numFmtId="180" fontId="3" fillId="55" borderId="23" xfId="716" applyNumberFormat="1" applyFont="1" applyFill="1" applyBorder="1" applyAlignment="1">
      <alignment horizontal="center"/>
      <protection/>
    </xf>
    <xf numFmtId="180" fontId="3" fillId="55" borderId="0" xfId="716" applyNumberFormat="1" applyFont="1" applyFill="1" applyBorder="1" applyAlignment="1">
      <alignment horizontal="center"/>
      <protection/>
    </xf>
    <xf numFmtId="0" fontId="3" fillId="55" borderId="0" xfId="716" applyFont="1" applyFill="1" applyAlignment="1">
      <alignment horizontal="center"/>
      <protection/>
    </xf>
    <xf numFmtId="0" fontId="3" fillId="55" borderId="26" xfId="716" applyFont="1" applyFill="1" applyBorder="1" applyAlignment="1">
      <alignment horizontal="center"/>
      <protection/>
    </xf>
    <xf numFmtId="0" fontId="3" fillId="55" borderId="31" xfId="716" applyFont="1" applyFill="1" applyBorder="1" applyAlignment="1">
      <alignment horizontal="center"/>
      <protection/>
    </xf>
    <xf numFmtId="180" fontId="3" fillId="55" borderId="26" xfId="716" applyNumberFormat="1" applyFont="1" applyFill="1" applyBorder="1" applyAlignment="1">
      <alignment horizontal="center"/>
      <protection/>
    </xf>
    <xf numFmtId="2" fontId="3" fillId="55" borderId="31" xfId="716" applyNumberFormat="1" applyFont="1" applyFill="1" applyBorder="1" applyAlignment="1">
      <alignment horizontal="center"/>
      <protection/>
    </xf>
    <xf numFmtId="0" fontId="29" fillId="55" borderId="22" xfId="0" applyFont="1" applyFill="1" applyBorder="1" applyAlignment="1">
      <alignment horizontal="center" vertical="center"/>
    </xf>
    <xf numFmtId="0" fontId="29" fillId="55" borderId="0" xfId="0" applyFont="1" applyFill="1" applyAlignment="1">
      <alignment horizontal="center" vertical="center"/>
    </xf>
    <xf numFmtId="0" fontId="29" fillId="55" borderId="23" xfId="0" applyFont="1" applyFill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0" xfId="0" applyFont="1" applyFill="1" applyBorder="1" applyAlignment="1">
      <alignment horizontal="center"/>
    </xf>
    <xf numFmtId="0" fontId="29" fillId="55" borderId="26" xfId="0" applyFont="1" applyFill="1" applyBorder="1" applyAlignment="1">
      <alignment horizontal="center"/>
    </xf>
    <xf numFmtId="0" fontId="3" fillId="55" borderId="26" xfId="0" applyFont="1" applyFill="1" applyBorder="1" applyAlignment="1">
      <alignment horizontal="center" vertical="center" wrapText="1"/>
    </xf>
    <xf numFmtId="14" fontId="3" fillId="55" borderId="20" xfId="0" applyNumberFormat="1" applyFont="1" applyFill="1" applyBorder="1" applyAlignment="1">
      <alignment horizontal="center"/>
    </xf>
    <xf numFmtId="0" fontId="31" fillId="55" borderId="36" xfId="0" applyFont="1" applyFill="1" applyBorder="1" applyAlignment="1">
      <alignment horizontal="center"/>
    </xf>
    <xf numFmtId="0" fontId="33" fillId="55" borderId="22" xfId="0" applyFont="1" applyFill="1" applyBorder="1" applyAlignment="1">
      <alignment horizontal="center"/>
    </xf>
    <xf numFmtId="190" fontId="3" fillId="55" borderId="22" xfId="0" applyNumberFormat="1" applyFont="1" applyFill="1" applyBorder="1" applyAlignment="1">
      <alignment horizontal="center"/>
    </xf>
    <xf numFmtId="4" fontId="3" fillId="55" borderId="37" xfId="0" applyNumberFormat="1" applyFont="1" applyFill="1" applyBorder="1" applyAlignment="1">
      <alignment horizontal="center"/>
    </xf>
    <xf numFmtId="4" fontId="3" fillId="55" borderId="22" xfId="0" applyNumberFormat="1" applyFont="1" applyFill="1" applyBorder="1" applyAlignment="1">
      <alignment horizontal="center"/>
    </xf>
    <xf numFmtId="180" fontId="31" fillId="55" borderId="0" xfId="0" applyNumberFormat="1" applyFont="1" applyFill="1" applyBorder="1" applyAlignment="1">
      <alignment horizontal="center" vertical="center" wrapText="1"/>
    </xf>
    <xf numFmtId="14" fontId="31" fillId="55" borderId="0" xfId="0" applyNumberFormat="1" applyFont="1" applyFill="1" applyAlignment="1">
      <alignment horizontal="center"/>
    </xf>
    <xf numFmtId="14" fontId="31" fillId="55" borderId="0" xfId="0" applyNumberFormat="1" applyFont="1" applyFill="1" applyAlignment="1">
      <alignment horizontal="center" vertical="center"/>
    </xf>
    <xf numFmtId="0" fontId="32" fillId="55" borderId="20" xfId="0" applyFont="1" applyFill="1" applyBorder="1" applyAlignment="1">
      <alignment horizontal="center" wrapText="1"/>
    </xf>
    <xf numFmtId="0" fontId="51" fillId="55" borderId="0" xfId="0" applyFont="1" applyFill="1" applyBorder="1" applyAlignment="1">
      <alignment horizontal="center"/>
    </xf>
    <xf numFmtId="0" fontId="3" fillId="55" borderId="22" xfId="0" applyFont="1" applyFill="1" applyBorder="1" applyAlignment="1">
      <alignment horizontal="center" vertical="top" wrapText="1"/>
    </xf>
    <xf numFmtId="2" fontId="3" fillId="55" borderId="0" xfId="669" applyNumberFormat="1" applyFont="1" applyFill="1">
      <alignment/>
      <protection/>
    </xf>
    <xf numFmtId="0" fontId="3" fillId="55" borderId="0" xfId="0" applyFont="1" applyFill="1" applyAlignment="1">
      <alignment/>
    </xf>
    <xf numFmtId="0" fontId="31" fillId="55" borderId="0" xfId="0" applyFont="1" applyFill="1" applyBorder="1" applyAlignment="1">
      <alignment vertical="top" wrapText="1"/>
    </xf>
    <xf numFmtId="0" fontId="3" fillId="55" borderId="23" xfId="0" applyFont="1" applyFill="1" applyBorder="1" applyAlignment="1">
      <alignment horizontal="center" vertical="top" wrapText="1"/>
    </xf>
    <xf numFmtId="49" fontId="3" fillId="55" borderId="23" xfId="0" applyNumberFormat="1" applyFont="1" applyFill="1" applyBorder="1" applyAlignment="1">
      <alignment horizontal="center" vertical="top" wrapText="1"/>
    </xf>
    <xf numFmtId="0" fontId="3" fillId="55" borderId="0" xfId="0" applyFont="1" applyFill="1" applyAlignment="1">
      <alignment horizontal="center"/>
    </xf>
    <xf numFmtId="0" fontId="4" fillId="55" borderId="23" xfId="0" applyFont="1" applyFill="1" applyBorder="1" applyAlignment="1" quotePrefix="1">
      <alignment horizontal="center" vertical="top" wrapText="1"/>
    </xf>
    <xf numFmtId="0" fontId="56" fillId="55" borderId="23" xfId="0" applyFont="1" applyFill="1" applyBorder="1" applyAlignment="1">
      <alignment horizontal="center" vertical="top" wrapText="1"/>
    </xf>
    <xf numFmtId="0" fontId="56" fillId="55" borderId="23" xfId="0" applyFont="1" applyFill="1" applyBorder="1" applyAlignment="1" quotePrefix="1">
      <alignment horizontal="center" vertical="top" wrapText="1"/>
    </xf>
    <xf numFmtId="0" fontId="56" fillId="55" borderId="0" xfId="0" applyFont="1" applyFill="1" applyAlignment="1">
      <alignment horizontal="center"/>
    </xf>
    <xf numFmtId="0" fontId="56" fillId="55" borderId="0" xfId="0" applyFont="1" applyFill="1" applyAlignment="1">
      <alignment/>
    </xf>
    <xf numFmtId="0" fontId="56" fillId="55" borderId="0" xfId="0" applyFont="1" applyFill="1" applyBorder="1" applyAlignment="1">
      <alignment vertical="top" wrapText="1"/>
    </xf>
    <xf numFmtId="0" fontId="3" fillId="55" borderId="26" xfId="0" applyFont="1" applyFill="1" applyBorder="1" applyAlignment="1">
      <alignment horizontal="center" vertical="top" wrapText="1"/>
    </xf>
    <xf numFmtId="0" fontId="4" fillId="55" borderId="26" xfId="0" applyFont="1" applyFill="1" applyBorder="1" applyAlignment="1" quotePrefix="1">
      <alignment horizontal="center" vertical="top" wrapText="1"/>
    </xf>
    <xf numFmtId="190" fontId="3" fillId="55" borderId="20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/>
    </xf>
    <xf numFmtId="0" fontId="3" fillId="55" borderId="30" xfId="0" applyFont="1" applyFill="1" applyBorder="1" applyAlignment="1">
      <alignment horizontal="center"/>
    </xf>
    <xf numFmtId="0" fontId="32" fillId="55" borderId="23" xfId="0" applyFont="1" applyFill="1" applyBorder="1" applyAlignment="1">
      <alignment horizontal="center" wrapText="1"/>
    </xf>
    <xf numFmtId="4" fontId="3" fillId="55" borderId="20" xfId="0" applyNumberFormat="1" applyFont="1" applyFill="1" applyBorder="1" applyAlignment="1">
      <alignment horizontal="center" vertical="center"/>
    </xf>
    <xf numFmtId="0" fontId="33" fillId="55" borderId="22" xfId="0" applyFont="1" applyFill="1" applyBorder="1" applyAlignment="1">
      <alignment horizontal="center" vertical="center"/>
    </xf>
    <xf numFmtId="180" fontId="45" fillId="55" borderId="23" xfId="0" applyNumberFormat="1" applyFont="1" applyFill="1" applyBorder="1" applyAlignment="1">
      <alignment horizontal="center" vertical="center" wrapText="1"/>
    </xf>
    <xf numFmtId="0" fontId="116" fillId="55" borderId="20" xfId="0" applyFont="1" applyFill="1" applyBorder="1" applyAlignment="1">
      <alignment horizontal="center" vertical="center"/>
    </xf>
    <xf numFmtId="0" fontId="34" fillId="55" borderId="20" xfId="0" applyFont="1" applyFill="1" applyBorder="1" applyAlignment="1">
      <alignment horizontal="center" vertical="center" wrapText="1"/>
    </xf>
    <xf numFmtId="185" fontId="31" fillId="55" borderId="20" xfId="0" applyNumberFormat="1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vertical="top" wrapText="1"/>
    </xf>
    <xf numFmtId="0" fontId="3" fillId="55" borderId="20" xfId="0" applyFont="1" applyFill="1" applyBorder="1" applyAlignment="1">
      <alignment vertical="top" wrapText="1"/>
    </xf>
    <xf numFmtId="2" fontId="3" fillId="55" borderId="20" xfId="0" applyNumberFormat="1" applyFont="1" applyFill="1" applyBorder="1" applyAlignment="1">
      <alignment horizontal="center" vertical="top" wrapText="1"/>
    </xf>
    <xf numFmtId="185" fontId="3" fillId="55" borderId="20" xfId="0" applyNumberFormat="1" applyFont="1" applyFill="1" applyBorder="1" applyAlignment="1">
      <alignment horizontal="center" vertical="top" wrapText="1"/>
    </xf>
    <xf numFmtId="49" fontId="4" fillId="55" borderId="22" xfId="0" applyNumberFormat="1" applyFont="1" applyFill="1" applyBorder="1" applyAlignment="1">
      <alignment horizontal="center" vertical="top" wrapText="1"/>
    </xf>
    <xf numFmtId="14" fontId="32" fillId="55" borderId="0" xfId="0" applyNumberFormat="1" applyFont="1" applyFill="1" applyAlignment="1">
      <alignment horizontal="center"/>
    </xf>
    <xf numFmtId="0" fontId="3" fillId="55" borderId="20" xfId="715" applyFont="1" applyFill="1" applyBorder="1" applyAlignment="1">
      <alignment horizontal="left"/>
      <protection/>
    </xf>
    <xf numFmtId="0" fontId="3" fillId="55" borderId="23" xfId="0" applyFont="1" applyFill="1" applyBorder="1" applyAlignment="1">
      <alignment horizontal="left"/>
    </xf>
    <xf numFmtId="0" fontId="3" fillId="55" borderId="26" xfId="0" applyFont="1" applyFill="1" applyBorder="1" applyAlignment="1">
      <alignment horizontal="left"/>
    </xf>
    <xf numFmtId="0" fontId="4" fillId="55" borderId="20" xfId="0" applyFont="1" applyFill="1" applyBorder="1" applyAlignment="1">
      <alignment horizontal="left" vertical="center" wrapText="1"/>
    </xf>
    <xf numFmtId="0" fontId="4" fillId="55" borderId="23" xfId="715" applyFont="1" applyFill="1" applyBorder="1" applyAlignment="1">
      <alignment horizontal="left"/>
      <protection/>
    </xf>
    <xf numFmtId="0" fontId="3" fillId="55" borderId="26" xfId="715" applyFont="1" applyFill="1" applyBorder="1" applyAlignment="1">
      <alignment horizontal="left"/>
      <protection/>
    </xf>
    <xf numFmtId="0" fontId="4" fillId="55" borderId="20" xfId="0" applyFont="1" applyFill="1" applyBorder="1" applyAlignment="1">
      <alignment horizontal="left"/>
    </xf>
    <xf numFmtId="0" fontId="4" fillId="55" borderId="30" xfId="0" applyFont="1" applyFill="1" applyBorder="1" applyAlignment="1">
      <alignment horizontal="left" vertical="center" wrapText="1"/>
    </xf>
    <xf numFmtId="0" fontId="3" fillId="55" borderId="30" xfId="0" applyFont="1" applyFill="1" applyBorder="1" applyAlignment="1">
      <alignment horizontal="left"/>
    </xf>
    <xf numFmtId="0" fontId="3" fillId="55" borderId="30" xfId="0" applyFont="1" applyFill="1" applyBorder="1" applyAlignment="1">
      <alignment horizontal="left" wrapText="1"/>
    </xf>
    <xf numFmtId="0" fontId="3" fillId="55" borderId="23" xfId="0" applyFont="1" applyFill="1" applyBorder="1" applyAlignment="1">
      <alignment horizontal="center" vertical="justify"/>
    </xf>
    <xf numFmtId="0" fontId="4" fillId="55" borderId="30" xfId="0" applyFont="1" applyFill="1" applyBorder="1" applyAlignment="1">
      <alignment horizontal="right" vertical="center" wrapText="1"/>
    </xf>
    <xf numFmtId="0" fontId="3" fillId="55" borderId="30" xfId="715" applyFont="1" applyFill="1" applyBorder="1" applyAlignment="1">
      <alignment horizontal="left"/>
      <protection/>
    </xf>
    <xf numFmtId="0" fontId="3" fillId="55" borderId="22" xfId="0" applyNumberFormat="1" applyFont="1" applyFill="1" applyBorder="1" applyAlignment="1">
      <alignment horizontal="center" vertical="center" wrapText="1"/>
    </xf>
    <xf numFmtId="0" fontId="3" fillId="55" borderId="38" xfId="0" applyNumberFormat="1" applyFont="1" applyFill="1" applyBorder="1" applyAlignment="1">
      <alignment horizontal="center" vertical="center" wrapText="1"/>
    </xf>
    <xf numFmtId="0" fontId="31" fillId="55" borderId="36" xfId="715" applyFont="1" applyFill="1" applyBorder="1" applyAlignment="1">
      <alignment horizontal="center" vertical="center"/>
      <protection/>
    </xf>
    <xf numFmtId="0" fontId="3" fillId="55" borderId="36" xfId="715" applyFont="1" applyFill="1" applyBorder="1" applyAlignment="1">
      <alignment horizontal="center"/>
      <protection/>
    </xf>
    <xf numFmtId="0" fontId="3" fillId="55" borderId="36" xfId="0" applyFont="1" applyFill="1" applyBorder="1" applyAlignment="1">
      <alignment horizontal="center" vertical="justify"/>
    </xf>
    <xf numFmtId="0" fontId="3" fillId="55" borderId="36" xfId="0" applyFont="1" applyFill="1" applyBorder="1" applyAlignment="1">
      <alignment/>
    </xf>
    <xf numFmtId="0" fontId="3" fillId="55" borderId="38" xfId="0" applyFont="1" applyFill="1" applyBorder="1" applyAlignment="1">
      <alignment horizontal="left" wrapText="1"/>
    </xf>
    <xf numFmtId="0" fontId="120" fillId="0" borderId="20" xfId="715" applyFont="1" applyFill="1" applyBorder="1" applyAlignment="1">
      <alignment horizontal="right" vertical="center" wrapText="1"/>
      <protection/>
    </xf>
    <xf numFmtId="1" fontId="31" fillId="55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4" fontId="0" fillId="0" borderId="20" xfId="715" applyNumberFormat="1" applyFont="1" applyFill="1" applyBorder="1" applyAlignment="1">
      <alignment horizontal="center" vertical="center"/>
      <protection/>
    </xf>
    <xf numFmtId="0" fontId="32" fillId="55" borderId="23" xfId="0" applyFont="1" applyFill="1" applyBorder="1" applyAlignment="1">
      <alignment horizontal="left" vertical="center"/>
    </xf>
    <xf numFmtId="0" fontId="4" fillId="55" borderId="23" xfId="0" applyFont="1" applyFill="1" applyBorder="1" applyAlignment="1">
      <alignment vertical="center" wrapText="1"/>
    </xf>
    <xf numFmtId="0" fontId="4" fillId="55" borderId="20" xfId="0" applyFont="1" applyFill="1" applyBorder="1" applyAlignment="1">
      <alignment vertical="center" wrapText="1"/>
    </xf>
    <xf numFmtId="0" fontId="4" fillId="55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189" fontId="114" fillId="0" borderId="20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34" fillId="0" borderId="20" xfId="495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4" fontId="3" fillId="0" borderId="2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79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/>
    </xf>
    <xf numFmtId="190" fontId="3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4" fillId="55" borderId="22" xfId="627" applyFont="1" applyFill="1" applyBorder="1" applyAlignment="1">
      <alignment horizontal="center" vertical="center"/>
      <protection/>
    </xf>
    <xf numFmtId="0" fontId="3" fillId="55" borderId="22" xfId="627" applyFont="1" applyFill="1" applyBorder="1" applyAlignment="1">
      <alignment horizontal="center" vertical="center"/>
      <protection/>
    </xf>
    <xf numFmtId="0" fontId="3" fillId="55" borderId="26" xfId="627" applyFont="1" applyFill="1" applyBorder="1" applyAlignment="1">
      <alignment horizontal="center" vertical="center"/>
      <protection/>
    </xf>
    <xf numFmtId="0" fontId="34" fillId="55" borderId="35" xfId="723" applyFont="1" applyFill="1" applyBorder="1" applyAlignment="1">
      <alignment horizontal="center" vertical="center" wrapText="1"/>
      <protection/>
    </xf>
    <xf numFmtId="0" fontId="3" fillId="55" borderId="23" xfId="715" applyFont="1" applyFill="1" applyBorder="1" applyAlignment="1">
      <alignment horizontal="center" vertical="center"/>
      <protection/>
    </xf>
    <xf numFmtId="0" fontId="3" fillId="55" borderId="20" xfId="715" applyFont="1" applyFill="1" applyBorder="1" applyAlignment="1">
      <alignment horizontal="center" vertical="center"/>
      <protection/>
    </xf>
    <xf numFmtId="180" fontId="3" fillId="55" borderId="20" xfId="715" applyNumberFormat="1" applyFont="1" applyFill="1" applyBorder="1" applyAlignment="1">
      <alignment horizontal="center" vertical="center"/>
      <protection/>
    </xf>
    <xf numFmtId="2" fontId="3" fillId="55" borderId="20" xfId="715" applyNumberFormat="1" applyFont="1" applyFill="1" applyBorder="1" applyAlignment="1">
      <alignment horizontal="center" vertical="center"/>
      <protection/>
    </xf>
    <xf numFmtId="0" fontId="3" fillId="55" borderId="0" xfId="715" applyFont="1" applyFill="1" applyAlignment="1">
      <alignment vertical="center"/>
      <protection/>
    </xf>
    <xf numFmtId="0" fontId="3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26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3" fillId="55" borderId="22" xfId="0" applyNumberFormat="1" applyFont="1" applyFill="1" applyBorder="1" applyAlignment="1">
      <alignment horizontal="center"/>
    </xf>
    <xf numFmtId="180" fontId="3" fillId="55" borderId="31" xfId="0" applyNumberFormat="1" applyFont="1" applyFill="1" applyBorder="1" applyAlignment="1">
      <alignment horizontal="center"/>
    </xf>
    <xf numFmtId="0" fontId="3" fillId="55" borderId="0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179" fontId="130" fillId="55" borderId="0" xfId="0" applyNumberFormat="1" applyFont="1" applyFill="1" applyBorder="1" applyAlignment="1">
      <alignment horizontal="center" vertical="center" wrapText="1"/>
    </xf>
    <xf numFmtId="2" fontId="131" fillId="55" borderId="0" xfId="0" applyNumberFormat="1" applyFont="1" applyFill="1" applyBorder="1" applyAlignment="1">
      <alignment horizontal="center" vertical="center" wrapText="1"/>
    </xf>
    <xf numFmtId="0" fontId="4" fillId="55" borderId="0" xfId="627" applyFont="1" applyFill="1" applyBorder="1" applyAlignment="1">
      <alignment horizontal="center" vertical="center"/>
      <protection/>
    </xf>
    <xf numFmtId="2" fontId="4" fillId="55" borderId="0" xfId="0" applyNumberFormat="1" applyFont="1" applyFill="1" applyBorder="1" applyAlignment="1">
      <alignment horizontal="center" vertical="center"/>
    </xf>
    <xf numFmtId="4" fontId="3" fillId="55" borderId="20" xfId="625" applyNumberFormat="1" applyFont="1" applyFill="1" applyBorder="1" applyAlignment="1">
      <alignment horizontal="center"/>
      <protection/>
    </xf>
    <xf numFmtId="4" fontId="31" fillId="55" borderId="20" xfId="0" applyNumberFormat="1" applyFont="1" applyFill="1" applyBorder="1" applyAlignment="1">
      <alignment horizontal="center"/>
    </xf>
    <xf numFmtId="4" fontId="31" fillId="55" borderId="20" xfId="625" applyNumberFormat="1" applyFont="1" applyFill="1" applyBorder="1" applyAlignment="1">
      <alignment horizontal="center"/>
      <protection/>
    </xf>
    <xf numFmtId="4" fontId="3" fillId="55" borderId="20" xfId="495" applyNumberFormat="1" applyFont="1" applyFill="1" applyBorder="1" applyAlignment="1">
      <alignment horizontal="center" vertical="center" wrapText="1"/>
      <protection/>
    </xf>
    <xf numFmtId="4" fontId="3" fillId="55" borderId="20" xfId="626" applyNumberFormat="1" applyFont="1" applyFill="1" applyBorder="1" applyAlignment="1">
      <alignment horizontal="center" vertical="center" wrapText="1"/>
      <protection/>
    </xf>
    <xf numFmtId="4" fontId="3" fillId="55" borderId="20" xfId="626" applyNumberFormat="1" applyFont="1" applyFill="1" applyBorder="1" applyAlignment="1">
      <alignment horizontal="center" vertical="center"/>
      <protection/>
    </xf>
    <xf numFmtId="4" fontId="3" fillId="55" borderId="20" xfId="498" applyNumberFormat="1" applyFont="1" applyFill="1" applyBorder="1" applyAlignment="1">
      <alignment horizontal="center" vertical="center" wrapText="1"/>
      <protection/>
    </xf>
    <xf numFmtId="4" fontId="3" fillId="55" borderId="20" xfId="625" applyNumberFormat="1" applyFont="1" applyFill="1" applyBorder="1" applyAlignment="1">
      <alignment horizontal="center" vertical="center"/>
      <protection/>
    </xf>
    <xf numFmtId="4" fontId="3" fillId="55" borderId="20" xfId="495" applyNumberFormat="1" applyFont="1" applyFill="1" applyBorder="1" applyAlignment="1">
      <alignment horizontal="center" vertical="center"/>
      <protection/>
    </xf>
    <xf numFmtId="4" fontId="3" fillId="55" borderId="20" xfId="715" applyNumberFormat="1" applyFont="1" applyFill="1" applyBorder="1" applyAlignment="1">
      <alignment horizontal="center" vertical="center"/>
      <protection/>
    </xf>
    <xf numFmtId="4" fontId="3" fillId="0" borderId="20" xfId="625" applyNumberFormat="1" applyFont="1" applyFill="1" applyBorder="1" applyAlignment="1">
      <alignment horizontal="center" vertical="center"/>
      <protection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0" xfId="625" applyNumberFormat="1" applyFont="1" applyFill="1" applyBorder="1" applyAlignment="1">
      <alignment horizontal="center"/>
      <protection/>
    </xf>
    <xf numFmtId="4" fontId="3" fillId="55" borderId="20" xfId="625" applyNumberFormat="1" applyFont="1" applyFill="1" applyBorder="1" applyAlignment="1">
      <alignment horizontal="center" vertical="center" wrapText="1"/>
      <protection/>
    </xf>
    <xf numFmtId="4" fontId="3" fillId="55" borderId="20" xfId="0" applyNumberFormat="1" applyFont="1" applyFill="1" applyBorder="1" applyAlignment="1">
      <alignment horizontal="center" vertical="center" wrapText="1"/>
    </xf>
    <xf numFmtId="4" fontId="3" fillId="0" borderId="20" xfId="625" applyNumberFormat="1" applyFont="1" applyBorder="1" applyAlignment="1">
      <alignment horizontal="center"/>
      <protection/>
    </xf>
    <xf numFmtId="4" fontId="3" fillId="0" borderId="20" xfId="0" applyNumberFormat="1" applyFont="1" applyBorder="1" applyAlignment="1">
      <alignment horizontal="center"/>
    </xf>
    <xf numFmtId="4" fontId="3" fillId="0" borderId="20" xfId="0" applyNumberFormat="1" applyFont="1" applyFill="1" applyBorder="1" applyAlignment="1">
      <alignment/>
    </xf>
    <xf numFmtId="4" fontId="31" fillId="55" borderId="20" xfId="625" applyNumberFormat="1" applyFont="1" applyFill="1" applyBorder="1" applyAlignment="1">
      <alignment horizontal="center" vertical="center"/>
      <protection/>
    </xf>
    <xf numFmtId="4" fontId="31" fillId="55" borderId="20" xfId="0" applyNumberFormat="1" applyFont="1" applyFill="1" applyBorder="1" applyAlignment="1">
      <alignment horizontal="center" vertical="center"/>
    </xf>
    <xf numFmtId="4" fontId="31" fillId="55" borderId="20" xfId="625" applyNumberFormat="1" applyFont="1" applyFill="1" applyBorder="1" applyAlignment="1">
      <alignment horizontal="center" vertical="center" wrapText="1"/>
      <protection/>
    </xf>
    <xf numFmtId="4" fontId="3" fillId="55" borderId="23" xfId="625" applyNumberFormat="1" applyFont="1" applyFill="1" applyBorder="1" applyAlignment="1">
      <alignment horizontal="center" vertical="center"/>
      <protection/>
    </xf>
    <xf numFmtId="4" fontId="3" fillId="55" borderId="0" xfId="625" applyNumberFormat="1" applyFont="1" applyFill="1" applyBorder="1" applyAlignment="1">
      <alignment horizontal="center" vertical="center"/>
      <protection/>
    </xf>
    <xf numFmtId="4" fontId="3" fillId="55" borderId="23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/>
    </xf>
    <xf numFmtId="4" fontId="3" fillId="55" borderId="26" xfId="630" applyNumberFormat="1" applyFont="1" applyFill="1" applyBorder="1" applyAlignment="1">
      <alignment horizontal="center" vertical="center" wrapText="1"/>
      <protection/>
    </xf>
    <xf numFmtId="4" fontId="3" fillId="55" borderId="26" xfId="0" applyNumberFormat="1" applyFont="1" applyFill="1" applyBorder="1" applyAlignment="1">
      <alignment horizontal="center" vertical="center"/>
    </xf>
    <xf numFmtId="4" fontId="3" fillId="55" borderId="20" xfId="630" applyNumberFormat="1" applyFont="1" applyFill="1" applyBorder="1" applyAlignment="1">
      <alignment horizontal="center" vertical="center" wrapText="1"/>
      <protection/>
    </xf>
    <xf numFmtId="4" fontId="3" fillId="55" borderId="20" xfId="0" applyNumberFormat="1" applyFont="1" applyFill="1" applyBorder="1" applyAlignment="1">
      <alignment vertical="center"/>
    </xf>
    <xf numFmtId="4" fontId="3" fillId="55" borderId="20" xfId="627" applyNumberFormat="1" applyFont="1" applyFill="1" applyBorder="1" applyAlignment="1">
      <alignment horizontal="center" vertical="center"/>
      <protection/>
    </xf>
    <xf numFmtId="4" fontId="4" fillId="0" borderId="20" xfId="627" applyNumberFormat="1" applyFont="1" applyFill="1" applyBorder="1" applyAlignment="1">
      <alignment horizontal="center" vertical="center"/>
      <protection/>
    </xf>
    <xf numFmtId="4" fontId="4" fillId="55" borderId="20" xfId="627" applyNumberFormat="1" applyFont="1" applyFill="1" applyBorder="1" applyAlignment="1">
      <alignment horizontal="center" vertical="center"/>
      <protection/>
    </xf>
    <xf numFmtId="4" fontId="50" fillId="55" borderId="20" xfId="625" applyNumberFormat="1" applyFont="1" applyFill="1" applyBorder="1" applyAlignment="1">
      <alignment horizontal="center" vertical="center"/>
      <protection/>
    </xf>
    <xf numFmtId="4" fontId="50" fillId="55" borderId="20" xfId="0" applyNumberFormat="1" applyFont="1" applyFill="1" applyBorder="1" applyAlignment="1">
      <alignment horizontal="center" vertical="center"/>
    </xf>
    <xf numFmtId="4" fontId="31" fillId="55" borderId="25" xfId="0" applyNumberFormat="1" applyFont="1" applyFill="1" applyBorder="1" applyAlignment="1">
      <alignment horizontal="center" vertical="center" wrapText="1"/>
    </xf>
    <xf numFmtId="4" fontId="31" fillId="55" borderId="23" xfId="0" applyNumberFormat="1" applyFont="1" applyFill="1" applyBorder="1" applyAlignment="1">
      <alignment horizontal="center" vertical="center" wrapText="1"/>
    </xf>
    <xf numFmtId="4" fontId="31" fillId="55" borderId="23" xfId="625" applyNumberFormat="1" applyFont="1" applyFill="1" applyBorder="1" applyAlignment="1">
      <alignment horizontal="center" vertical="center" wrapText="1"/>
      <protection/>
    </xf>
    <xf numFmtId="4" fontId="31" fillId="55" borderId="0" xfId="625" applyNumberFormat="1" applyFont="1" applyFill="1" applyBorder="1" applyAlignment="1">
      <alignment horizontal="center" vertical="center" wrapText="1"/>
      <protection/>
    </xf>
    <xf numFmtId="4" fontId="31" fillId="55" borderId="20" xfId="522" applyNumberFormat="1" applyFont="1" applyFill="1" applyBorder="1" applyAlignment="1">
      <alignment horizontal="center" vertical="center" wrapText="1"/>
      <protection/>
    </xf>
    <xf numFmtId="4" fontId="31" fillId="55" borderId="20" xfId="628" applyNumberFormat="1" applyFont="1" applyFill="1" applyBorder="1" applyAlignment="1">
      <alignment horizontal="center" vertical="center" wrapText="1"/>
      <protection/>
    </xf>
    <xf numFmtId="4" fontId="3" fillId="55" borderId="20" xfId="522" applyNumberFormat="1" applyFont="1" applyFill="1" applyBorder="1" applyAlignment="1">
      <alignment horizontal="center" vertical="center" wrapText="1"/>
      <protection/>
    </xf>
    <xf numFmtId="4" fontId="31" fillId="55" borderId="20" xfId="627" applyNumberFormat="1" applyFont="1" applyFill="1" applyBorder="1" applyAlignment="1">
      <alignment horizontal="center" vertical="center"/>
      <protection/>
    </xf>
    <xf numFmtId="4" fontId="32" fillId="55" borderId="20" xfId="627" applyNumberFormat="1" applyFont="1" applyFill="1" applyBorder="1" applyAlignment="1">
      <alignment horizontal="center" vertical="center"/>
      <protection/>
    </xf>
    <xf numFmtId="4" fontId="31" fillId="55" borderId="20" xfId="627" applyNumberFormat="1" applyFont="1" applyFill="1" applyBorder="1" applyAlignment="1">
      <alignment horizontal="center"/>
      <protection/>
    </xf>
    <xf numFmtId="4" fontId="31" fillId="0" borderId="20" xfId="627" applyNumberFormat="1" applyFont="1" applyFill="1" applyBorder="1" applyAlignment="1">
      <alignment horizontal="center" vertical="center"/>
      <protection/>
    </xf>
    <xf numFmtId="4" fontId="31" fillId="55" borderId="20" xfId="359" applyNumberFormat="1" applyFont="1" applyFill="1" applyBorder="1" applyAlignment="1" applyProtection="1">
      <alignment horizontal="center" vertical="center"/>
      <protection/>
    </xf>
    <xf numFmtId="4" fontId="4" fillId="55" borderId="20" xfId="343" applyNumberFormat="1" applyFont="1" applyFill="1" applyBorder="1" applyAlignment="1">
      <alignment horizontal="center" vertical="center" wrapText="1"/>
    </xf>
    <xf numFmtId="4" fontId="32" fillId="55" borderId="20" xfId="495" applyNumberFormat="1" applyFont="1" applyFill="1" applyBorder="1" applyAlignment="1">
      <alignment horizontal="center" vertical="center"/>
      <protection/>
    </xf>
    <xf numFmtId="4" fontId="3" fillId="55" borderId="22" xfId="0" applyNumberFormat="1" applyFont="1" applyFill="1" applyBorder="1" applyAlignment="1">
      <alignment horizontal="center" vertical="center" wrapText="1"/>
    </xf>
    <xf numFmtId="4" fontId="3" fillId="55" borderId="37" xfId="0" applyNumberFormat="1" applyFont="1" applyFill="1" applyBorder="1" applyAlignment="1">
      <alignment horizontal="center" vertical="center" wrapText="1"/>
    </xf>
    <xf numFmtId="4" fontId="3" fillId="55" borderId="23" xfId="0" applyNumberFormat="1" applyFont="1" applyFill="1" applyBorder="1" applyAlignment="1">
      <alignment horizontal="center" vertical="center" wrapText="1"/>
    </xf>
    <xf numFmtId="4" fontId="3" fillId="55" borderId="0" xfId="0" applyNumberFormat="1" applyFont="1" applyFill="1" applyBorder="1" applyAlignment="1">
      <alignment horizontal="center" vertical="center" wrapText="1"/>
    </xf>
    <xf numFmtId="4" fontId="3" fillId="55" borderId="23" xfId="0" applyNumberFormat="1" applyFont="1" applyFill="1" applyBorder="1" applyAlignment="1">
      <alignment vertical="center" wrapText="1"/>
    </xf>
    <xf numFmtId="4" fontId="3" fillId="55" borderId="23" xfId="522" applyNumberFormat="1" applyFont="1" applyFill="1" applyBorder="1" applyAlignment="1">
      <alignment horizontal="center" vertical="center" wrapText="1"/>
      <protection/>
    </xf>
    <xf numFmtId="4" fontId="3" fillId="55" borderId="0" xfId="522" applyNumberFormat="1" applyFont="1" applyFill="1" applyAlignment="1">
      <alignment horizontal="center" vertical="center" wrapText="1"/>
      <protection/>
    </xf>
    <xf numFmtId="4" fontId="3" fillId="55" borderId="25" xfId="522" applyNumberFormat="1" applyFont="1" applyFill="1" applyBorder="1" applyAlignment="1">
      <alignment horizontal="center" vertical="center" wrapText="1"/>
      <protection/>
    </xf>
    <xf numFmtId="4" fontId="67" fillId="55" borderId="23" xfId="0" applyNumberFormat="1" applyFont="1" applyFill="1" applyBorder="1" applyAlignment="1">
      <alignment horizontal="center" vertical="center"/>
    </xf>
    <xf numFmtId="4" fontId="3" fillId="55" borderId="0" xfId="627" applyNumberFormat="1" applyFont="1" applyFill="1" applyBorder="1" applyAlignment="1">
      <alignment horizontal="center"/>
      <protection/>
    </xf>
    <xf numFmtId="4" fontId="3" fillId="55" borderId="23" xfId="627" applyNumberFormat="1" applyFont="1" applyFill="1" applyBorder="1" applyAlignment="1">
      <alignment horizontal="center"/>
      <protection/>
    </xf>
    <xf numFmtId="4" fontId="3" fillId="55" borderId="25" xfId="627" applyNumberFormat="1" applyFont="1" applyFill="1" applyBorder="1" applyAlignment="1">
      <alignment horizontal="center"/>
      <protection/>
    </xf>
    <xf numFmtId="4" fontId="3" fillId="55" borderId="20" xfId="627" applyNumberFormat="1" applyFont="1" applyFill="1" applyBorder="1" applyAlignment="1">
      <alignment horizontal="center"/>
      <protection/>
    </xf>
    <xf numFmtId="4" fontId="3" fillId="55" borderId="23" xfId="522" applyNumberFormat="1" applyFont="1" applyFill="1" applyBorder="1" applyAlignment="1">
      <alignment horizontal="center"/>
      <protection/>
    </xf>
    <xf numFmtId="4" fontId="3" fillId="55" borderId="0" xfId="522" applyNumberFormat="1" applyFont="1" applyFill="1" applyAlignment="1">
      <alignment horizontal="center"/>
      <protection/>
    </xf>
    <xf numFmtId="4" fontId="3" fillId="55" borderId="20" xfId="626" applyNumberFormat="1" applyFont="1" applyFill="1" applyBorder="1" applyAlignment="1">
      <alignment horizontal="center"/>
      <protection/>
    </xf>
    <xf numFmtId="4" fontId="3" fillId="55" borderId="23" xfId="716" applyNumberFormat="1" applyFont="1" applyFill="1" applyBorder="1" applyAlignment="1">
      <alignment horizontal="center"/>
      <protection/>
    </xf>
    <xf numFmtId="4" fontId="3" fillId="55" borderId="0" xfId="716" applyNumberFormat="1" applyFont="1" applyFill="1" applyAlignment="1">
      <alignment horizontal="center"/>
      <protection/>
    </xf>
    <xf numFmtId="4" fontId="3" fillId="55" borderId="26" xfId="716" applyNumberFormat="1" applyFont="1" applyFill="1" applyBorder="1" applyAlignment="1">
      <alignment horizontal="center"/>
      <protection/>
    </xf>
    <xf numFmtId="4" fontId="3" fillId="55" borderId="31" xfId="716" applyNumberFormat="1" applyFont="1" applyFill="1" applyBorder="1" applyAlignment="1">
      <alignment horizontal="center"/>
      <protection/>
    </xf>
    <xf numFmtId="4" fontId="3" fillId="55" borderId="26" xfId="626" applyNumberFormat="1" applyFont="1" applyFill="1" applyBorder="1" applyAlignment="1">
      <alignment horizontal="center"/>
      <protection/>
    </xf>
    <xf numFmtId="4" fontId="3" fillId="55" borderId="31" xfId="626" applyNumberFormat="1" applyFont="1" applyFill="1" applyBorder="1" applyAlignment="1">
      <alignment horizontal="center"/>
      <protection/>
    </xf>
    <xf numFmtId="4" fontId="34" fillId="55" borderId="20" xfId="0" applyNumberFormat="1" applyFont="1" applyFill="1" applyBorder="1" applyAlignment="1">
      <alignment horizontal="center"/>
    </xf>
    <xf numFmtId="4" fontId="34" fillId="55" borderId="20" xfId="0" applyNumberFormat="1" applyFont="1" applyFill="1" applyBorder="1" applyAlignment="1">
      <alignment horizontal="center" vertical="center" wrapText="1"/>
    </xf>
    <xf numFmtId="4" fontId="3" fillId="55" borderId="20" xfId="0" applyNumberFormat="1" applyFont="1" applyFill="1" applyBorder="1" applyAlignment="1">
      <alignment horizontal="center" vertical="top" wrapText="1"/>
    </xf>
    <xf numFmtId="4" fontId="67" fillId="55" borderId="20" xfId="0" applyNumberFormat="1" applyFont="1" applyFill="1" applyBorder="1" applyAlignment="1">
      <alignment horizontal="center" vertical="top" wrapText="1"/>
    </xf>
    <xf numFmtId="4" fontId="34" fillId="55" borderId="25" xfId="0" applyNumberFormat="1" applyFont="1" applyFill="1" applyBorder="1" applyAlignment="1">
      <alignment horizontal="center" vertical="center" wrapText="1"/>
    </xf>
    <xf numFmtId="4" fontId="34" fillId="55" borderId="23" xfId="0" applyNumberFormat="1" applyFont="1" applyFill="1" applyBorder="1" applyAlignment="1">
      <alignment horizontal="center" vertical="center" wrapText="1"/>
    </xf>
    <xf numFmtId="4" fontId="31" fillId="55" borderId="0" xfId="0" applyNumberFormat="1" applyFont="1" applyFill="1" applyAlignment="1">
      <alignment horizontal="center" vertical="center" wrapText="1"/>
    </xf>
    <xf numFmtId="4" fontId="31" fillId="55" borderId="23" xfId="0" applyNumberFormat="1" applyFont="1" applyFill="1" applyBorder="1" applyAlignment="1">
      <alignment horizontal="center"/>
    </xf>
    <xf numFmtId="4" fontId="31" fillId="55" borderId="0" xfId="0" applyNumberFormat="1" applyFont="1" applyFill="1" applyAlignment="1">
      <alignment horizontal="center"/>
    </xf>
    <xf numFmtId="4" fontId="31" fillId="55" borderId="25" xfId="0" applyNumberFormat="1" applyFont="1" applyFill="1" applyBorder="1" applyAlignment="1">
      <alignment horizontal="center"/>
    </xf>
    <xf numFmtId="4" fontId="34" fillId="55" borderId="24" xfId="0" applyNumberFormat="1" applyFont="1" applyFill="1" applyBorder="1" applyAlignment="1">
      <alignment horizontal="center"/>
    </xf>
    <xf numFmtId="4" fontId="34" fillId="55" borderId="26" xfId="0" applyNumberFormat="1" applyFont="1" applyFill="1" applyBorder="1" applyAlignment="1">
      <alignment horizontal="center"/>
    </xf>
    <xf numFmtId="4" fontId="31" fillId="55" borderId="26" xfId="0" applyNumberFormat="1" applyFont="1" applyFill="1" applyBorder="1" applyAlignment="1">
      <alignment horizontal="center"/>
    </xf>
    <xf numFmtId="4" fontId="31" fillId="55" borderId="31" xfId="0" applyNumberFormat="1" applyFont="1" applyFill="1" applyBorder="1" applyAlignment="1">
      <alignment horizontal="center"/>
    </xf>
    <xf numFmtId="4" fontId="29" fillId="55" borderId="20" xfId="625" applyNumberFormat="1" applyFont="1" applyFill="1" applyBorder="1" applyAlignment="1">
      <alignment horizontal="center" vertical="center"/>
      <protection/>
    </xf>
    <xf numFmtId="4" fontId="29" fillId="55" borderId="20" xfId="0" applyNumberFormat="1" applyFont="1" applyFill="1" applyBorder="1" applyAlignment="1">
      <alignment horizontal="center" vertical="center"/>
    </xf>
    <xf numFmtId="4" fontId="31" fillId="55" borderId="24" xfId="0" applyNumberFormat="1" applyFont="1" applyFill="1" applyBorder="1" applyAlignment="1">
      <alignment horizontal="center"/>
    </xf>
    <xf numFmtId="4" fontId="132" fillId="55" borderId="20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horizontal="center" vertical="center" wrapText="1"/>
    </xf>
    <xf numFmtId="4" fontId="4" fillId="55" borderId="20" xfId="343" applyNumberFormat="1" applyFont="1" applyFill="1" applyBorder="1" applyAlignment="1">
      <alignment horizontal="center" vertical="center"/>
    </xf>
    <xf numFmtId="0" fontId="26" fillId="0" borderId="20" xfId="715" applyFont="1" applyFill="1" applyBorder="1" applyAlignment="1">
      <alignment horizontal="right" vertical="center" wrapText="1"/>
      <protection/>
    </xf>
    <xf numFmtId="9" fontId="120" fillId="55" borderId="20" xfId="715" applyNumberFormat="1" applyFont="1" applyFill="1" applyBorder="1" applyAlignment="1">
      <alignment horizontal="center" vertical="center" wrapText="1"/>
      <protection/>
    </xf>
    <xf numFmtId="0" fontId="4" fillId="55" borderId="20" xfId="626" applyFont="1" applyFill="1" applyBorder="1" applyAlignment="1">
      <alignment horizontal="center" vertical="center" wrapText="1"/>
      <protection/>
    </xf>
    <xf numFmtId="0" fontId="3" fillId="55" borderId="20" xfId="626" applyFont="1" applyFill="1" applyBorder="1" applyAlignment="1">
      <alignment horizontal="center" vertical="center"/>
      <protection/>
    </xf>
    <xf numFmtId="0" fontId="4" fillId="55" borderId="20" xfId="626" applyFont="1" applyFill="1" applyBorder="1" applyAlignment="1">
      <alignment horizontal="center" vertical="center"/>
      <protection/>
    </xf>
    <xf numFmtId="0" fontId="59" fillId="55" borderId="22" xfId="627" applyFont="1" applyFill="1" applyBorder="1" applyAlignment="1">
      <alignment horizontal="center" wrapText="1"/>
      <protection/>
    </xf>
    <xf numFmtId="4" fontId="58" fillId="55" borderId="20" xfId="0" applyNumberFormat="1" applyFont="1" applyFill="1" applyBorder="1" applyAlignment="1">
      <alignment horizontal="center" vertical="center"/>
    </xf>
    <xf numFmtId="4" fontId="3" fillId="55" borderId="20" xfId="343" applyNumberFormat="1" applyFont="1" applyFill="1" applyBorder="1" applyAlignment="1" applyProtection="1">
      <alignment horizontal="center" vertical="center"/>
      <protection/>
    </xf>
    <xf numFmtId="4" fontId="58" fillId="55" borderId="20" xfId="0" applyNumberFormat="1" applyFont="1" applyFill="1" applyBorder="1" applyAlignment="1">
      <alignment horizontal="center" vertical="center"/>
    </xf>
    <xf numFmtId="4" fontId="31" fillId="55" borderId="20" xfId="343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60" fillId="55" borderId="20" xfId="0" applyFont="1" applyFill="1" applyBorder="1" applyAlignment="1">
      <alignment vertical="center" wrapText="1"/>
    </xf>
    <xf numFmtId="49" fontId="60" fillId="55" borderId="20" xfId="0" applyNumberFormat="1" applyFont="1" applyFill="1" applyBorder="1" applyAlignment="1">
      <alignment horizontal="left" vertical="center" wrapText="1"/>
    </xf>
    <xf numFmtId="4" fontId="31" fillId="0" borderId="20" xfId="359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>
      <alignment horizontal="left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" fillId="0" borderId="20" xfId="0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wrapText="1"/>
    </xf>
    <xf numFmtId="4" fontId="3" fillId="0" borderId="20" xfId="0" applyNumberFormat="1" applyFont="1" applyFill="1" applyBorder="1" applyAlignment="1">
      <alignment horizontal="center" wrapText="1"/>
    </xf>
    <xf numFmtId="0" fontId="3" fillId="0" borderId="20" xfId="624" applyFont="1" applyFill="1" applyBorder="1" applyAlignment="1">
      <alignment vertical="center" wrapText="1"/>
      <protection/>
    </xf>
    <xf numFmtId="0" fontId="3" fillId="0" borderId="20" xfId="624" applyFont="1" applyFill="1" applyBorder="1" applyAlignment="1">
      <alignment horizontal="center" vertical="center" wrapText="1"/>
      <protection/>
    </xf>
    <xf numFmtId="179" fontId="3" fillId="0" borderId="20" xfId="624" applyNumberFormat="1" applyFont="1" applyFill="1" applyBorder="1" applyAlignment="1">
      <alignment horizontal="center" vertical="center" wrapText="1"/>
      <protection/>
    </xf>
    <xf numFmtId="2" fontId="3" fillId="0" borderId="20" xfId="624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left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114" fillId="0" borderId="20" xfId="0" applyFont="1" applyBorder="1" applyAlignment="1">
      <alignment/>
    </xf>
    <xf numFmtId="1" fontId="4" fillId="0" borderId="20" xfId="0" applyNumberFormat="1" applyFont="1" applyFill="1" applyBorder="1" applyAlignment="1">
      <alignment horizontal="center" vertical="center" wrapText="1"/>
    </xf>
    <xf numFmtId="0" fontId="114" fillId="0" borderId="20" xfId="0" applyFont="1" applyBorder="1" applyAlignment="1">
      <alignment vertical="center"/>
    </xf>
    <xf numFmtId="0" fontId="30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top" wrapText="1"/>
    </xf>
    <xf numFmtId="0" fontId="46" fillId="0" borderId="20" xfId="0" applyFont="1" applyFill="1" applyBorder="1" applyAlignment="1">
      <alignment horizontal="center" vertical="center" wrapText="1"/>
    </xf>
    <xf numFmtId="1" fontId="31" fillId="0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" fillId="0" borderId="20" xfId="624" applyFont="1" applyFill="1" applyBorder="1" applyAlignment="1">
      <alignment horizontal="left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71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198" fontId="38" fillId="0" borderId="20" xfId="723" applyNumberFormat="1" applyFont="1" applyFill="1" applyBorder="1" applyAlignment="1">
      <alignment horizontal="center" vertical="center" wrapText="1"/>
      <protection/>
    </xf>
    <xf numFmtId="0" fontId="2" fillId="0" borderId="20" xfId="0" applyFont="1" applyFill="1" applyBorder="1" applyAlignment="1">
      <alignment horizontal="left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0" fontId="127" fillId="0" borderId="20" xfId="0" applyFont="1" applyFill="1" applyBorder="1" applyAlignment="1">
      <alignment vertical="center" wrapText="1"/>
    </xf>
    <xf numFmtId="0" fontId="114" fillId="0" borderId="20" xfId="0" applyFont="1" applyFill="1" applyBorder="1" applyAlignment="1">
      <alignment horizontal="center" vertical="center"/>
    </xf>
    <xf numFmtId="0" fontId="116" fillId="0" borderId="20" xfId="0" applyFont="1" applyFill="1" applyBorder="1" applyAlignment="1">
      <alignment horizontal="center" vertical="center" wrapText="1"/>
    </xf>
    <xf numFmtId="0" fontId="136" fillId="0" borderId="20" xfId="0" applyFont="1" applyFill="1" applyBorder="1" applyAlignment="1">
      <alignment horizontal="center" vertical="center" wrapText="1"/>
    </xf>
    <xf numFmtId="0" fontId="132" fillId="0" borderId="0" xfId="0" applyFont="1" applyFill="1" applyAlignment="1">
      <alignment vertical="center"/>
    </xf>
    <xf numFmtId="0" fontId="132" fillId="0" borderId="20" xfId="0" applyFont="1" applyFill="1" applyBorder="1" applyAlignment="1">
      <alignment horizontal="left" vertical="center" wrapText="1"/>
    </xf>
    <xf numFmtId="180" fontId="0" fillId="0" borderId="20" xfId="0" applyNumberForma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vertical="center" wrapText="1"/>
    </xf>
    <xf numFmtId="0" fontId="3" fillId="55" borderId="23" xfId="531" applyNumberFormat="1" applyFont="1" applyFill="1" applyBorder="1" applyAlignment="1" applyProtection="1">
      <alignment horizontal="center" vertical="center" wrapText="1"/>
      <protection/>
    </xf>
    <xf numFmtId="0" fontId="137" fillId="55" borderId="0" xfId="0" applyFont="1" applyFill="1" applyAlignment="1">
      <alignment vertical="center" wrapText="1"/>
    </xf>
    <xf numFmtId="0" fontId="132" fillId="0" borderId="0" xfId="0" applyFont="1" applyAlignment="1">
      <alignment/>
    </xf>
    <xf numFmtId="0" fontId="3" fillId="55" borderId="20" xfId="535" applyFont="1" applyFill="1" applyBorder="1" applyAlignment="1">
      <alignment horizontal="center" vertical="center" wrapText="1"/>
      <protection/>
    </xf>
    <xf numFmtId="0" fontId="4" fillId="55" borderId="20" xfId="535" applyFont="1" applyFill="1" applyBorder="1" applyAlignment="1">
      <alignment horizontal="center" vertical="center" wrapText="1"/>
      <protection/>
    </xf>
    <xf numFmtId="49" fontId="4" fillId="55" borderId="20" xfId="535" applyNumberFormat="1" applyFont="1" applyFill="1" applyBorder="1" applyAlignment="1">
      <alignment horizontal="center" vertical="center" wrapText="1"/>
      <protection/>
    </xf>
    <xf numFmtId="0" fontId="138" fillId="55" borderId="20" xfId="0" applyFont="1" applyFill="1" applyBorder="1" applyAlignment="1">
      <alignment vertical="center" wrapText="1"/>
    </xf>
    <xf numFmtId="189" fontId="4" fillId="55" borderId="20" xfId="535" applyNumberFormat="1" applyFont="1" applyFill="1" applyBorder="1" applyAlignment="1">
      <alignment horizontal="center" vertical="center" wrapText="1"/>
      <protection/>
    </xf>
    <xf numFmtId="0" fontId="4" fillId="55" borderId="20" xfId="535" applyFont="1" applyFill="1" applyBorder="1" applyAlignment="1">
      <alignment horizontal="left" vertical="center" wrapText="1"/>
      <protection/>
    </xf>
    <xf numFmtId="4" fontId="4" fillId="55" borderId="20" xfId="0" applyNumberFormat="1" applyFont="1" applyFill="1" applyBorder="1" applyAlignment="1">
      <alignment horizontal="center" vertical="center" wrapText="1"/>
    </xf>
    <xf numFmtId="0" fontId="132" fillId="55" borderId="0" xfId="0" applyFont="1" applyFill="1" applyAlignment="1">
      <alignment/>
    </xf>
    <xf numFmtId="2" fontId="3" fillId="55" borderId="20" xfId="627" applyNumberFormat="1" applyFont="1" applyFill="1" applyBorder="1" applyAlignment="1">
      <alignment horizontal="center" vertical="center" wrapText="1"/>
      <protection/>
    </xf>
    <xf numFmtId="2" fontId="53" fillId="55" borderId="20" xfId="0" applyNumberFormat="1" applyFont="1" applyFill="1" applyBorder="1" applyAlignment="1">
      <alignment horizontal="center"/>
    </xf>
    <xf numFmtId="2" fontId="3" fillId="55" borderId="20" xfId="627" applyNumberFormat="1" applyFont="1" applyFill="1" applyBorder="1" applyAlignment="1">
      <alignment horizontal="center"/>
      <protection/>
    </xf>
    <xf numFmtId="2" fontId="3" fillId="55" borderId="20" xfId="625" applyNumberFormat="1" applyFont="1" applyFill="1" applyBorder="1" applyAlignment="1">
      <alignment horizontal="center"/>
      <protection/>
    </xf>
    <xf numFmtId="2" fontId="3" fillId="55" borderId="20" xfId="625" applyNumberFormat="1" applyFont="1" applyFill="1" applyBorder="1" applyAlignment="1">
      <alignment horizontal="center" vertical="center" wrapText="1"/>
      <protection/>
    </xf>
    <xf numFmtId="2" fontId="3" fillId="0" borderId="20" xfId="627" applyNumberFormat="1" applyFont="1" applyFill="1" applyBorder="1" applyAlignment="1">
      <alignment horizontal="center" vertical="center" wrapText="1"/>
      <protection/>
    </xf>
    <xf numFmtId="2" fontId="3" fillId="0" borderId="20" xfId="627" applyNumberFormat="1" applyFont="1" applyFill="1" applyBorder="1" applyAlignment="1">
      <alignment horizontal="center"/>
      <protection/>
    </xf>
    <xf numFmtId="2" fontId="3" fillId="0" borderId="20" xfId="625" applyNumberFormat="1" applyFont="1" applyFill="1" applyBorder="1" applyAlignment="1">
      <alignment horizontal="center"/>
      <protection/>
    </xf>
    <xf numFmtId="2" fontId="3" fillId="0" borderId="20" xfId="625" applyNumberFormat="1" applyFont="1" applyFill="1" applyBorder="1" applyAlignment="1">
      <alignment horizontal="center" vertical="center" wrapText="1"/>
      <protection/>
    </xf>
    <xf numFmtId="2" fontId="3" fillId="0" borderId="22" xfId="625" applyNumberFormat="1" applyFont="1" applyFill="1" applyBorder="1" applyAlignment="1">
      <alignment horizontal="center"/>
      <protection/>
    </xf>
    <xf numFmtId="2" fontId="3" fillId="0" borderId="22" xfId="0" applyNumberFormat="1" applyFont="1" applyFill="1" applyBorder="1" applyAlignment="1">
      <alignment horizontal="center"/>
    </xf>
    <xf numFmtId="2" fontId="3" fillId="55" borderId="20" xfId="625" applyNumberFormat="1" applyFont="1" applyFill="1" applyBorder="1" applyAlignment="1">
      <alignment horizontal="center" vertical="center"/>
      <protection/>
    </xf>
    <xf numFmtId="2" fontId="3" fillId="55" borderId="20" xfId="627" applyNumberFormat="1" applyFont="1" applyFill="1" applyBorder="1" applyAlignment="1">
      <alignment horizontal="center" vertical="center"/>
      <protection/>
    </xf>
    <xf numFmtId="2" fontId="4" fillId="55" borderId="20" xfId="627" applyNumberFormat="1" applyFont="1" applyFill="1" applyBorder="1" applyAlignment="1">
      <alignment horizontal="center" vertical="center"/>
      <protection/>
    </xf>
    <xf numFmtId="2" fontId="4" fillId="55" borderId="20" xfId="343" applyNumberFormat="1" applyFont="1" applyFill="1" applyBorder="1" applyAlignment="1">
      <alignment horizontal="center" vertical="center"/>
    </xf>
    <xf numFmtId="2" fontId="3" fillId="55" borderId="26" xfId="627" applyNumberFormat="1" applyFont="1" applyFill="1" applyBorder="1" applyAlignment="1">
      <alignment horizontal="center" vertical="center"/>
      <protection/>
    </xf>
    <xf numFmtId="2" fontId="4" fillId="55" borderId="26" xfId="627" applyNumberFormat="1" applyFont="1" applyFill="1" applyBorder="1" applyAlignment="1">
      <alignment horizontal="center" vertical="center"/>
      <protection/>
    </xf>
    <xf numFmtId="2" fontId="4" fillId="55" borderId="26" xfId="0" applyNumberFormat="1" applyFont="1" applyFill="1" applyBorder="1" applyAlignment="1">
      <alignment horizontal="center" vertical="center"/>
    </xf>
    <xf numFmtId="2" fontId="4" fillId="55" borderId="26" xfId="343" applyNumberFormat="1" applyFont="1" applyFill="1" applyBorder="1" applyAlignment="1">
      <alignment horizontal="center" vertical="center"/>
    </xf>
    <xf numFmtId="2" fontId="53" fillId="55" borderId="20" xfId="0" applyNumberFormat="1" applyFont="1" applyFill="1" applyBorder="1" applyAlignment="1">
      <alignment horizontal="center" vertical="center"/>
    </xf>
    <xf numFmtId="2" fontId="3" fillId="55" borderId="20" xfId="629" applyNumberFormat="1" applyFont="1" applyFill="1" applyBorder="1" applyAlignment="1">
      <alignment horizontal="center"/>
      <protection/>
    </xf>
    <xf numFmtId="2" fontId="3" fillId="55" borderId="20" xfId="0" applyNumberFormat="1" applyFont="1" applyFill="1" applyBorder="1" applyAlignment="1">
      <alignment/>
    </xf>
    <xf numFmtId="2" fontId="3" fillId="55" borderId="26" xfId="625" applyNumberFormat="1" applyFont="1" applyFill="1" applyBorder="1" applyAlignment="1">
      <alignment horizontal="center"/>
      <protection/>
    </xf>
    <xf numFmtId="2" fontId="3" fillId="55" borderId="31" xfId="625" applyNumberFormat="1" applyFont="1" applyFill="1" applyBorder="1" applyAlignment="1">
      <alignment horizontal="center"/>
      <protection/>
    </xf>
    <xf numFmtId="2" fontId="3" fillId="55" borderId="26" xfId="0" applyNumberFormat="1" applyFont="1" applyFill="1" applyBorder="1" applyAlignment="1">
      <alignment horizontal="center"/>
    </xf>
    <xf numFmtId="2" fontId="3" fillId="0" borderId="20" xfId="625" applyNumberFormat="1" applyFont="1" applyBorder="1" applyAlignment="1">
      <alignment horizontal="center" vertic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/>
    </xf>
    <xf numFmtId="2" fontId="3" fillId="0" borderId="20" xfId="625" applyNumberFormat="1" applyFont="1" applyBorder="1" applyAlignment="1">
      <alignment horizontal="center"/>
      <protection/>
    </xf>
    <xf numFmtId="2" fontId="3" fillId="0" borderId="26" xfId="625" applyNumberFormat="1" applyFont="1" applyBorder="1" applyAlignment="1">
      <alignment horizontal="center"/>
      <protection/>
    </xf>
    <xf numFmtId="2" fontId="3" fillId="0" borderId="31" xfId="625" applyNumberFormat="1" applyFont="1" applyBorder="1" applyAlignment="1">
      <alignment horizontal="center"/>
      <protection/>
    </xf>
    <xf numFmtId="2" fontId="3" fillId="0" borderId="26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55" borderId="23" xfId="627" applyNumberFormat="1" applyFont="1" applyFill="1" applyBorder="1" applyAlignment="1">
      <alignment horizontal="center"/>
      <protection/>
    </xf>
    <xf numFmtId="2" fontId="3" fillId="55" borderId="0" xfId="627" applyNumberFormat="1" applyFont="1" applyFill="1" applyBorder="1" applyAlignment="1">
      <alignment horizontal="center"/>
      <protection/>
    </xf>
    <xf numFmtId="2" fontId="3" fillId="55" borderId="23" xfId="0" applyNumberFormat="1" applyFont="1" applyFill="1" applyBorder="1" applyAlignment="1">
      <alignment horizontal="center"/>
    </xf>
    <xf numFmtId="2" fontId="3" fillId="55" borderId="20" xfId="0" applyNumberFormat="1" applyFont="1" applyFill="1" applyBorder="1" applyAlignment="1">
      <alignment vertical="center" wrapText="1"/>
    </xf>
    <xf numFmtId="2" fontId="3" fillId="55" borderId="23" xfId="0" applyNumberFormat="1" applyFont="1" applyFill="1" applyBorder="1" applyAlignment="1">
      <alignment horizontal="center" vertical="center" wrapText="1"/>
    </xf>
    <xf numFmtId="2" fontId="3" fillId="55" borderId="23" xfId="625" applyNumberFormat="1" applyFont="1" applyFill="1" applyBorder="1" applyAlignment="1">
      <alignment horizontal="center" vertical="center" wrapText="1"/>
      <protection/>
    </xf>
    <xf numFmtId="2" fontId="3" fillId="55" borderId="0" xfId="625" applyNumberFormat="1" applyFont="1" applyFill="1" applyBorder="1" applyAlignment="1">
      <alignment horizontal="center" vertical="center" wrapText="1"/>
      <protection/>
    </xf>
    <xf numFmtId="2" fontId="3" fillId="55" borderId="23" xfId="715" applyNumberFormat="1" applyFont="1" applyFill="1" applyBorder="1" applyAlignment="1">
      <alignment horizontal="center"/>
      <protection/>
    </xf>
    <xf numFmtId="2" fontId="3" fillId="55" borderId="0" xfId="715" applyNumberFormat="1" applyFont="1" applyFill="1" applyAlignment="1">
      <alignment horizontal="center"/>
      <protection/>
    </xf>
    <xf numFmtId="2" fontId="3" fillId="55" borderId="26" xfId="715" applyNumberFormat="1" applyFont="1" applyFill="1" applyBorder="1" applyAlignment="1">
      <alignment horizontal="center"/>
      <protection/>
    </xf>
    <xf numFmtId="2" fontId="3" fillId="55" borderId="26" xfId="626" applyNumberFormat="1" applyFont="1" applyFill="1" applyBorder="1" applyAlignment="1">
      <alignment horizontal="center"/>
      <protection/>
    </xf>
    <xf numFmtId="2" fontId="3" fillId="55" borderId="31" xfId="626" applyNumberFormat="1" applyFont="1" applyFill="1" applyBorder="1" applyAlignment="1">
      <alignment horizontal="center"/>
      <protection/>
    </xf>
    <xf numFmtId="2" fontId="3" fillId="55" borderId="23" xfId="625" applyNumberFormat="1" applyFont="1" applyFill="1" applyBorder="1" applyAlignment="1">
      <alignment horizontal="center"/>
      <protection/>
    </xf>
    <xf numFmtId="2" fontId="3" fillId="55" borderId="0" xfId="625" applyNumberFormat="1" applyFont="1" applyFill="1" applyBorder="1" applyAlignment="1">
      <alignment horizontal="center"/>
      <protection/>
    </xf>
    <xf numFmtId="2" fontId="73" fillId="55" borderId="20" xfId="0" applyNumberFormat="1" applyFont="1" applyFill="1" applyBorder="1" applyAlignment="1">
      <alignment horizontal="center" vertical="center"/>
    </xf>
    <xf numFmtId="2" fontId="2" fillId="55" borderId="20" xfId="714" applyNumberFormat="1" applyFill="1" applyBorder="1" applyAlignment="1">
      <alignment horizontal="center" vertical="center"/>
      <protection/>
    </xf>
    <xf numFmtId="2" fontId="2" fillId="55" borderId="19" xfId="714" applyNumberFormat="1" applyFill="1" applyBorder="1" applyAlignment="1">
      <alignment horizontal="center" vertical="center"/>
      <protection/>
    </xf>
    <xf numFmtId="2" fontId="2" fillId="55" borderId="20" xfId="714" applyNumberFormat="1" applyFill="1" applyBorder="1" applyAlignment="1">
      <alignment vertical="center"/>
      <protection/>
    </xf>
    <xf numFmtId="2" fontId="69" fillId="55" borderId="20" xfId="714" applyNumberFormat="1" applyFont="1" applyFill="1" applyBorder="1" applyAlignment="1">
      <alignment vertical="center"/>
      <protection/>
    </xf>
    <xf numFmtId="2" fontId="70" fillId="55" borderId="20" xfId="0" applyNumberFormat="1" applyFont="1" applyFill="1" applyBorder="1" applyAlignment="1">
      <alignment horizontal="center" vertical="center"/>
    </xf>
    <xf numFmtId="2" fontId="61" fillId="55" borderId="20" xfId="0" applyNumberFormat="1" applyFont="1" applyFill="1" applyBorder="1" applyAlignment="1">
      <alignment horizontal="center" vertical="center"/>
    </xf>
    <xf numFmtId="2" fontId="4" fillId="55" borderId="20" xfId="0" applyNumberFormat="1" applyFont="1" applyFill="1" applyBorder="1" applyAlignment="1">
      <alignment horizontal="center" vertical="top"/>
    </xf>
    <xf numFmtId="2" fontId="3" fillId="55" borderId="20" xfId="343" applyNumberFormat="1" applyFont="1" applyFill="1" applyBorder="1" applyAlignment="1">
      <alignment horizontal="center"/>
    </xf>
    <xf numFmtId="2" fontId="69" fillId="55" borderId="20" xfId="0" applyNumberFormat="1" applyFont="1" applyFill="1" applyBorder="1" applyAlignment="1">
      <alignment/>
    </xf>
    <xf numFmtId="2" fontId="69" fillId="55" borderId="19" xfId="0" applyNumberFormat="1" applyFont="1" applyFill="1" applyBorder="1" applyAlignment="1">
      <alignment/>
    </xf>
    <xf numFmtId="2" fontId="69" fillId="55" borderId="20" xfId="0" applyNumberFormat="1" applyFont="1" applyFill="1" applyBorder="1" applyAlignment="1">
      <alignment horizontal="center"/>
    </xf>
    <xf numFmtId="2" fontId="69" fillId="55" borderId="19" xfId="0" applyNumberFormat="1" applyFont="1" applyFill="1" applyBorder="1" applyAlignment="1">
      <alignment horizontal="center"/>
    </xf>
    <xf numFmtId="180" fontId="4" fillId="55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" fontId="32" fillId="0" borderId="20" xfId="710" applyNumberFormat="1" applyFont="1" applyFill="1" applyBorder="1" applyAlignment="1">
      <alignment horizontal="center" vertical="center" wrapText="1"/>
      <protection/>
    </xf>
    <xf numFmtId="1" fontId="32" fillId="56" borderId="20" xfId="710" applyNumberFormat="1" applyFont="1" applyFill="1" applyBorder="1" applyAlignment="1">
      <alignment horizontal="center" vertical="center" wrapText="1"/>
      <protection/>
    </xf>
    <xf numFmtId="4" fontId="31" fillId="0" borderId="20" xfId="710" applyNumberFormat="1" applyFont="1" applyFill="1" applyBorder="1" applyAlignment="1">
      <alignment horizontal="center" vertical="center" wrapText="1"/>
      <protection/>
    </xf>
    <xf numFmtId="2" fontId="3" fillId="0" borderId="20" xfId="0" applyNumberFormat="1" applyFont="1" applyFill="1" applyBorder="1" applyAlignment="1">
      <alignment horizontal="center" vertical="center"/>
    </xf>
    <xf numFmtId="4" fontId="31" fillId="55" borderId="20" xfId="710" applyNumberFormat="1" applyFont="1" applyFill="1" applyBorder="1" applyAlignment="1">
      <alignment horizontal="center" vertical="center" wrapText="1"/>
      <protection/>
    </xf>
    <xf numFmtId="1" fontId="3" fillId="55" borderId="20" xfId="0" applyNumberFormat="1" applyFont="1" applyFill="1" applyBorder="1" applyAlignment="1">
      <alignment horizontal="center" vertical="center" wrapText="1"/>
    </xf>
    <xf numFmtId="1" fontId="4" fillId="55" borderId="20" xfId="0" applyNumberFormat="1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 wrapText="1"/>
    </xf>
    <xf numFmtId="0" fontId="4" fillId="55" borderId="20" xfId="531" applyFont="1" applyFill="1" applyBorder="1" applyAlignment="1">
      <alignment horizontal="center" vertical="center" wrapText="1"/>
      <protection/>
    </xf>
    <xf numFmtId="0" fontId="75" fillId="55" borderId="20" xfId="0" applyFont="1" applyFill="1" applyBorder="1" applyAlignment="1">
      <alignment horizontal="left" vertical="center" wrapText="1"/>
    </xf>
    <xf numFmtId="4" fontId="134" fillId="55" borderId="20" xfId="0" applyNumberFormat="1" applyFont="1" applyFill="1" applyBorder="1" applyAlignment="1">
      <alignment horizontal="center" vertical="center" wrapText="1"/>
    </xf>
    <xf numFmtId="4" fontId="38" fillId="55" borderId="20" xfId="0" applyNumberFormat="1" applyFont="1" applyFill="1" applyBorder="1" applyAlignment="1">
      <alignment horizontal="center" vertical="center" wrapText="1"/>
    </xf>
    <xf numFmtId="4" fontId="4" fillId="0" borderId="20" xfId="531" applyNumberFormat="1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3" fillId="55" borderId="20" xfId="531" applyFont="1" applyFill="1" applyBorder="1" applyAlignment="1">
      <alignment horizontal="center" vertical="center" wrapText="1"/>
      <protection/>
    </xf>
    <xf numFmtId="0" fontId="3" fillId="55" borderId="20" xfId="531" applyFont="1" applyFill="1" applyBorder="1" applyAlignment="1">
      <alignment vertical="center" wrapText="1"/>
      <protection/>
    </xf>
    <xf numFmtId="0" fontId="3" fillId="55" borderId="20" xfId="531" applyFont="1" applyFill="1" applyBorder="1" applyAlignment="1">
      <alignment horizontal="center" vertical="center"/>
      <protection/>
    </xf>
    <xf numFmtId="4" fontId="3" fillId="55" borderId="20" xfId="531" applyNumberFormat="1" applyFont="1" applyFill="1" applyBorder="1" applyAlignment="1">
      <alignment horizontal="center" vertical="center" wrapText="1"/>
      <protection/>
    </xf>
    <xf numFmtId="4" fontId="3" fillId="0" borderId="20" xfId="531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56" fillId="56" borderId="20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2" fontId="76" fillId="0" borderId="20" xfId="0" applyNumberFormat="1" applyFont="1" applyFill="1" applyBorder="1" applyAlignment="1">
      <alignment horizontal="center" vertical="center"/>
    </xf>
    <xf numFmtId="4" fontId="76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6" fillId="55" borderId="20" xfId="0" applyFont="1" applyFill="1" applyBorder="1" applyAlignment="1">
      <alignment horizontal="center" vertical="center"/>
    </xf>
    <xf numFmtId="0" fontId="76" fillId="55" borderId="20" xfId="0" applyFont="1" applyFill="1" applyBorder="1" applyAlignment="1">
      <alignment horizontal="center" vertical="center"/>
    </xf>
    <xf numFmtId="2" fontId="76" fillId="55" borderId="20" xfId="0" applyNumberFormat="1" applyFont="1" applyFill="1" applyBorder="1" applyAlignment="1">
      <alignment horizontal="center" vertical="center"/>
    </xf>
    <xf numFmtId="4" fontId="76" fillId="55" borderId="2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right" vertical="center" wrapText="1"/>
    </xf>
    <xf numFmtId="189" fontId="31" fillId="0" borderId="20" xfId="0" applyNumberFormat="1" applyFont="1" applyFill="1" applyBorder="1" applyAlignment="1">
      <alignment horizontal="center" vertical="center" wrapText="1"/>
    </xf>
    <xf numFmtId="189" fontId="31" fillId="0" borderId="20" xfId="0" applyNumberFormat="1" applyFont="1" applyFill="1" applyBorder="1" applyAlignment="1">
      <alignment horizontal="center" vertical="center"/>
    </xf>
    <xf numFmtId="4" fontId="3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right" vertical="center" wrapText="1"/>
    </xf>
    <xf numFmtId="1" fontId="31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4" fillId="0" borderId="20" xfId="531" applyFont="1" applyFill="1" applyBorder="1" applyAlignment="1">
      <alignment horizontal="center" vertical="center" wrapText="1"/>
      <protection/>
    </xf>
    <xf numFmtId="0" fontId="139" fillId="0" borderId="20" xfId="531" applyFont="1" applyFill="1" applyBorder="1" applyAlignment="1">
      <alignment horizontal="center" vertical="center"/>
      <protection/>
    </xf>
    <xf numFmtId="0" fontId="3" fillId="0" borderId="20" xfId="531" applyFont="1" applyFill="1" applyBorder="1" applyAlignment="1">
      <alignment horizontal="center" vertical="center" wrapText="1"/>
      <protection/>
    </xf>
    <xf numFmtId="0" fontId="3" fillId="0" borderId="20" xfId="531" applyFont="1" applyFill="1" applyBorder="1" applyAlignment="1">
      <alignment vertical="center" wrapText="1"/>
      <protection/>
    </xf>
    <xf numFmtId="0" fontId="3" fillId="0" borderId="20" xfId="531" applyFont="1" applyFill="1" applyBorder="1" applyAlignment="1">
      <alignment horizontal="center" vertical="center"/>
      <protection/>
    </xf>
    <xf numFmtId="4" fontId="3" fillId="0" borderId="20" xfId="531" applyNumberFormat="1" applyFont="1" applyFill="1" applyBorder="1" applyAlignment="1">
      <alignment horizontal="center" vertical="center" wrapText="1"/>
      <protection/>
    </xf>
    <xf numFmtId="0" fontId="78" fillId="0" borderId="20" xfId="0" applyFont="1" applyFill="1" applyBorder="1" applyAlignment="1">
      <alignment horizontal="center" vertical="center" wrapText="1"/>
    </xf>
    <xf numFmtId="49" fontId="139" fillId="0" borderId="20" xfId="531" applyNumberFormat="1" applyFont="1" applyFill="1" applyBorder="1" applyAlignment="1">
      <alignment horizontal="center" vertical="center"/>
      <protection/>
    </xf>
    <xf numFmtId="0" fontId="139" fillId="0" borderId="20" xfId="0" applyFont="1" applyFill="1" applyBorder="1" applyAlignment="1">
      <alignment horizontal="center" vertical="center"/>
    </xf>
    <xf numFmtId="0" fontId="139" fillId="0" borderId="20" xfId="0" applyFont="1" applyFill="1" applyBorder="1" applyAlignment="1">
      <alignment vertical="center" wrapText="1"/>
    </xf>
    <xf numFmtId="4" fontId="139" fillId="0" borderId="20" xfId="531" applyNumberFormat="1" applyFont="1" applyFill="1" applyBorder="1" applyAlignment="1">
      <alignment horizontal="center" vertical="center"/>
      <protection/>
    </xf>
    <xf numFmtId="0" fontId="61" fillId="0" borderId="20" xfId="0" applyFont="1" applyFill="1" applyBorder="1" applyAlignment="1">
      <alignment horizontal="center" vertical="center" wrapText="1"/>
    </xf>
    <xf numFmtId="4" fontId="118" fillId="0" borderId="2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118" fillId="0" borderId="20" xfId="565" applyFont="1" applyFill="1" applyBorder="1" applyAlignment="1">
      <alignment horizontal="center" vertical="center"/>
      <protection/>
    </xf>
    <xf numFmtId="49" fontId="139" fillId="0" borderId="20" xfId="565" applyNumberFormat="1" applyFont="1" applyFill="1" applyBorder="1" applyAlignment="1">
      <alignment horizontal="center" vertical="center"/>
      <protection/>
    </xf>
    <xf numFmtId="4" fontId="139" fillId="0" borderId="20" xfId="565" applyNumberFormat="1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 wrapText="1"/>
    </xf>
    <xf numFmtId="0" fontId="140" fillId="0" borderId="20" xfId="0" applyFont="1" applyFill="1" applyBorder="1" applyAlignment="1">
      <alignment horizontal="center" vertical="center"/>
    </xf>
    <xf numFmtId="0" fontId="140" fillId="0" borderId="20" xfId="0" applyFont="1" applyFill="1" applyBorder="1" applyAlignment="1" quotePrefix="1">
      <alignment horizontal="left" vertical="center" wrapText="1"/>
    </xf>
    <xf numFmtId="0" fontId="14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141" fillId="0" borderId="20" xfId="0" applyFont="1" applyFill="1" applyBorder="1" applyAlignment="1">
      <alignment horizontal="center" vertical="center"/>
    </xf>
    <xf numFmtId="49" fontId="139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1" fontId="45" fillId="0" borderId="20" xfId="710" applyNumberFormat="1" applyFont="1" applyFill="1" applyBorder="1" applyAlignment="1">
      <alignment horizontal="center" vertical="center" wrapText="1"/>
      <protection/>
    </xf>
    <xf numFmtId="0" fontId="31" fillId="0" borderId="20" xfId="0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0" fontId="3" fillId="0" borderId="20" xfId="624" applyFont="1" applyFill="1" applyBorder="1" applyAlignment="1">
      <alignment vertical="center"/>
      <protection/>
    </xf>
    <xf numFmtId="0" fontId="3" fillId="0" borderId="20" xfId="624" applyFont="1" applyFill="1" applyBorder="1" applyAlignment="1">
      <alignment horizontal="center" vertical="center"/>
      <protection/>
    </xf>
    <xf numFmtId="180" fontId="3" fillId="0" borderId="20" xfId="624" applyNumberFormat="1" applyFont="1" applyFill="1" applyBorder="1" applyAlignment="1">
      <alignment horizontal="center" vertical="center"/>
      <protection/>
    </xf>
    <xf numFmtId="2" fontId="3" fillId="0" borderId="20" xfId="624" applyNumberFormat="1" applyFont="1" applyFill="1" applyBorder="1" applyAlignment="1">
      <alignment horizontal="center" vertical="center"/>
      <protection/>
    </xf>
    <xf numFmtId="0" fontId="46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1" fontId="31" fillId="0" borderId="20" xfId="710" applyNumberFormat="1" applyFont="1" applyFill="1" applyBorder="1" applyAlignment="1">
      <alignment horizontal="center" vertical="center" wrapText="1"/>
      <protection/>
    </xf>
    <xf numFmtId="2" fontId="31" fillId="0" borderId="20" xfId="0" applyNumberFormat="1" applyFont="1" applyFill="1" applyBorder="1" applyAlignment="1">
      <alignment horizontal="left" vertical="center" wrapText="1"/>
    </xf>
    <xf numFmtId="180" fontId="3" fillId="0" borderId="20" xfId="624" applyNumberFormat="1" applyFont="1" applyFill="1" applyBorder="1" applyAlignment="1">
      <alignment horizontal="center" vertical="center" wrapText="1"/>
      <protection/>
    </xf>
    <xf numFmtId="179" fontId="2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32" fillId="56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9" fontId="32" fillId="0" borderId="20" xfId="0" applyNumberFormat="1" applyFont="1" applyFill="1" applyBorder="1" applyAlignment="1">
      <alignment horizontal="center" vertical="center" wrapText="1"/>
    </xf>
    <xf numFmtId="189" fontId="32" fillId="0" borderId="20" xfId="0" applyNumberFormat="1" applyFont="1" applyFill="1" applyBorder="1" applyAlignment="1">
      <alignment horizontal="center" vertical="center"/>
    </xf>
    <xf numFmtId="0" fontId="3" fillId="0" borderId="20" xfId="631" applyFont="1" applyFill="1" applyBorder="1" applyAlignment="1">
      <alignment horizontal="center" vertical="center" wrapText="1"/>
      <protection/>
    </xf>
    <xf numFmtId="2" fontId="4" fillId="0" borderId="20" xfId="0" applyNumberFormat="1" applyFont="1" applyFill="1" applyBorder="1" applyAlignment="1">
      <alignment horizontal="right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631" applyFont="1" applyFill="1" applyBorder="1" applyAlignment="1">
      <alignment horizontal="right" vertical="center" wrapText="1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2" fontId="76" fillId="0" borderId="20" xfId="0" applyNumberFormat="1" applyFont="1" applyFill="1" applyBorder="1" applyAlignment="1">
      <alignment horizontal="center" vertical="center" wrapText="1"/>
    </xf>
    <xf numFmtId="4" fontId="76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189" fontId="4" fillId="55" borderId="20" xfId="535" applyNumberFormat="1" applyFont="1" applyFill="1" applyBorder="1" applyAlignment="1">
      <alignment horizontal="center" vertical="center"/>
      <protection/>
    </xf>
    <xf numFmtId="0" fontId="32" fillId="0" borderId="20" xfId="0" applyFont="1" applyFill="1" applyBorder="1" applyAlignment="1">
      <alignment vertical="center" wrapText="1"/>
    </xf>
    <xf numFmtId="0" fontId="32" fillId="55" borderId="20" xfId="0" applyFont="1" applyFill="1" applyBorder="1" applyAlignment="1">
      <alignment vertical="center" wrapText="1"/>
    </xf>
    <xf numFmtId="4" fontId="116" fillId="55" borderId="0" xfId="0" applyNumberFormat="1" applyFont="1" applyFill="1" applyAlignment="1">
      <alignment vertical="center"/>
    </xf>
    <xf numFmtId="0" fontId="114" fillId="0" borderId="20" xfId="0" applyFont="1" applyBorder="1" applyAlignment="1">
      <alignment horizontal="center" vertical="center"/>
    </xf>
    <xf numFmtId="0" fontId="8" fillId="55" borderId="0" xfId="0" applyFont="1" applyFill="1" applyAlignment="1">
      <alignment horizontal="center" vertical="center" wrapText="1"/>
    </xf>
    <xf numFmtId="0" fontId="137" fillId="55" borderId="0" xfId="0" applyFont="1" applyFill="1" applyAlignment="1">
      <alignment horizontal="center" vertical="center" wrapText="1"/>
    </xf>
    <xf numFmtId="0" fontId="4" fillId="55" borderId="0" xfId="535" applyFont="1" applyFill="1" applyAlignment="1">
      <alignment horizontal="center" vertical="center" wrapText="1"/>
      <protection/>
    </xf>
    <xf numFmtId="0" fontId="137" fillId="55" borderId="37" xfId="0" applyFont="1" applyFill="1" applyBorder="1" applyAlignment="1">
      <alignment horizontal="left" wrapText="1"/>
    </xf>
    <xf numFmtId="0" fontId="4" fillId="57" borderId="19" xfId="535" applyFont="1" applyFill="1" applyBorder="1" applyAlignment="1">
      <alignment horizontal="center" vertical="center" wrapText="1"/>
      <protection/>
    </xf>
    <xf numFmtId="0" fontId="4" fillId="57" borderId="21" xfId="535" applyFont="1" applyFill="1" applyBorder="1" applyAlignment="1">
      <alignment horizontal="center" vertical="center" wrapText="1"/>
      <protection/>
    </xf>
    <xf numFmtId="0" fontId="4" fillId="57" borderId="30" xfId="535" applyFont="1" applyFill="1" applyBorder="1" applyAlignment="1">
      <alignment horizontal="center" vertical="center" wrapText="1"/>
      <protection/>
    </xf>
    <xf numFmtId="0" fontId="4" fillId="57" borderId="19" xfId="0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4" fillId="57" borderId="30" xfId="0" applyFont="1" applyFill="1" applyBorder="1" applyAlignment="1">
      <alignment horizontal="center" vertical="center" wrapText="1"/>
    </xf>
    <xf numFmtId="0" fontId="65" fillId="55" borderId="25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 vertical="center" wrapText="1"/>
    </xf>
    <xf numFmtId="0" fontId="4" fillId="55" borderId="20" xfId="626" applyFont="1" applyFill="1" applyBorder="1" applyAlignment="1">
      <alignment horizontal="center" vertical="center" wrapText="1"/>
      <protection/>
    </xf>
    <xf numFmtId="0" fontId="4" fillId="55" borderId="19" xfId="627" applyFont="1" applyFill="1" applyBorder="1" applyAlignment="1">
      <alignment horizontal="center" vertical="center" wrapText="1"/>
      <protection/>
    </xf>
    <xf numFmtId="0" fontId="4" fillId="55" borderId="21" xfId="627" applyFont="1" applyFill="1" applyBorder="1" applyAlignment="1">
      <alignment horizontal="center" vertical="center" wrapText="1"/>
      <protection/>
    </xf>
    <xf numFmtId="0" fontId="4" fillId="55" borderId="30" xfId="627" applyFont="1" applyFill="1" applyBorder="1" applyAlignment="1">
      <alignment horizontal="center" vertical="center" wrapText="1"/>
      <protection/>
    </xf>
    <xf numFmtId="0" fontId="4" fillId="55" borderId="19" xfId="627" applyFont="1" applyFill="1" applyBorder="1" applyAlignment="1">
      <alignment horizontal="left" vertical="center"/>
      <protection/>
    </xf>
    <xf numFmtId="0" fontId="4" fillId="55" borderId="30" xfId="627" applyFont="1" applyFill="1" applyBorder="1" applyAlignment="1">
      <alignment horizontal="left" vertical="center"/>
      <protection/>
    </xf>
    <xf numFmtId="0" fontId="4" fillId="55" borderId="27" xfId="627" applyFont="1" applyFill="1" applyBorder="1" applyAlignment="1">
      <alignment horizontal="center" vertical="center"/>
      <protection/>
    </xf>
    <xf numFmtId="0" fontId="4" fillId="55" borderId="38" xfId="627" applyFont="1" applyFill="1" applyBorder="1" applyAlignment="1">
      <alignment horizontal="center" vertical="center"/>
      <protection/>
    </xf>
    <xf numFmtId="0" fontId="4" fillId="55" borderId="22" xfId="627" applyFont="1" applyFill="1" applyBorder="1" applyAlignment="1">
      <alignment horizontal="center" vertical="center"/>
      <protection/>
    </xf>
    <xf numFmtId="0" fontId="4" fillId="55" borderId="23" xfId="627" applyFont="1" applyFill="1" applyBorder="1" applyAlignment="1">
      <alignment horizontal="center" vertical="center"/>
      <protection/>
    </xf>
    <xf numFmtId="0" fontId="4" fillId="55" borderId="26" xfId="627" applyFont="1" applyFill="1" applyBorder="1" applyAlignment="1">
      <alignment horizontal="center" vertical="center"/>
      <protection/>
    </xf>
    <xf numFmtId="0" fontId="3" fillId="55" borderId="22" xfId="627" applyFont="1" applyFill="1" applyBorder="1" applyAlignment="1">
      <alignment horizontal="center" vertical="center"/>
      <protection/>
    </xf>
    <xf numFmtId="0" fontId="3" fillId="55" borderId="26" xfId="627" applyFont="1" applyFill="1" applyBorder="1" applyAlignment="1">
      <alignment horizontal="center" vertical="center"/>
      <protection/>
    </xf>
    <xf numFmtId="0" fontId="120" fillId="55" borderId="0" xfId="715" applyFont="1" applyFill="1" applyBorder="1" applyAlignment="1">
      <alignment horizontal="center" vertical="center" wrapText="1"/>
      <protection/>
    </xf>
    <xf numFmtId="0" fontId="120" fillId="55" borderId="0" xfId="0" applyFont="1" applyFill="1" applyAlignment="1">
      <alignment horizontal="center" vertical="center" wrapText="1"/>
    </xf>
    <xf numFmtId="0" fontId="65" fillId="55" borderId="0" xfId="0" applyFont="1" applyFill="1" applyBorder="1" applyAlignment="1">
      <alignment horizontal="center" vertical="center" wrapText="1"/>
    </xf>
    <xf numFmtId="0" fontId="32" fillId="55" borderId="0" xfId="718" applyFont="1" applyFill="1" applyBorder="1" applyAlignment="1">
      <alignment horizontal="center" vertical="center" wrapText="1"/>
      <protection/>
    </xf>
    <xf numFmtId="0" fontId="4" fillId="55" borderId="20" xfId="626" applyFont="1" applyFill="1" applyBorder="1" applyAlignment="1">
      <alignment horizontal="center" vertical="center"/>
      <protection/>
    </xf>
    <xf numFmtId="0" fontId="3" fillId="55" borderId="20" xfId="626" applyFont="1" applyFill="1" applyBorder="1" applyAlignment="1">
      <alignment horizontal="center" vertical="center"/>
      <protection/>
    </xf>
    <xf numFmtId="0" fontId="33" fillId="55" borderId="20" xfId="716" applyFont="1" applyFill="1" applyBorder="1" applyAlignment="1">
      <alignment horizontal="center" vertical="center"/>
      <protection/>
    </xf>
    <xf numFmtId="0" fontId="120" fillId="0" borderId="21" xfId="0" applyFont="1" applyBorder="1" applyAlignment="1">
      <alignment horizontal="center" vertical="center"/>
    </xf>
    <xf numFmtId="0" fontId="120" fillId="0" borderId="31" xfId="0" applyFont="1" applyBorder="1" applyAlignment="1">
      <alignment horizontal="center" vertical="center"/>
    </xf>
    <xf numFmtId="0" fontId="114" fillId="0" borderId="31" xfId="0" applyFont="1" applyBorder="1" applyAlignment="1">
      <alignment horizontal="center" vertical="center"/>
    </xf>
    <xf numFmtId="0" fontId="4" fillId="55" borderId="22" xfId="626" applyFont="1" applyFill="1" applyBorder="1" applyAlignment="1">
      <alignment horizontal="center" vertical="center" wrapText="1"/>
      <protection/>
    </xf>
    <xf numFmtId="0" fontId="4" fillId="55" borderId="26" xfId="626" applyFont="1" applyFill="1" applyBorder="1" applyAlignment="1">
      <alignment horizontal="center" vertical="center" wrapText="1"/>
      <protection/>
    </xf>
    <xf numFmtId="0" fontId="4" fillId="55" borderId="20" xfId="716" applyFont="1" applyFill="1" applyBorder="1" applyAlignment="1">
      <alignment horizontal="center" vertical="center"/>
      <protection/>
    </xf>
    <xf numFmtId="0" fontId="32" fillId="55" borderId="36" xfId="718" applyFont="1" applyFill="1" applyBorder="1" applyAlignment="1">
      <alignment horizontal="center" vertical="center" wrapText="1"/>
      <protection/>
    </xf>
    <xf numFmtId="0" fontId="4" fillId="55" borderId="36" xfId="627" applyFont="1" applyFill="1" applyBorder="1" applyAlignment="1">
      <alignment horizontal="center" vertical="center"/>
      <protection/>
    </xf>
    <xf numFmtId="0" fontId="4" fillId="55" borderId="39" xfId="627" applyFont="1" applyFill="1" applyBorder="1" applyAlignment="1">
      <alignment horizontal="center" vertical="center"/>
      <protection/>
    </xf>
    <xf numFmtId="0" fontId="114" fillId="55" borderId="0" xfId="0" applyFont="1" applyFill="1" applyAlignment="1">
      <alignment horizontal="center" vertical="center" wrapText="1"/>
    </xf>
    <xf numFmtId="0" fontId="120" fillId="55" borderId="25" xfId="0" applyFont="1" applyFill="1" applyBorder="1" applyAlignment="1">
      <alignment horizontal="center" vertical="center" wrapText="1"/>
    </xf>
    <xf numFmtId="0" fontId="120" fillId="55" borderId="0" xfId="0" applyFont="1" applyFill="1" applyBorder="1" applyAlignment="1">
      <alignment horizontal="center" vertical="center" wrapText="1"/>
    </xf>
    <xf numFmtId="0" fontId="120" fillId="55" borderId="36" xfId="0" applyFont="1" applyFill="1" applyBorder="1" applyAlignment="1">
      <alignment horizontal="center" vertical="center" wrapText="1"/>
    </xf>
    <xf numFmtId="0" fontId="4" fillId="55" borderId="19" xfId="627" applyFont="1" applyFill="1" applyBorder="1" applyAlignment="1">
      <alignment horizontal="center" vertical="center"/>
      <protection/>
    </xf>
    <xf numFmtId="0" fontId="4" fillId="55" borderId="30" xfId="627" applyFont="1" applyFill="1" applyBorder="1" applyAlignment="1">
      <alignment horizontal="center" vertical="center"/>
      <protection/>
    </xf>
    <xf numFmtId="0" fontId="4" fillId="55" borderId="22" xfId="627" applyFont="1" applyFill="1" applyBorder="1" applyAlignment="1">
      <alignment horizontal="center" vertical="center" wrapText="1"/>
      <protection/>
    </xf>
    <xf numFmtId="0" fontId="4" fillId="55" borderId="23" xfId="627" applyFont="1" applyFill="1" applyBorder="1" applyAlignment="1">
      <alignment horizontal="center" vertical="center" wrapText="1"/>
      <protection/>
    </xf>
    <xf numFmtId="0" fontId="4" fillId="55" borderId="26" xfId="627" applyFont="1" applyFill="1" applyBorder="1" applyAlignment="1">
      <alignment horizontal="center" vertical="center" wrapText="1"/>
      <protection/>
    </xf>
    <xf numFmtId="0" fontId="4" fillId="55" borderId="25" xfId="627" applyFont="1" applyFill="1" applyBorder="1" applyAlignment="1">
      <alignment horizontal="center" vertical="center"/>
      <protection/>
    </xf>
    <xf numFmtId="0" fontId="4" fillId="55" borderId="24" xfId="627" applyFont="1" applyFill="1" applyBorder="1" applyAlignment="1">
      <alignment horizontal="center" vertical="center"/>
      <protection/>
    </xf>
    <xf numFmtId="0" fontId="4" fillId="55" borderId="21" xfId="627" applyFont="1" applyFill="1" applyBorder="1" applyAlignment="1">
      <alignment horizontal="center" vertical="center"/>
      <protection/>
    </xf>
    <xf numFmtId="0" fontId="4" fillId="0" borderId="22" xfId="627" applyFont="1" applyFill="1" applyBorder="1" applyAlignment="1">
      <alignment horizontal="center" vertical="center" wrapText="1"/>
      <protection/>
    </xf>
    <xf numFmtId="0" fontId="4" fillId="0" borderId="23" xfId="627" applyFont="1" applyFill="1" applyBorder="1" applyAlignment="1">
      <alignment horizontal="center" vertical="center" wrapText="1"/>
      <protection/>
    </xf>
    <xf numFmtId="0" fontId="4" fillId="0" borderId="26" xfId="627" applyFont="1" applyFill="1" applyBorder="1" applyAlignment="1">
      <alignment horizontal="center" vertical="center" wrapText="1"/>
      <protection/>
    </xf>
    <xf numFmtId="0" fontId="4" fillId="0" borderId="27" xfId="627" applyFont="1" applyFill="1" applyBorder="1" applyAlignment="1">
      <alignment horizontal="center" vertical="center"/>
      <protection/>
    </xf>
    <xf numFmtId="0" fontId="4" fillId="0" borderId="25" xfId="627" applyFont="1" applyFill="1" applyBorder="1" applyAlignment="1">
      <alignment horizontal="center" vertical="center"/>
      <protection/>
    </xf>
    <xf numFmtId="0" fontId="4" fillId="0" borderId="24" xfId="627" applyFont="1" applyFill="1" applyBorder="1" applyAlignment="1">
      <alignment horizontal="center" vertical="center"/>
      <protection/>
    </xf>
    <xf numFmtId="0" fontId="4" fillId="0" borderId="38" xfId="627" applyFont="1" applyFill="1" applyBorder="1" applyAlignment="1">
      <alignment horizontal="center" vertical="center"/>
      <protection/>
    </xf>
    <xf numFmtId="0" fontId="4" fillId="0" borderId="36" xfId="627" applyFont="1" applyFill="1" applyBorder="1" applyAlignment="1">
      <alignment horizontal="center" vertical="center"/>
      <protection/>
    </xf>
    <xf numFmtId="0" fontId="4" fillId="0" borderId="39" xfId="627" applyFont="1" applyFill="1" applyBorder="1" applyAlignment="1">
      <alignment horizontal="center" vertical="center"/>
      <protection/>
    </xf>
    <xf numFmtId="0" fontId="4" fillId="0" borderId="22" xfId="627" applyFont="1" applyFill="1" applyBorder="1" applyAlignment="1">
      <alignment horizontal="center" vertical="center"/>
      <protection/>
    </xf>
    <xf numFmtId="0" fontId="4" fillId="0" borderId="23" xfId="627" applyFont="1" applyFill="1" applyBorder="1" applyAlignment="1">
      <alignment horizontal="center" vertical="center"/>
      <protection/>
    </xf>
    <xf numFmtId="0" fontId="4" fillId="0" borderId="26" xfId="627" applyFont="1" applyFill="1" applyBorder="1" applyAlignment="1">
      <alignment horizontal="center" vertical="center"/>
      <protection/>
    </xf>
    <xf numFmtId="0" fontId="65" fillId="55" borderId="0" xfId="0" applyFont="1" applyFill="1" applyAlignment="1">
      <alignment horizontal="center" vertical="center" wrapText="1"/>
    </xf>
    <xf numFmtId="0" fontId="120" fillId="0" borderId="0" xfId="0" applyFont="1" applyFill="1" applyAlignment="1">
      <alignment horizontal="center" vertical="center" wrapText="1"/>
    </xf>
    <xf numFmtId="0" fontId="114" fillId="0" borderId="0" xfId="0" applyFont="1" applyFill="1" applyAlignment="1">
      <alignment horizontal="center" vertical="center" wrapText="1"/>
    </xf>
    <xf numFmtId="0" fontId="4" fillId="0" borderId="19" xfId="627" applyFont="1" applyFill="1" applyBorder="1" applyAlignment="1">
      <alignment horizontal="center" vertical="center"/>
      <protection/>
    </xf>
    <xf numFmtId="0" fontId="4" fillId="0" borderId="21" xfId="627" applyFont="1" applyFill="1" applyBorder="1" applyAlignment="1">
      <alignment horizontal="center" vertical="center"/>
      <protection/>
    </xf>
    <xf numFmtId="0" fontId="4" fillId="0" borderId="30" xfId="627" applyFont="1" applyFill="1" applyBorder="1" applyAlignment="1">
      <alignment horizontal="center" vertical="center"/>
      <protection/>
    </xf>
    <xf numFmtId="0" fontId="4" fillId="0" borderId="19" xfId="627" applyFont="1" applyFill="1" applyBorder="1" applyAlignment="1">
      <alignment horizontal="center" vertical="center" wrapText="1"/>
      <protection/>
    </xf>
    <xf numFmtId="0" fontId="4" fillId="0" borderId="30" xfId="627" applyFont="1" applyFill="1" applyBorder="1" applyAlignment="1">
      <alignment horizontal="center" vertical="center" wrapText="1"/>
      <protection/>
    </xf>
    <xf numFmtId="0" fontId="34" fillId="55" borderId="35" xfId="723" applyFont="1" applyFill="1" applyBorder="1" applyAlignment="1">
      <alignment horizontal="center" vertical="center" wrapText="1"/>
      <protection/>
    </xf>
    <xf numFmtId="0" fontId="34" fillId="55" borderId="47" xfId="723" applyFont="1" applyFill="1" applyBorder="1" applyAlignment="1">
      <alignment horizontal="center" vertical="center" wrapText="1"/>
      <protection/>
    </xf>
    <xf numFmtId="0" fontId="34" fillId="55" borderId="20" xfId="723" applyFont="1" applyFill="1" applyBorder="1" applyAlignment="1">
      <alignment horizontal="center" vertical="center" wrapText="1"/>
      <protection/>
    </xf>
    <xf numFmtId="0" fontId="34" fillId="55" borderId="48" xfId="723" applyFont="1" applyFill="1" applyBorder="1" applyAlignment="1">
      <alignment horizontal="center" vertical="center" wrapText="1"/>
      <protection/>
    </xf>
    <xf numFmtId="0" fontId="68" fillId="55" borderId="0" xfId="0" applyFont="1" applyFill="1" applyAlignment="1">
      <alignment horizontal="center" vertical="center" wrapText="1"/>
    </xf>
    <xf numFmtId="0" fontId="142" fillId="55" borderId="0" xfId="0" applyFont="1" applyFill="1" applyAlignment="1">
      <alignment horizontal="center" vertical="center" wrapText="1"/>
    </xf>
    <xf numFmtId="0" fontId="125" fillId="55" borderId="0" xfId="0" applyFont="1" applyFill="1" applyAlignment="1">
      <alignment horizontal="center" vertical="center" wrapText="1"/>
    </xf>
    <xf numFmtId="0" fontId="34" fillId="55" borderId="34" xfId="723" applyFont="1" applyFill="1" applyBorder="1" applyAlignment="1">
      <alignment horizontal="left" vertical="center" textRotation="90" wrapText="1"/>
      <protection/>
    </xf>
    <xf numFmtId="0" fontId="34" fillId="55" borderId="49" xfId="723" applyFont="1" applyFill="1" applyBorder="1" applyAlignment="1">
      <alignment horizontal="left" vertical="center" textRotation="90" wrapText="1"/>
      <protection/>
    </xf>
    <xf numFmtId="0" fontId="34" fillId="55" borderId="34" xfId="723" applyFont="1" applyFill="1" applyBorder="1" applyAlignment="1">
      <alignment horizontal="center" vertical="center" wrapText="1"/>
      <protection/>
    </xf>
    <xf numFmtId="0" fontId="34" fillId="55" borderId="50" xfId="723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4" fillId="0" borderId="20" xfId="630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45" fillId="0" borderId="20" xfId="630" applyFont="1" applyFill="1" applyBorder="1" applyAlignment="1">
      <alignment horizontal="center" vertical="center" wrapText="1"/>
      <protection/>
    </xf>
    <xf numFmtId="0" fontId="45" fillId="0" borderId="22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</cellXfs>
  <cellStyles count="72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3" xfId="368"/>
    <cellStyle name="Comma 4" xfId="369"/>
    <cellStyle name="Comma 5" xfId="370"/>
    <cellStyle name="Comma 6" xfId="371"/>
    <cellStyle name="Comma 7" xfId="372"/>
    <cellStyle name="Comma 8" xfId="373"/>
    <cellStyle name="Comma 9" xfId="374"/>
    <cellStyle name="Currency" xfId="375"/>
    <cellStyle name="Currency [0]" xfId="376"/>
    <cellStyle name="Explanatory Text" xfId="377"/>
    <cellStyle name="Explanatory Text 2" xfId="378"/>
    <cellStyle name="Explanatory Text 2 2" xfId="379"/>
    <cellStyle name="Explanatory Text 2 3" xfId="380"/>
    <cellStyle name="Explanatory Text 2 4" xfId="381"/>
    <cellStyle name="Explanatory Text 2 5" xfId="382"/>
    <cellStyle name="Explanatory Text 3" xfId="383"/>
    <cellStyle name="Explanatory Text 4" xfId="384"/>
    <cellStyle name="Explanatory Text 4 2" xfId="385"/>
    <cellStyle name="Explanatory Text 5" xfId="386"/>
    <cellStyle name="Explanatory Text 6" xfId="387"/>
    <cellStyle name="Explanatory Text 7" xfId="388"/>
    <cellStyle name="Good" xfId="389"/>
    <cellStyle name="Good 2" xfId="390"/>
    <cellStyle name="Good 2 2" xfId="391"/>
    <cellStyle name="Good 2 3" xfId="392"/>
    <cellStyle name="Good 2 4" xfId="393"/>
    <cellStyle name="Good 2 5" xfId="394"/>
    <cellStyle name="Good 3" xfId="395"/>
    <cellStyle name="Good 4" xfId="396"/>
    <cellStyle name="Good 4 2" xfId="397"/>
    <cellStyle name="Good 5" xfId="398"/>
    <cellStyle name="Good 6" xfId="399"/>
    <cellStyle name="Good 7" xfId="400"/>
    <cellStyle name="Heading 1" xfId="401"/>
    <cellStyle name="Heading 1 2" xfId="402"/>
    <cellStyle name="Heading 1 2 2" xfId="403"/>
    <cellStyle name="Heading 1 2 3" xfId="404"/>
    <cellStyle name="Heading 1 2 4" xfId="405"/>
    <cellStyle name="Heading 1 2 5" xfId="406"/>
    <cellStyle name="Heading 1 2_anakia II etapi.xls sm. defeqturi" xfId="407"/>
    <cellStyle name="Heading 1 3" xfId="408"/>
    <cellStyle name="Heading 1 4" xfId="409"/>
    <cellStyle name="Heading 1 4 2" xfId="410"/>
    <cellStyle name="Heading 1 4_anakia II etapi.xls sm. defeqturi" xfId="411"/>
    <cellStyle name="Heading 1 5" xfId="412"/>
    <cellStyle name="Heading 1 6" xfId="413"/>
    <cellStyle name="Heading 1 7" xfId="414"/>
    <cellStyle name="Heading 2" xfId="415"/>
    <cellStyle name="Heading 2 2" xfId="416"/>
    <cellStyle name="Heading 2 2 2" xfId="417"/>
    <cellStyle name="Heading 2 2 3" xfId="418"/>
    <cellStyle name="Heading 2 2 4" xfId="419"/>
    <cellStyle name="Heading 2 2 5" xfId="420"/>
    <cellStyle name="Heading 2 2_anakia II etapi.xls sm. defeqturi" xfId="421"/>
    <cellStyle name="Heading 2 3" xfId="422"/>
    <cellStyle name="Heading 2 4" xfId="423"/>
    <cellStyle name="Heading 2 4 2" xfId="424"/>
    <cellStyle name="Heading 2 4_anakia II etapi.xls sm. defeqturi" xfId="425"/>
    <cellStyle name="Heading 2 5" xfId="426"/>
    <cellStyle name="Heading 2 6" xfId="427"/>
    <cellStyle name="Heading 2 7" xfId="428"/>
    <cellStyle name="Heading 3" xfId="429"/>
    <cellStyle name="Heading 3 2" xfId="430"/>
    <cellStyle name="Heading 3 2 2" xfId="431"/>
    <cellStyle name="Heading 3 2 3" xfId="432"/>
    <cellStyle name="Heading 3 2 4" xfId="433"/>
    <cellStyle name="Heading 3 2 5" xfId="434"/>
    <cellStyle name="Heading 3 2_anakia II etapi.xls sm. defeqturi" xfId="435"/>
    <cellStyle name="Heading 3 3" xfId="436"/>
    <cellStyle name="Heading 3 4" xfId="437"/>
    <cellStyle name="Heading 3 4 2" xfId="438"/>
    <cellStyle name="Heading 3 4_anakia II etapi.xls sm. defeqturi" xfId="439"/>
    <cellStyle name="Heading 3 5" xfId="440"/>
    <cellStyle name="Heading 3 6" xfId="441"/>
    <cellStyle name="Heading 3 7" xfId="442"/>
    <cellStyle name="Heading 4" xfId="443"/>
    <cellStyle name="Heading 4 2" xfId="444"/>
    <cellStyle name="Heading 4 2 2" xfId="445"/>
    <cellStyle name="Heading 4 2 3" xfId="446"/>
    <cellStyle name="Heading 4 2 4" xfId="447"/>
    <cellStyle name="Heading 4 2 5" xfId="448"/>
    <cellStyle name="Heading 4 3" xfId="449"/>
    <cellStyle name="Heading 4 4" xfId="450"/>
    <cellStyle name="Heading 4 4 2" xfId="451"/>
    <cellStyle name="Heading 4 5" xfId="452"/>
    <cellStyle name="Heading 4 6" xfId="453"/>
    <cellStyle name="Heading 4 7" xfId="454"/>
    <cellStyle name="Input" xfId="455"/>
    <cellStyle name="Input 2" xfId="456"/>
    <cellStyle name="Input 2 2" xfId="457"/>
    <cellStyle name="Input 2 3" xfId="458"/>
    <cellStyle name="Input 2 4" xfId="459"/>
    <cellStyle name="Input 2 5" xfId="460"/>
    <cellStyle name="Input 2_anakia II etapi.xls sm. defeqturi" xfId="461"/>
    <cellStyle name="Input 3" xfId="462"/>
    <cellStyle name="Input 4" xfId="463"/>
    <cellStyle name="Input 4 2" xfId="464"/>
    <cellStyle name="Input 4_anakia II etapi.xls sm. defeqturi" xfId="465"/>
    <cellStyle name="Input 5" xfId="466"/>
    <cellStyle name="Input 6" xfId="467"/>
    <cellStyle name="Input 7" xfId="468"/>
    <cellStyle name="Linked Cell" xfId="469"/>
    <cellStyle name="Linked Cell 2" xfId="470"/>
    <cellStyle name="Linked Cell 2 2" xfId="471"/>
    <cellStyle name="Linked Cell 2 3" xfId="472"/>
    <cellStyle name="Linked Cell 2 4" xfId="473"/>
    <cellStyle name="Linked Cell 2 5" xfId="474"/>
    <cellStyle name="Linked Cell 2_anakia II etapi.xls sm. defeqturi" xfId="475"/>
    <cellStyle name="Linked Cell 3" xfId="476"/>
    <cellStyle name="Linked Cell 4" xfId="477"/>
    <cellStyle name="Linked Cell 4 2" xfId="478"/>
    <cellStyle name="Linked Cell 4_anakia II etapi.xls sm. defeqturi" xfId="479"/>
    <cellStyle name="Linked Cell 5" xfId="480"/>
    <cellStyle name="Linked Cell 6" xfId="481"/>
    <cellStyle name="Linked Cell 7" xfId="482"/>
    <cellStyle name="Neutral" xfId="483"/>
    <cellStyle name="Neutral 2" xfId="484"/>
    <cellStyle name="Neutral 2 2" xfId="485"/>
    <cellStyle name="Neutral 2 3" xfId="486"/>
    <cellStyle name="Neutral 2 4" xfId="487"/>
    <cellStyle name="Neutral 2 5" xfId="488"/>
    <cellStyle name="Neutral 3" xfId="489"/>
    <cellStyle name="Neutral 4" xfId="490"/>
    <cellStyle name="Neutral 4 2" xfId="491"/>
    <cellStyle name="Neutral 5" xfId="492"/>
    <cellStyle name="Neutral 6" xfId="493"/>
    <cellStyle name="Neutral 7" xfId="494"/>
    <cellStyle name="Normal 10" xfId="495"/>
    <cellStyle name="Normal 10 2" xfId="496"/>
    <cellStyle name="Normal 11" xfId="497"/>
    <cellStyle name="Normal 11 2" xfId="498"/>
    <cellStyle name="Normal 11 2 2" xfId="499"/>
    <cellStyle name="Normal 11 3" xfId="500"/>
    <cellStyle name="Normal 11_GAZI-2010" xfId="501"/>
    <cellStyle name="Normal 12" xfId="502"/>
    <cellStyle name="Normal 12 2" xfId="503"/>
    <cellStyle name="Normal 12_gazis gare qseli" xfId="504"/>
    <cellStyle name="Normal 13" xfId="505"/>
    <cellStyle name="Normal 13 2" xfId="506"/>
    <cellStyle name="Normal 13 2 2" xfId="507"/>
    <cellStyle name="Normal 13 3" xfId="508"/>
    <cellStyle name="Normal 13 3 2" xfId="509"/>
    <cellStyle name="Normal 13 3 3" xfId="510"/>
    <cellStyle name="Normal 13 3 3 6" xfId="511"/>
    <cellStyle name="Normal 13 4" xfId="512"/>
    <cellStyle name="Normal 13 5" xfId="513"/>
    <cellStyle name="Normal 13 5 3 2 2" xfId="514"/>
    <cellStyle name="Normal 13_GAZI-2010" xfId="515"/>
    <cellStyle name="Normal 14" xfId="516"/>
    <cellStyle name="Normal 14 2" xfId="517"/>
    <cellStyle name="Normal 14 3" xfId="518"/>
    <cellStyle name="Normal 14 3 2" xfId="519"/>
    <cellStyle name="Normal 14 4" xfId="520"/>
    <cellStyle name="Normal 14 5" xfId="521"/>
    <cellStyle name="Normal 14_anakia II etapi.xls sm. defeqturi" xfId="522"/>
    <cellStyle name="Normal 15" xfId="523"/>
    <cellStyle name="Normal 16" xfId="524"/>
    <cellStyle name="Normal 16 2" xfId="525"/>
    <cellStyle name="Normal 16 3" xfId="526"/>
    <cellStyle name="Normal 16_axalq.skola" xfId="527"/>
    <cellStyle name="Normal 17" xfId="528"/>
    <cellStyle name="Normal 18" xfId="529"/>
    <cellStyle name="Normal 19" xfId="530"/>
    <cellStyle name="Normal 2" xfId="531"/>
    <cellStyle name="Normal 2 10" xfId="532"/>
    <cellStyle name="Normal 2 11" xfId="533"/>
    <cellStyle name="Normal 2 12" xfId="534"/>
    <cellStyle name="Normal 2 2" xfId="535"/>
    <cellStyle name="Normal 2 2 2" xfId="536"/>
    <cellStyle name="Normal 2 2 3" xfId="537"/>
    <cellStyle name="Normal 2 2 4" xfId="538"/>
    <cellStyle name="Normal 2 2 5" xfId="539"/>
    <cellStyle name="Normal 2 2 6" xfId="540"/>
    <cellStyle name="Normal 2 2 7" xfId="541"/>
    <cellStyle name="Normal 2 2_2D4CD000" xfId="542"/>
    <cellStyle name="Normal 2 3" xfId="543"/>
    <cellStyle name="Normal 2 4" xfId="544"/>
    <cellStyle name="Normal 2 5" xfId="545"/>
    <cellStyle name="Normal 2 6" xfId="546"/>
    <cellStyle name="Normal 2 7" xfId="547"/>
    <cellStyle name="Normal 2 7 2" xfId="548"/>
    <cellStyle name="Normal 2 7 3" xfId="549"/>
    <cellStyle name="Normal 2 7_anakia II etapi.xls sm. defeqturi" xfId="550"/>
    <cellStyle name="Normal 2 8" xfId="551"/>
    <cellStyle name="Normal 2 9" xfId="552"/>
    <cellStyle name="Normal 2_anakia II etapi.xls sm. defeqturi" xfId="553"/>
    <cellStyle name="Normal 20" xfId="554"/>
    <cellStyle name="Normal 21" xfId="555"/>
    <cellStyle name="Normal 22" xfId="556"/>
    <cellStyle name="Normal 23" xfId="557"/>
    <cellStyle name="Normal 24" xfId="558"/>
    <cellStyle name="Normal 25" xfId="559"/>
    <cellStyle name="Normal 26" xfId="560"/>
    <cellStyle name="Normal 27" xfId="561"/>
    <cellStyle name="Normal 28" xfId="562"/>
    <cellStyle name="Normal 29" xfId="563"/>
    <cellStyle name="Normal 29 2" xfId="564"/>
    <cellStyle name="Normal 3" xfId="565"/>
    <cellStyle name="Normal 3 2" xfId="566"/>
    <cellStyle name="Normal 3 2 2" xfId="567"/>
    <cellStyle name="Normal 3 2_anakia II etapi.xls sm. defeqturi" xfId="568"/>
    <cellStyle name="Normal 30" xfId="569"/>
    <cellStyle name="Normal 30 2" xfId="570"/>
    <cellStyle name="Normal 31" xfId="571"/>
    <cellStyle name="Normal 32" xfId="572"/>
    <cellStyle name="Normal 32 2" xfId="573"/>
    <cellStyle name="Normal 32 3" xfId="574"/>
    <cellStyle name="Normal 32 3 2" xfId="575"/>
    <cellStyle name="Normal 33" xfId="576"/>
    <cellStyle name="Normal 33 2" xfId="577"/>
    <cellStyle name="Normal 34" xfId="578"/>
    <cellStyle name="Normal 35" xfId="579"/>
    <cellStyle name="Normal 35 2" xfId="580"/>
    <cellStyle name="Normal 35 3" xfId="581"/>
    <cellStyle name="Normal 36" xfId="582"/>
    <cellStyle name="Normal 36 2" xfId="583"/>
    <cellStyle name="Normal 36 2 2" xfId="584"/>
    <cellStyle name="Normal 36 3" xfId="585"/>
    <cellStyle name="Normal 37" xfId="586"/>
    <cellStyle name="Normal 38" xfId="587"/>
    <cellStyle name="Normal 38 2" xfId="588"/>
    <cellStyle name="Normal 38 2 2" xfId="589"/>
    <cellStyle name="Normal 38 3" xfId="590"/>
    <cellStyle name="Normal 39" xfId="591"/>
    <cellStyle name="Normal 39 2" xfId="592"/>
    <cellStyle name="Normal 4" xfId="593"/>
    <cellStyle name="Normal 4 2" xfId="594"/>
    <cellStyle name="Normal 40" xfId="595"/>
    <cellStyle name="Normal 40 2" xfId="596"/>
    <cellStyle name="Normal 41" xfId="597"/>
    <cellStyle name="Normal 42" xfId="598"/>
    <cellStyle name="Normal 43" xfId="599"/>
    <cellStyle name="Normal 44" xfId="600"/>
    <cellStyle name="Normal 46" xfId="601"/>
    <cellStyle name="Normal 47 3 2" xfId="602"/>
    <cellStyle name="Normal 49" xfId="603"/>
    <cellStyle name="Normal 5" xfId="604"/>
    <cellStyle name="Normal 5 2" xfId="605"/>
    <cellStyle name="Normal 5 2 2" xfId="606"/>
    <cellStyle name="Normal 5 3" xfId="607"/>
    <cellStyle name="Normal 5 4" xfId="608"/>
    <cellStyle name="Normal 5 4 2" xfId="609"/>
    <cellStyle name="Normal 5_Copy of SAN2010" xfId="610"/>
    <cellStyle name="Normal 6" xfId="611"/>
    <cellStyle name="Normal 7" xfId="612"/>
    <cellStyle name="Normal 8" xfId="613"/>
    <cellStyle name="Normal 8 2" xfId="614"/>
    <cellStyle name="Normal 8_2D4CD000" xfId="615"/>
    <cellStyle name="Normal 9" xfId="616"/>
    <cellStyle name="Normal 9 2" xfId="617"/>
    <cellStyle name="Normal 9 2 2" xfId="618"/>
    <cellStyle name="Normal 9 2 3" xfId="619"/>
    <cellStyle name="Normal 9 2 4" xfId="620"/>
    <cellStyle name="Normal 9 2_anakia II etapi.xls sm. defeqturi" xfId="621"/>
    <cellStyle name="Normal 9_2D4CD000" xfId="622"/>
    <cellStyle name="Normal_axalqalaqis skola  2" xfId="623"/>
    <cellStyle name="Normal_dasakorektirebeli xarjTaRricxva auziT 2" xfId="624"/>
    <cellStyle name="Normal_gare wyalsadfenigagarini 10" xfId="625"/>
    <cellStyle name="Normal_gare wyalsadfenigagarini 2 2" xfId="626"/>
    <cellStyle name="Normal_gare wyalsadfenigagarini 2_SMSH2008-IIkv ." xfId="627"/>
    <cellStyle name="Normal_gare wyalsadfenigagarini_SAN2008 III" xfId="628"/>
    <cellStyle name="Normal_gare wyalsadfenigagarini_SMSH2008-IIkv ." xfId="629"/>
    <cellStyle name="Normal_stadion-1" xfId="630"/>
    <cellStyle name="Normal_Xl0000048 2 2" xfId="631"/>
    <cellStyle name="Note" xfId="632"/>
    <cellStyle name="Note 2" xfId="633"/>
    <cellStyle name="Note 2 2" xfId="634"/>
    <cellStyle name="Note 2 3" xfId="635"/>
    <cellStyle name="Note 2 4" xfId="636"/>
    <cellStyle name="Note 2 5" xfId="637"/>
    <cellStyle name="Note 2_anakia II etapi.xls sm. defeqturi" xfId="638"/>
    <cellStyle name="Note 3" xfId="639"/>
    <cellStyle name="Note 4" xfId="640"/>
    <cellStyle name="Note 4 2" xfId="641"/>
    <cellStyle name="Note 4_anakia II etapi.xls sm. defeqturi" xfId="642"/>
    <cellStyle name="Note 5" xfId="643"/>
    <cellStyle name="Note 6" xfId="644"/>
    <cellStyle name="Note 7" xfId="645"/>
    <cellStyle name="Output" xfId="646"/>
    <cellStyle name="Output 2" xfId="647"/>
    <cellStyle name="Output 2 2" xfId="648"/>
    <cellStyle name="Output 2 3" xfId="649"/>
    <cellStyle name="Output 2 4" xfId="650"/>
    <cellStyle name="Output 2 5" xfId="651"/>
    <cellStyle name="Output 2_anakia II etapi.xls sm. defeqturi" xfId="652"/>
    <cellStyle name="Output 3" xfId="653"/>
    <cellStyle name="Output 4" xfId="654"/>
    <cellStyle name="Output 4 2" xfId="655"/>
    <cellStyle name="Output 4_anakia II etapi.xls sm. defeqturi" xfId="656"/>
    <cellStyle name="Output 5" xfId="657"/>
    <cellStyle name="Output 6" xfId="658"/>
    <cellStyle name="Output 7" xfId="659"/>
    <cellStyle name="Percent" xfId="660"/>
    <cellStyle name="Percent 2" xfId="661"/>
    <cellStyle name="Percent 3" xfId="662"/>
    <cellStyle name="Percent 3 2" xfId="663"/>
    <cellStyle name="Percent 4" xfId="664"/>
    <cellStyle name="Percent 5" xfId="665"/>
    <cellStyle name="Percent 6" xfId="666"/>
    <cellStyle name="Percent 7" xfId="667"/>
    <cellStyle name="Percent 8" xfId="668"/>
    <cellStyle name="Style 1" xfId="669"/>
    <cellStyle name="Title" xfId="670"/>
    <cellStyle name="Title 2" xfId="671"/>
    <cellStyle name="Title 2 2" xfId="672"/>
    <cellStyle name="Title 2 3" xfId="673"/>
    <cellStyle name="Title 2 4" xfId="674"/>
    <cellStyle name="Title 2 5" xfId="675"/>
    <cellStyle name="Title 3" xfId="676"/>
    <cellStyle name="Title 4" xfId="677"/>
    <cellStyle name="Title 4 2" xfId="678"/>
    <cellStyle name="Title 5" xfId="679"/>
    <cellStyle name="Title 6" xfId="680"/>
    <cellStyle name="Title 7" xfId="681"/>
    <cellStyle name="Total" xfId="682"/>
    <cellStyle name="Total 2" xfId="683"/>
    <cellStyle name="Total 2 2" xfId="684"/>
    <cellStyle name="Total 2 3" xfId="685"/>
    <cellStyle name="Total 2 4" xfId="686"/>
    <cellStyle name="Total 2 5" xfId="687"/>
    <cellStyle name="Total 2_anakia II etapi.xls sm. defeqturi" xfId="688"/>
    <cellStyle name="Total 3" xfId="689"/>
    <cellStyle name="Total 4" xfId="690"/>
    <cellStyle name="Total 4 2" xfId="691"/>
    <cellStyle name="Total 4_anakia II etapi.xls sm. defeqturi" xfId="692"/>
    <cellStyle name="Total 5" xfId="693"/>
    <cellStyle name="Total 6" xfId="694"/>
    <cellStyle name="Total 7" xfId="695"/>
    <cellStyle name="Warning Text" xfId="696"/>
    <cellStyle name="Warning Text 2" xfId="697"/>
    <cellStyle name="Warning Text 2 2" xfId="698"/>
    <cellStyle name="Warning Text 2 3" xfId="699"/>
    <cellStyle name="Warning Text 2 4" xfId="700"/>
    <cellStyle name="Warning Text 2 5" xfId="701"/>
    <cellStyle name="Warning Text 3" xfId="702"/>
    <cellStyle name="Warning Text 4" xfId="703"/>
    <cellStyle name="Warning Text 4 2" xfId="704"/>
    <cellStyle name="Warning Text 5" xfId="705"/>
    <cellStyle name="Warning Text 6" xfId="706"/>
    <cellStyle name="Warning Text 7" xfId="707"/>
    <cellStyle name="Обычный 10" xfId="708"/>
    <cellStyle name="Обычный 11" xfId="709"/>
    <cellStyle name="Обычный 2" xfId="710"/>
    <cellStyle name="Обычный 2 2" xfId="711"/>
    <cellStyle name="Обычный 3" xfId="712"/>
    <cellStyle name="Обычный 3 2" xfId="713"/>
    <cellStyle name="Обычный 3 3" xfId="714"/>
    <cellStyle name="Обычный 4" xfId="715"/>
    <cellStyle name="Обычный 4 2" xfId="716"/>
    <cellStyle name="Обычный 4 3" xfId="717"/>
    <cellStyle name="Обычный 4_პუშკინის 13" xfId="718"/>
    <cellStyle name="Обычный 5" xfId="719"/>
    <cellStyle name="Обычный 5 2" xfId="720"/>
    <cellStyle name="Обычный 5 2 2" xfId="721"/>
    <cellStyle name="Обычный 5 3" xfId="722"/>
    <cellStyle name="Обычный 6" xfId="723"/>
    <cellStyle name="Обычный 7" xfId="724"/>
    <cellStyle name="Обычный 8" xfId="725"/>
    <cellStyle name="Обычный 9" xfId="726"/>
    <cellStyle name="Процентный 2" xfId="727"/>
    <cellStyle name="Процентный 3" xfId="728"/>
    <cellStyle name="Процентный 3 2" xfId="729"/>
    <cellStyle name="Финансовый 2" xfId="730"/>
    <cellStyle name="Финансовый 3" xfId="731"/>
    <cellStyle name="Финансовый 4" xfId="732"/>
    <cellStyle name="Финансовый 4 2" xfId="733"/>
    <cellStyle name="Финансовый 5" xfId="7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7" name="Text Box 6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8" name="Text Box 69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29" name="Text Box 70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0" name="Text Box 71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1" name="Text Box 7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2" name="Text Box 73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3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4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5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6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7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8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39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0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1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2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3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4" name="Text Box 3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5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6" name="Text Box 76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7" name="Text Box 77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8" name="Text Box 78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49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50" name="Text Box 2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51" name="Text Box 46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76200" cy="28575"/>
    <xdr:sp fLocksText="0">
      <xdr:nvSpPr>
        <xdr:cNvPr id="52" name="Text Box 43"/>
        <xdr:cNvSpPr txBox="1">
          <a:spLocks noChangeArrowheads="1"/>
        </xdr:cNvSpPr>
      </xdr:nvSpPr>
      <xdr:spPr>
        <a:xfrm>
          <a:off x="3038475" y="229743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2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3" name="Text Box 54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4" name="Text Box 5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5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6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7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8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9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0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2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3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4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6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7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8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9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20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2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22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23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24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2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26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71450"/>
    <xdr:sp fLocksText="0">
      <xdr:nvSpPr>
        <xdr:cNvPr id="27" name="Text Box 5"/>
        <xdr:cNvSpPr txBox="1">
          <a:spLocks noChangeArrowheads="1"/>
        </xdr:cNvSpPr>
      </xdr:nvSpPr>
      <xdr:spPr>
        <a:xfrm>
          <a:off x="4257675" y="8039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28" name="Text Box 40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29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47650"/>
    <xdr:sp fLocksText="0">
      <xdr:nvSpPr>
        <xdr:cNvPr id="30" name="Text Box 38"/>
        <xdr:cNvSpPr txBox="1">
          <a:spLocks noChangeArrowheads="1"/>
        </xdr:cNvSpPr>
      </xdr:nvSpPr>
      <xdr:spPr>
        <a:xfrm>
          <a:off x="4257675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52400"/>
    <xdr:sp fLocksText="0">
      <xdr:nvSpPr>
        <xdr:cNvPr id="31" name="Text Box 54"/>
        <xdr:cNvSpPr txBox="1">
          <a:spLocks noChangeArrowheads="1"/>
        </xdr:cNvSpPr>
      </xdr:nvSpPr>
      <xdr:spPr>
        <a:xfrm>
          <a:off x="4257675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52400"/>
    <xdr:sp fLocksText="0">
      <xdr:nvSpPr>
        <xdr:cNvPr id="32" name="Text Box 55"/>
        <xdr:cNvSpPr txBox="1">
          <a:spLocks noChangeArrowheads="1"/>
        </xdr:cNvSpPr>
      </xdr:nvSpPr>
      <xdr:spPr>
        <a:xfrm>
          <a:off x="4257675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33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47650"/>
    <xdr:sp fLocksText="0">
      <xdr:nvSpPr>
        <xdr:cNvPr id="34" name="Text Box 38"/>
        <xdr:cNvSpPr txBox="1">
          <a:spLocks noChangeArrowheads="1"/>
        </xdr:cNvSpPr>
      </xdr:nvSpPr>
      <xdr:spPr>
        <a:xfrm>
          <a:off x="4257675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36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39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40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41" name="Text Box 54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42" name="Text Box 55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43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44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45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46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47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48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49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50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51" name="Text Box 54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52" name="Text Box 55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53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54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55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56" name="Text Box 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57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58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59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60" name="Text Box 54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61" name="Text Box 5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62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63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64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65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66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67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68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69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70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71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72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73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74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75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76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77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78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79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80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81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82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83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4257675" y="8039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85" name="Text Box 40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86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47650"/>
    <xdr:sp fLocksText="0">
      <xdr:nvSpPr>
        <xdr:cNvPr id="87" name="Text Box 38"/>
        <xdr:cNvSpPr txBox="1">
          <a:spLocks noChangeArrowheads="1"/>
        </xdr:cNvSpPr>
      </xdr:nvSpPr>
      <xdr:spPr>
        <a:xfrm>
          <a:off x="4257675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52400"/>
    <xdr:sp fLocksText="0">
      <xdr:nvSpPr>
        <xdr:cNvPr id="88" name="Text Box 54"/>
        <xdr:cNvSpPr txBox="1">
          <a:spLocks noChangeArrowheads="1"/>
        </xdr:cNvSpPr>
      </xdr:nvSpPr>
      <xdr:spPr>
        <a:xfrm>
          <a:off x="4257675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52400"/>
    <xdr:sp fLocksText="0">
      <xdr:nvSpPr>
        <xdr:cNvPr id="89" name="Text Box 55"/>
        <xdr:cNvSpPr txBox="1">
          <a:spLocks noChangeArrowheads="1"/>
        </xdr:cNvSpPr>
      </xdr:nvSpPr>
      <xdr:spPr>
        <a:xfrm>
          <a:off x="4257675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90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47650"/>
    <xdr:sp fLocksText="0">
      <xdr:nvSpPr>
        <xdr:cNvPr id="91" name="Text Box 38"/>
        <xdr:cNvSpPr txBox="1">
          <a:spLocks noChangeArrowheads="1"/>
        </xdr:cNvSpPr>
      </xdr:nvSpPr>
      <xdr:spPr>
        <a:xfrm>
          <a:off x="4257675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92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93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94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9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96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97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98" name="Text Box 54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99" name="Text Box 55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100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0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102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03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104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0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106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07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108" name="Text Box 54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33350"/>
    <xdr:sp fLocksText="0">
      <xdr:nvSpPr>
        <xdr:cNvPr id="109" name="Text Box 55"/>
        <xdr:cNvSpPr txBox="1">
          <a:spLocks noChangeArrowheads="1"/>
        </xdr:cNvSpPr>
      </xdr:nvSpPr>
      <xdr:spPr>
        <a:xfrm>
          <a:off x="4257675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09550"/>
    <xdr:sp fLocksText="0">
      <xdr:nvSpPr>
        <xdr:cNvPr id="110" name="Text Box 38"/>
        <xdr:cNvSpPr txBox="1">
          <a:spLocks noChangeArrowheads="1"/>
        </xdr:cNvSpPr>
      </xdr:nvSpPr>
      <xdr:spPr>
        <a:xfrm>
          <a:off x="4257675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1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12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113" name="Text Box 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14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15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116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117" name="Text Box 54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118" name="Text Box 5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19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66700"/>
    <xdr:sp fLocksText="0">
      <xdr:nvSpPr>
        <xdr:cNvPr id="120" name="Text Box 38"/>
        <xdr:cNvSpPr txBox="1">
          <a:spLocks noChangeArrowheads="1"/>
        </xdr:cNvSpPr>
      </xdr:nvSpPr>
      <xdr:spPr>
        <a:xfrm>
          <a:off x="4257675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2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22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23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24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2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26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27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28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29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30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31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32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33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34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35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36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37" name="Text Box 54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61925"/>
    <xdr:sp fLocksText="0">
      <xdr:nvSpPr>
        <xdr:cNvPr id="138" name="Text Box 55"/>
        <xdr:cNvSpPr txBox="1">
          <a:spLocks noChangeArrowheads="1"/>
        </xdr:cNvSpPr>
      </xdr:nvSpPr>
      <xdr:spPr>
        <a:xfrm>
          <a:off x="4257675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39" name="Text Box 38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57175"/>
    <xdr:sp fLocksText="0">
      <xdr:nvSpPr>
        <xdr:cNvPr id="140" name="Text Box 38"/>
        <xdr:cNvSpPr txBox="1">
          <a:spLocks noChangeArrowheads="1"/>
        </xdr:cNvSpPr>
      </xdr:nvSpPr>
      <xdr:spPr>
        <a:xfrm>
          <a:off x="4257675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41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142" name="Text Box 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43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180975"/>
    <xdr:sp fLocksText="0">
      <xdr:nvSpPr>
        <xdr:cNvPr id="144" name="Text Box 5"/>
        <xdr:cNvSpPr txBox="1">
          <a:spLocks noChangeArrowheads="1"/>
        </xdr:cNvSpPr>
      </xdr:nvSpPr>
      <xdr:spPr>
        <a:xfrm>
          <a:off x="4257675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200</xdr:row>
      <xdr:rowOff>0</xdr:rowOff>
    </xdr:from>
    <xdr:ext cx="76200" cy="228600"/>
    <xdr:sp fLocksText="0">
      <xdr:nvSpPr>
        <xdr:cNvPr id="145" name="Text Box 40"/>
        <xdr:cNvSpPr txBox="1">
          <a:spLocks noChangeArrowheads="1"/>
        </xdr:cNvSpPr>
      </xdr:nvSpPr>
      <xdr:spPr>
        <a:xfrm>
          <a:off x="4257675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46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147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148" name="Text Box 54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149" name="Text Box 5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50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151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52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53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54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55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5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57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158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159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6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61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62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63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64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65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6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67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168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169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7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171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71450"/>
    <xdr:sp fLocksText="0">
      <xdr:nvSpPr>
        <xdr:cNvPr id="172" name="Text Box 5"/>
        <xdr:cNvSpPr txBox="1">
          <a:spLocks noChangeArrowheads="1"/>
        </xdr:cNvSpPr>
      </xdr:nvSpPr>
      <xdr:spPr>
        <a:xfrm>
          <a:off x="3600450" y="8039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73" name="Text Box 40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74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47650"/>
    <xdr:sp fLocksText="0">
      <xdr:nvSpPr>
        <xdr:cNvPr id="175" name="Text Box 38"/>
        <xdr:cNvSpPr txBox="1">
          <a:spLocks noChangeArrowheads="1"/>
        </xdr:cNvSpPr>
      </xdr:nvSpPr>
      <xdr:spPr>
        <a:xfrm>
          <a:off x="3600450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52400"/>
    <xdr:sp fLocksText="0">
      <xdr:nvSpPr>
        <xdr:cNvPr id="176" name="Text Box 54"/>
        <xdr:cNvSpPr txBox="1">
          <a:spLocks noChangeArrowheads="1"/>
        </xdr:cNvSpPr>
      </xdr:nvSpPr>
      <xdr:spPr>
        <a:xfrm>
          <a:off x="3600450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52400"/>
    <xdr:sp fLocksText="0">
      <xdr:nvSpPr>
        <xdr:cNvPr id="177" name="Text Box 55"/>
        <xdr:cNvSpPr txBox="1">
          <a:spLocks noChangeArrowheads="1"/>
        </xdr:cNvSpPr>
      </xdr:nvSpPr>
      <xdr:spPr>
        <a:xfrm>
          <a:off x="3600450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78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47650"/>
    <xdr:sp fLocksText="0">
      <xdr:nvSpPr>
        <xdr:cNvPr id="179" name="Text Box 38"/>
        <xdr:cNvSpPr txBox="1">
          <a:spLocks noChangeArrowheads="1"/>
        </xdr:cNvSpPr>
      </xdr:nvSpPr>
      <xdr:spPr>
        <a:xfrm>
          <a:off x="3600450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80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81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82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83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84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85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186" name="Text Box 54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187" name="Text Box 55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89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90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91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92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93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94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95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196" name="Text Box 54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197" name="Text Box 55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198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199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00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01" name="Text Box 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02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03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204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05" name="Text Box 54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06" name="Text Box 5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07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208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09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10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11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12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13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14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15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16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17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18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19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20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21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22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23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24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25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26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27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28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71450"/>
    <xdr:sp fLocksText="0">
      <xdr:nvSpPr>
        <xdr:cNvPr id="229" name="Text Box 5"/>
        <xdr:cNvSpPr txBox="1">
          <a:spLocks noChangeArrowheads="1"/>
        </xdr:cNvSpPr>
      </xdr:nvSpPr>
      <xdr:spPr>
        <a:xfrm>
          <a:off x="3600450" y="80391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30" name="Text Box 40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31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47650"/>
    <xdr:sp fLocksText="0">
      <xdr:nvSpPr>
        <xdr:cNvPr id="232" name="Text Box 38"/>
        <xdr:cNvSpPr txBox="1">
          <a:spLocks noChangeArrowheads="1"/>
        </xdr:cNvSpPr>
      </xdr:nvSpPr>
      <xdr:spPr>
        <a:xfrm>
          <a:off x="3600450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52400"/>
    <xdr:sp fLocksText="0">
      <xdr:nvSpPr>
        <xdr:cNvPr id="233" name="Text Box 54"/>
        <xdr:cNvSpPr txBox="1">
          <a:spLocks noChangeArrowheads="1"/>
        </xdr:cNvSpPr>
      </xdr:nvSpPr>
      <xdr:spPr>
        <a:xfrm>
          <a:off x="3600450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52400"/>
    <xdr:sp fLocksText="0">
      <xdr:nvSpPr>
        <xdr:cNvPr id="234" name="Text Box 55"/>
        <xdr:cNvSpPr txBox="1">
          <a:spLocks noChangeArrowheads="1"/>
        </xdr:cNvSpPr>
      </xdr:nvSpPr>
      <xdr:spPr>
        <a:xfrm>
          <a:off x="3600450" y="80391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35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47650"/>
    <xdr:sp fLocksText="0">
      <xdr:nvSpPr>
        <xdr:cNvPr id="236" name="Text Box 38"/>
        <xdr:cNvSpPr txBox="1">
          <a:spLocks noChangeArrowheads="1"/>
        </xdr:cNvSpPr>
      </xdr:nvSpPr>
      <xdr:spPr>
        <a:xfrm>
          <a:off x="3600450" y="80391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37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38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39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4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41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42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243" name="Text Box 54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244" name="Text Box 55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45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4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47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48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49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5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51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52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253" name="Text Box 54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33350"/>
    <xdr:sp fLocksText="0">
      <xdr:nvSpPr>
        <xdr:cNvPr id="254" name="Text Box 55"/>
        <xdr:cNvSpPr txBox="1">
          <a:spLocks noChangeArrowheads="1"/>
        </xdr:cNvSpPr>
      </xdr:nvSpPr>
      <xdr:spPr>
        <a:xfrm>
          <a:off x="3600450" y="803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09550"/>
    <xdr:sp fLocksText="0">
      <xdr:nvSpPr>
        <xdr:cNvPr id="255" name="Text Box 38"/>
        <xdr:cNvSpPr txBox="1">
          <a:spLocks noChangeArrowheads="1"/>
        </xdr:cNvSpPr>
      </xdr:nvSpPr>
      <xdr:spPr>
        <a:xfrm>
          <a:off x="3600450" y="803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5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57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58" name="Text Box 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59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60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261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62" name="Text Box 54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63" name="Text Box 5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64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66700"/>
    <xdr:sp fLocksText="0">
      <xdr:nvSpPr>
        <xdr:cNvPr id="265" name="Text Box 38"/>
        <xdr:cNvSpPr txBox="1">
          <a:spLocks noChangeArrowheads="1"/>
        </xdr:cNvSpPr>
      </xdr:nvSpPr>
      <xdr:spPr>
        <a:xfrm>
          <a:off x="3600450" y="80391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6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67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68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69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7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71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72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73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74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75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76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77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78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79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80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81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82" name="Text Box 54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61925"/>
    <xdr:sp fLocksText="0">
      <xdr:nvSpPr>
        <xdr:cNvPr id="283" name="Text Box 55"/>
        <xdr:cNvSpPr txBox="1">
          <a:spLocks noChangeArrowheads="1"/>
        </xdr:cNvSpPr>
      </xdr:nvSpPr>
      <xdr:spPr>
        <a:xfrm>
          <a:off x="3600450" y="80391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84" name="Text Box 38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57175"/>
    <xdr:sp fLocksText="0">
      <xdr:nvSpPr>
        <xdr:cNvPr id="285" name="Text Box 38"/>
        <xdr:cNvSpPr txBox="1">
          <a:spLocks noChangeArrowheads="1"/>
        </xdr:cNvSpPr>
      </xdr:nvSpPr>
      <xdr:spPr>
        <a:xfrm>
          <a:off x="3600450" y="803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86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87" name="Text Box 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88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180975"/>
    <xdr:sp fLocksText="0">
      <xdr:nvSpPr>
        <xdr:cNvPr id="289" name="Text Box 5"/>
        <xdr:cNvSpPr txBox="1">
          <a:spLocks noChangeArrowheads="1"/>
        </xdr:cNvSpPr>
      </xdr:nvSpPr>
      <xdr:spPr>
        <a:xfrm>
          <a:off x="3600450" y="80391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200</xdr:row>
      <xdr:rowOff>0</xdr:rowOff>
    </xdr:from>
    <xdr:ext cx="76200" cy="228600"/>
    <xdr:sp fLocksText="0">
      <xdr:nvSpPr>
        <xdr:cNvPr id="290" name="Text Box 40"/>
        <xdr:cNvSpPr txBox="1">
          <a:spLocks noChangeArrowheads="1"/>
        </xdr:cNvSpPr>
      </xdr:nvSpPr>
      <xdr:spPr>
        <a:xfrm>
          <a:off x="3600450" y="80391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4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5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7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38" name="Text Box 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2276475</xdr:colOff>
      <xdr:row>273</xdr:row>
      <xdr:rowOff>47625</xdr:rowOff>
    </xdr:from>
    <xdr:to>
      <xdr:col>7</xdr:col>
      <xdr:colOff>685800</xdr:colOff>
      <xdr:row>273</xdr:row>
      <xdr:rowOff>47625</xdr:rowOff>
    </xdr:to>
    <xdr:pic>
      <xdr:nvPicPr>
        <xdr:cNvPr id="39" name="Рисунок 39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252585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0" name="Text Box 6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1" name="Text Box 69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2" name="Text Box 70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3" name="Text Box 71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4" name="Text Box 7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5" name="Text Box 7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6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49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0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1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2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3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4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5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6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59" name="Text Box 7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0" name="Text Box 77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1" name="Text Box 7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4" name="Text Box 4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5" name="Text Box 4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6" name="Text Box 6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7" name="Text Box 69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8" name="Text Box 70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69" name="Text Box 71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0" name="Text Box 7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1" name="Text Box 7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2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3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4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5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6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79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0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1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2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3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5" name="Text Box 7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6" name="Text Box 77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7" name="Text Box 7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0" name="Text Box 4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1" name="Text Box 4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2" name="Text Box 6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3" name="Text Box 69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4" name="Text Box 70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5" name="Text Box 71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6" name="Text Box 7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7" name="Text Box 7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99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0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1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2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3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4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5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6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7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8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09" name="Text Box 3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1" name="Text Box 7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2" name="Text Box 77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3" name="Text Box 78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4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5" name="Text Box 2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6" name="Text Box 46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76200" cy="28575"/>
    <xdr:sp fLocksText="0">
      <xdr:nvSpPr>
        <xdr:cNvPr id="117" name="Text Box 43"/>
        <xdr:cNvSpPr txBox="1">
          <a:spLocks noChangeArrowheads="1"/>
        </xdr:cNvSpPr>
      </xdr:nvSpPr>
      <xdr:spPr>
        <a:xfrm>
          <a:off x="3676650" y="32813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18" name="Text Box 6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19" name="Text Box 69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0" name="Text Box 70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1" name="Text Box 71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2" name="Text Box 7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3" name="Text Box 7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6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7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8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29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0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1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2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3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7" name="Text Box 7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8" name="Text Box 77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39" name="Text Box 7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41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42" name="Text Box 4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43" name="Text Box 4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5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6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49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1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2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4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318</xdr:row>
      <xdr:rowOff>0</xdr:rowOff>
    </xdr:from>
    <xdr:ext cx="76200" cy="28575"/>
    <xdr:sp fLocksText="0">
      <xdr:nvSpPr>
        <xdr:cNvPr id="155" name="Text Box 3"/>
        <xdr:cNvSpPr txBox="1">
          <a:spLocks noChangeArrowheads="1"/>
        </xdr:cNvSpPr>
      </xdr:nvSpPr>
      <xdr:spPr>
        <a:xfrm>
          <a:off x="3676650" y="105984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56" name="Text Box 6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57" name="Text Box 69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58" name="Text Box 70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59" name="Text Box 71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0" name="Text Box 7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1" name="Text Box 7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2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3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6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7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8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69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0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1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2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3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5" name="Text Box 7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6" name="Text Box 77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7" name="Text Box 7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8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0" name="Text Box 4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1" name="Text Box 4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2" name="Text Box 6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3" name="Text Box 69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4" name="Text Box 70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5" name="Text Box 71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6" name="Text Box 7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7" name="Text Box 7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8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89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0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1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2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3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6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7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8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199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0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1" name="Text Box 7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2" name="Text Box 77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3" name="Text Box 7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4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5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6" name="Text Box 4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7" name="Text Box 4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8" name="Text Box 6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09" name="Text Box 69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0" name="Text Box 70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1" name="Text Box 71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2" name="Text Box 7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3" name="Text Box 7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6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7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8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19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0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1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2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3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4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5" name="Text Box 3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7" name="Text Box 7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8" name="Text Box 77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29" name="Text Box 78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30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31" name="Text Box 2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32" name="Text Box 46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315</xdr:row>
      <xdr:rowOff>0</xdr:rowOff>
    </xdr:from>
    <xdr:ext cx="76200" cy="28575"/>
    <xdr:sp fLocksText="0">
      <xdr:nvSpPr>
        <xdr:cNvPr id="233" name="Text Box 43"/>
        <xdr:cNvSpPr txBox="1">
          <a:spLocks noChangeArrowheads="1"/>
        </xdr:cNvSpPr>
      </xdr:nvSpPr>
      <xdr:spPr>
        <a:xfrm>
          <a:off x="3676650" y="1054036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4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5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7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38" name="Text Box 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2276475</xdr:colOff>
      <xdr:row>130</xdr:row>
      <xdr:rowOff>38100</xdr:rowOff>
    </xdr:from>
    <xdr:to>
      <xdr:col>7</xdr:col>
      <xdr:colOff>95250</xdr:colOff>
      <xdr:row>130</xdr:row>
      <xdr:rowOff>38100</xdr:rowOff>
    </xdr:to>
    <xdr:pic>
      <xdr:nvPicPr>
        <xdr:cNvPr id="39" name="Рисунок 39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2395775"/>
          <a:ext cx="2867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0" name="Text Box 6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1" name="Text Box 69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2" name="Text Box 70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3" name="Text Box 71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4" name="Text Box 7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5" name="Text Box 7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6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49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0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1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2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3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4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5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6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8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59" name="Text Box 7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0" name="Text Box 77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1" name="Text Box 7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4" name="Text Box 4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5" name="Text Box 4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6" name="Text Box 6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7" name="Text Box 69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8" name="Text Box 70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69" name="Text Box 71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0" name="Text Box 7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1" name="Text Box 7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2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3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4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5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6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79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0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1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2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3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4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5" name="Text Box 7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6" name="Text Box 77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7" name="Text Box 7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89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0" name="Text Box 4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1" name="Text Box 4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2" name="Text Box 6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3" name="Text Box 69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4" name="Text Box 70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5" name="Text Box 71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6" name="Text Box 7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7" name="Text Box 7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99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0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1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2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3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4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5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6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7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8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09" name="Text Box 3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0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1" name="Text Box 7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2" name="Text Box 77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3" name="Text Box 78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4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5" name="Text Box 2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6" name="Text Box 46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28575"/>
    <xdr:sp fLocksText="0">
      <xdr:nvSpPr>
        <xdr:cNvPr id="117" name="Text Box 43"/>
        <xdr:cNvSpPr txBox="1">
          <a:spLocks noChangeArrowheads="1"/>
        </xdr:cNvSpPr>
      </xdr:nvSpPr>
      <xdr:spPr>
        <a:xfrm>
          <a:off x="3676650" y="29460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18" name="Text Box 6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19" name="Text Box 69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0" name="Text Box 70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1" name="Text Box 71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2" name="Text Box 72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3" name="Text Box 73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4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5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6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7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8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29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0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1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2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3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4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5" name="Text Box 3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7" name="Text Box 76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8" name="Text Box 77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39" name="Text Box 78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41" name="Text Box 2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42" name="Text Box 46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6200" cy="28575"/>
    <xdr:sp fLocksText="0">
      <xdr:nvSpPr>
        <xdr:cNvPr id="143" name="Text Box 43"/>
        <xdr:cNvSpPr txBox="1">
          <a:spLocks noChangeArrowheads="1"/>
        </xdr:cNvSpPr>
      </xdr:nvSpPr>
      <xdr:spPr>
        <a:xfrm>
          <a:off x="3676650" y="30165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4" name="Text Box 6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5" name="Text Box 69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6" name="Text Box 70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7" name="Text Box 71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8" name="Text Box 72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49" name="Text Box 73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0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1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2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3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4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5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6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7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8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59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0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1" name="Text Box 3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3" name="Text Box 76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4" name="Text Box 77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5" name="Text Box 78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6" name="Text Box 2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8" name="Text Box 46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110</xdr:row>
      <xdr:rowOff>0</xdr:rowOff>
    </xdr:from>
    <xdr:ext cx="76200" cy="28575"/>
    <xdr:sp fLocksText="0">
      <xdr:nvSpPr>
        <xdr:cNvPr id="169" name="Text Box 43"/>
        <xdr:cNvSpPr txBox="1">
          <a:spLocks noChangeArrowheads="1"/>
        </xdr:cNvSpPr>
      </xdr:nvSpPr>
      <xdr:spPr>
        <a:xfrm>
          <a:off x="3676650" y="3692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0" name="Text Box 6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1" name="Text Box 69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2" name="Text Box 70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3" name="Text Box 71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4" name="Text Box 72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5" name="Text Box 73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6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7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8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79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0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1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2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3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4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5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6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7" name="Text Box 3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8" name="Text Box 2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89" name="Text Box 76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0" name="Text Box 77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1" name="Text Box 78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2" name="Text Box 2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3" name="Text Box 2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4" name="Text Box 46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76200" cy="28575"/>
    <xdr:sp fLocksText="0">
      <xdr:nvSpPr>
        <xdr:cNvPr id="195" name="Text Box 43"/>
        <xdr:cNvSpPr txBox="1">
          <a:spLocks noChangeArrowheads="1"/>
        </xdr:cNvSpPr>
      </xdr:nvSpPr>
      <xdr:spPr>
        <a:xfrm>
          <a:off x="3676650" y="383381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96" name="Text Box 6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97" name="Text Box 69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98" name="Text Box 70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99" name="Text Box 71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0" name="Text Box 7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1" name="Text Box 7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4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5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6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7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8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09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0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1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4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5" name="Text Box 7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6" name="Text Box 77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7" name="Text Box 7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8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19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20" name="Text Box 4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21" name="Text Box 4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2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3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4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5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6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7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8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29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31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32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3676650" y="419766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4" name="Text Box 6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5" name="Text Box 69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6" name="Text Box 70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7" name="Text Box 71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8" name="Text Box 7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39" name="Text Box 7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0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1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4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5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6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7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8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49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0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1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2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3" name="Text Box 7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4" name="Text Box 77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5" name="Text Box 7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6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7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8" name="Text Box 4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59" name="Text Box 4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0" name="Text Box 6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1" name="Text Box 69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2" name="Text Box 70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3" name="Text Box 71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4" name="Text Box 7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5" name="Text Box 7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6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7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8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69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0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1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4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5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6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7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79" name="Text Box 7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0" name="Text Box 77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1" name="Text Box 7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3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4" name="Text Box 4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5" name="Text Box 4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6" name="Text Box 6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7" name="Text Box 69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8" name="Text Box 70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89" name="Text Box 71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0" name="Text Box 7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1" name="Text Box 7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4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5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6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7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8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299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0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1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2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3" name="Text Box 3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4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5" name="Text Box 7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6" name="Text Box 77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7" name="Text Box 78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8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09" name="Text Box 2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10" name="Text Box 46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311" name="Text Box 43"/>
        <xdr:cNvSpPr txBox="1">
          <a:spLocks noChangeArrowheads="1"/>
        </xdr:cNvSpPr>
      </xdr:nvSpPr>
      <xdr:spPr>
        <a:xfrm>
          <a:off x="3676650" y="414051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" name="Text Box 6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" name="Text Box 69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" name="Text Box 70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" name="Text Box 71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" name="Text Box 7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" name="Text Box 7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2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3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4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5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6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9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0" name="Text Box 7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1" name="Text Box 77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2" name="Text Box 7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7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29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0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1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3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4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5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7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8" name="Text Box 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39" name="Text Box 6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0" name="Text Box 69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1" name="Text Box 70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2" name="Text Box 71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3" name="Text Box 7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4" name="Text Box 7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5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6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49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0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1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2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3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4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5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6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7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8" name="Text Box 7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59" name="Text Box 77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0" name="Text Box 7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1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2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5" name="Text Box 6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6" name="Text Box 69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7" name="Text Box 70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8" name="Text Box 71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69" name="Text Box 7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0" name="Text Box 7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1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2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3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4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5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6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79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0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1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2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3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4" name="Text Box 7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5" name="Text Box 77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6" name="Text Box 7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7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8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89" name="Text Box 4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0" name="Text Box 4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1" name="Text Box 6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2" name="Text Box 69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3" name="Text Box 70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4" name="Text Box 71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5" name="Text Box 7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6" name="Text Box 7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99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0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1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2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3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4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5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6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7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8" name="Text Box 3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09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0" name="Text Box 7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1" name="Text Box 77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2" name="Text Box 78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3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4" name="Text Box 2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5" name="Text Box 46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8575"/>
    <xdr:sp fLocksText="0">
      <xdr:nvSpPr>
        <xdr:cNvPr id="116" name="Text Box 43"/>
        <xdr:cNvSpPr txBox="1">
          <a:spLocks noChangeArrowheads="1"/>
        </xdr:cNvSpPr>
      </xdr:nvSpPr>
      <xdr:spPr>
        <a:xfrm>
          <a:off x="3562350" y="1104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17" name="Text Box 6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18" name="Text Box 69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19" name="Text Box 70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0" name="Text Box 71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1" name="Text Box 7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2" name="Text Box 73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3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4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5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6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7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8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29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0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1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2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3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4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5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6" name="Text Box 76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7" name="Text Box 77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8" name="Text Box 7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39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40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41" name="Text Box 46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42" name="Text Box 43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3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5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6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2133600</xdr:colOff>
      <xdr:row>126</xdr:row>
      <xdr:rowOff>114300</xdr:rowOff>
    </xdr:from>
    <xdr:to>
      <xdr:col>2</xdr:col>
      <xdr:colOff>2133600</xdr:colOff>
      <xdr:row>126</xdr:row>
      <xdr:rowOff>161925</xdr:rowOff>
    </xdr:to>
    <xdr:pic>
      <xdr:nvPicPr>
        <xdr:cNvPr id="149" name="Рисунок 1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10051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0" name="Text Box 6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1" name="Text Box 69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2" name="Text Box 70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3" name="Text Box 71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4" name="Text Box 7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5" name="Text Box 73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6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7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8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59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0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1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2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3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4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5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6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7" name="Text Box 3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8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69" name="Text Box 76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0" name="Text Box 77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1" name="Text Box 78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2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3" name="Text Box 2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4" name="Text Box 46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9050"/>
    <xdr:sp fLocksText="0">
      <xdr:nvSpPr>
        <xdr:cNvPr id="175" name="Text Box 43"/>
        <xdr:cNvSpPr txBox="1">
          <a:spLocks noChangeArrowheads="1"/>
        </xdr:cNvSpPr>
      </xdr:nvSpPr>
      <xdr:spPr>
        <a:xfrm>
          <a:off x="3562350" y="30289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76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78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79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6200" cy="28575"/>
    <xdr:sp fLocksText="0">
      <xdr:nvSpPr>
        <xdr:cNvPr id="181" name="Text Box 3"/>
        <xdr:cNvSpPr txBox="1">
          <a:spLocks noChangeArrowheads="1"/>
        </xdr:cNvSpPr>
      </xdr:nvSpPr>
      <xdr:spPr>
        <a:xfrm>
          <a:off x="3562350" y="407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2133600</xdr:colOff>
      <xdr:row>127</xdr:row>
      <xdr:rowOff>0</xdr:rowOff>
    </xdr:from>
    <xdr:to>
      <xdr:col>2</xdr:col>
      <xdr:colOff>2133600</xdr:colOff>
      <xdr:row>128</xdr:row>
      <xdr:rowOff>161925</xdr:rowOff>
    </xdr:to>
    <xdr:pic>
      <xdr:nvPicPr>
        <xdr:cNvPr id="182" name="Рисунок 1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10527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2133600</xdr:colOff>
      <xdr:row>128</xdr:row>
      <xdr:rowOff>0</xdr:rowOff>
    </xdr:from>
    <xdr:to>
      <xdr:col>2</xdr:col>
      <xdr:colOff>2133600</xdr:colOff>
      <xdr:row>128</xdr:row>
      <xdr:rowOff>47625</xdr:rowOff>
    </xdr:to>
    <xdr:pic>
      <xdr:nvPicPr>
        <xdr:cNvPr id="183" name="Рисунок 1" descr="vitali nazarovi xelmo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123372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4" name="Text Box 6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5" name="Text Box 69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6" name="Text Box 70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7" name="Text Box 71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8" name="Text Box 7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89" name="Text Box 7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0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1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2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3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4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5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6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7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8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199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0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1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2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3" name="Text Box 76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4" name="Text Box 77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5" name="Text Box 7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6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7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8" name="Text Box 46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09" name="Text Box 4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0" name="Text Box 6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1" name="Text Box 69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2" name="Text Box 70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3" name="Text Box 71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4" name="Text Box 7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5" name="Text Box 7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6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7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8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19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0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1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2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3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4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5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6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7" name="Text Box 3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8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29" name="Text Box 76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0" name="Text Box 77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1" name="Text Box 78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3" name="Text Box 2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4" name="Text Box 46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76200" cy="28575"/>
    <xdr:sp fLocksText="0">
      <xdr:nvSpPr>
        <xdr:cNvPr id="235" name="Text Box 43"/>
        <xdr:cNvSpPr txBox="1">
          <a:spLocks noChangeArrowheads="1"/>
        </xdr:cNvSpPr>
      </xdr:nvSpPr>
      <xdr:spPr>
        <a:xfrm>
          <a:off x="3562350" y="400335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36" name="Text Box 6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37" name="Text Box 69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38" name="Text Box 70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39" name="Text Box 71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0" name="Text Box 7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1" name="Text Box 73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2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3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4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5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6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7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8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49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0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1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2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3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4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5" name="Text Box 76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6" name="Text Box 77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7" name="Text Box 7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8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59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0" name="Text Box 46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1" name="Text Box 43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2" name="Text Box 6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3" name="Text Box 69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4" name="Text Box 70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5" name="Text Box 71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6" name="Text Box 7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7" name="Text Box 73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8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69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0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1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2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3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4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5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6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7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8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9" name="Text Box 3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0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1" name="Text Box 76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2" name="Text Box 77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3" name="Text Box 78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4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5" name="Text Box 2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6" name="Text Box 46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7" name="Text Box 43"/>
        <xdr:cNvSpPr txBox="1">
          <a:spLocks noChangeArrowheads="1"/>
        </xdr:cNvSpPr>
      </xdr:nvSpPr>
      <xdr:spPr>
        <a:xfrm>
          <a:off x="3562350" y="145256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88" name="Text Box 6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89" name="Text Box 69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0" name="Text Box 70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1" name="Text Box 71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2" name="Text Box 7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3" name="Text Box 73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4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5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6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7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8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299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0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1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2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3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4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5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6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7" name="Text Box 76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8" name="Text Box 77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09" name="Text Box 7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0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2" name="Text Box 46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3" name="Text Box 43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4" name="Text Box 6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5" name="Text Box 69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6" name="Text Box 70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7" name="Text Box 71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8" name="Text Box 7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19" name="Text Box 73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0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1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2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3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4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5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6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7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8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29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0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1" name="Text Box 3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2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3" name="Text Box 76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4" name="Text Box 77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5" name="Text Box 78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6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8" name="Text Box 46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76200" cy="28575"/>
    <xdr:sp fLocksText="0">
      <xdr:nvSpPr>
        <xdr:cNvPr id="339" name="Text Box 43"/>
        <xdr:cNvSpPr txBox="1">
          <a:spLocks noChangeArrowheads="1"/>
        </xdr:cNvSpPr>
      </xdr:nvSpPr>
      <xdr:spPr>
        <a:xfrm>
          <a:off x="3562350" y="255651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0" name="Text Box 6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1" name="Text Box 69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2" name="Text Box 70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3" name="Text Box 71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4" name="Text Box 7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5" name="Text Box 73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6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7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8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49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0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1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2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3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4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5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6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7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8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59" name="Text Box 76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0" name="Text Box 77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1" name="Text Box 7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2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3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4" name="Text Box 46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5" name="Text Box 43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6" name="Text Box 6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7" name="Text Box 69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8" name="Text Box 70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69" name="Text Box 71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0" name="Text Box 7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1" name="Text Box 73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2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3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4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5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6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7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8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79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0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1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2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3" name="Text Box 3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4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5" name="Text Box 76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6" name="Text Box 77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7" name="Text Box 78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8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89" name="Text Box 2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90" name="Text Box 46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76200" cy="19050"/>
    <xdr:sp fLocksText="0">
      <xdr:nvSpPr>
        <xdr:cNvPr id="391" name="Text Box 43"/>
        <xdr:cNvSpPr txBox="1">
          <a:spLocks noChangeArrowheads="1"/>
        </xdr:cNvSpPr>
      </xdr:nvSpPr>
      <xdr:spPr>
        <a:xfrm>
          <a:off x="3562350" y="294132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Normal="120" zoomScaleSheetLayoutView="100" zoomScalePageLayoutView="0" workbookViewId="0" topLeftCell="A4">
      <selection activeCell="C7" sqref="C7"/>
    </sheetView>
  </sheetViews>
  <sheetFormatPr defaultColWidth="8.8515625" defaultRowHeight="15"/>
  <cols>
    <col min="1" max="1" width="9.28125" style="880" bestFit="1" customWidth="1"/>
    <col min="2" max="2" width="44.57421875" style="880" customWidth="1"/>
    <col min="3" max="3" width="8.8515625" style="880" customWidth="1"/>
    <col min="4" max="4" width="28.57421875" style="880" customWidth="1"/>
    <col min="5" max="16384" width="8.8515625" style="872" customWidth="1"/>
  </cols>
  <sheetData>
    <row r="1" spans="1:5" ht="108.75" customHeight="1">
      <c r="A1" s="1054" t="s">
        <v>1217</v>
      </c>
      <c r="B1" s="1055"/>
      <c r="C1" s="1055"/>
      <c r="D1" s="1055"/>
      <c r="E1" s="871"/>
    </row>
    <row r="2" spans="1:4" ht="19.5" customHeight="1">
      <c r="A2" s="1056" t="s">
        <v>1221</v>
      </c>
      <c r="B2" s="1056"/>
      <c r="C2" s="1056"/>
      <c r="D2" s="1056"/>
    </row>
    <row r="3" spans="1:4" ht="32.25" customHeight="1">
      <c r="A3" s="873" t="s">
        <v>1</v>
      </c>
      <c r="B3" s="874" t="s">
        <v>59</v>
      </c>
      <c r="C3" s="874" t="s">
        <v>60</v>
      </c>
      <c r="D3" s="874" t="s">
        <v>61</v>
      </c>
    </row>
    <row r="4" spans="1:4" ht="13.5">
      <c r="A4" s="873">
        <v>1</v>
      </c>
      <c r="B4" s="873">
        <v>2</v>
      </c>
      <c r="C4" s="873">
        <v>3</v>
      </c>
      <c r="D4" s="873">
        <v>4</v>
      </c>
    </row>
    <row r="5" spans="1:4" ht="42.75" customHeight="1">
      <c r="A5" s="1058" t="s">
        <v>1219</v>
      </c>
      <c r="B5" s="1059"/>
      <c r="C5" s="1059"/>
      <c r="D5" s="1060"/>
    </row>
    <row r="6" spans="1:4" ht="18.75" customHeight="1">
      <c r="A6" s="875" t="s">
        <v>62</v>
      </c>
      <c r="B6" s="876" t="s">
        <v>63</v>
      </c>
      <c r="C6" s="876" t="s">
        <v>45</v>
      </c>
      <c r="D6" s="877">
        <f>'1-1'!M282</f>
        <v>0</v>
      </c>
    </row>
    <row r="7" spans="1:4" ht="39.75" customHeight="1">
      <c r="A7" s="875" t="s">
        <v>66</v>
      </c>
      <c r="B7" s="878" t="s">
        <v>758</v>
      </c>
      <c r="C7" s="874" t="s">
        <v>45</v>
      </c>
      <c r="D7" s="1049">
        <f>'1.2'!M153</f>
        <v>0</v>
      </c>
    </row>
    <row r="8" spans="1:4" ht="47.25" customHeight="1">
      <c r="A8" s="875" t="s">
        <v>85</v>
      </c>
      <c r="B8" s="878" t="s">
        <v>611</v>
      </c>
      <c r="C8" s="874" t="s">
        <v>45</v>
      </c>
      <c r="D8" s="877">
        <f>'1-3'!M231</f>
        <v>0</v>
      </c>
    </row>
    <row r="9" spans="1:4" ht="42" customHeight="1">
      <c r="A9" s="875" t="s">
        <v>86</v>
      </c>
      <c r="B9" s="878" t="s">
        <v>808</v>
      </c>
      <c r="C9" s="874" t="s">
        <v>45</v>
      </c>
      <c r="D9" s="877">
        <f>'1.4'!M67</f>
        <v>0</v>
      </c>
    </row>
    <row r="10" spans="1:4" ht="27">
      <c r="A10" s="875" t="s">
        <v>616</v>
      </c>
      <c r="B10" s="878" t="s">
        <v>607</v>
      </c>
      <c r="C10" s="874" t="s">
        <v>45</v>
      </c>
      <c r="D10" s="877">
        <f>'1.5'!M238</f>
        <v>0</v>
      </c>
    </row>
    <row r="11" spans="1:4" ht="18" customHeight="1">
      <c r="A11" s="875" t="s">
        <v>617</v>
      </c>
      <c r="B11" s="878" t="s">
        <v>585</v>
      </c>
      <c r="C11" s="874" t="s">
        <v>45</v>
      </c>
      <c r="D11" s="877">
        <f>'1-6'!M370</f>
        <v>0</v>
      </c>
    </row>
    <row r="12" spans="1:4" ht="27">
      <c r="A12" s="875" t="s">
        <v>618</v>
      </c>
      <c r="B12" s="878" t="s">
        <v>605</v>
      </c>
      <c r="C12" s="874" t="s">
        <v>45</v>
      </c>
      <c r="D12" s="877">
        <f>'1-7'!M15</f>
        <v>0</v>
      </c>
    </row>
    <row r="13" spans="1:4" ht="13.5">
      <c r="A13" s="875" t="s">
        <v>741</v>
      </c>
      <c r="B13" s="878" t="s">
        <v>631</v>
      </c>
      <c r="C13" s="874" t="s">
        <v>45</v>
      </c>
      <c r="D13" s="877">
        <f>'1-8'!M250</f>
        <v>0</v>
      </c>
    </row>
    <row r="14" spans="1:4" ht="13.5">
      <c r="A14" s="135"/>
      <c r="B14" s="270" t="s">
        <v>64</v>
      </c>
      <c r="C14" s="135"/>
      <c r="D14" s="879">
        <f>SUM(D6:D13)</f>
        <v>0</v>
      </c>
    </row>
    <row r="15" spans="1:4" ht="13.5">
      <c r="A15" s="135"/>
      <c r="B15" s="270" t="s">
        <v>921</v>
      </c>
      <c r="C15" s="136">
        <v>0.01</v>
      </c>
      <c r="D15" s="879">
        <f>D14*1%</f>
        <v>0</v>
      </c>
    </row>
    <row r="16" spans="1:4" ht="13.5">
      <c r="A16" s="135"/>
      <c r="B16" s="270" t="s">
        <v>64</v>
      </c>
      <c r="C16" s="135"/>
      <c r="D16" s="879">
        <f>SUM(D14:D15)</f>
        <v>0</v>
      </c>
    </row>
    <row r="17" spans="1:4" ht="75.75" customHeight="1">
      <c r="A17" s="1061" t="s">
        <v>1215</v>
      </c>
      <c r="B17" s="1062"/>
      <c r="C17" s="1062"/>
      <c r="D17" s="1063"/>
    </row>
    <row r="18" spans="1:4" ht="15.75">
      <c r="A18" s="875" t="s">
        <v>1209</v>
      </c>
      <c r="B18" s="1050" t="s">
        <v>1212</v>
      </c>
      <c r="C18" s="876" t="s">
        <v>45</v>
      </c>
      <c r="D18" s="879">
        <f>'2-1'!M320</f>
        <v>0</v>
      </c>
    </row>
    <row r="19" spans="1:4" ht="15.75">
      <c r="A19" s="875" t="s">
        <v>1211</v>
      </c>
      <c r="B19" s="1050" t="s">
        <v>1213</v>
      </c>
      <c r="C19" s="874" t="s">
        <v>45</v>
      </c>
      <c r="D19" s="879">
        <f>'2-2'!M130</f>
        <v>0</v>
      </c>
    </row>
    <row r="20" spans="1:4" ht="15.75">
      <c r="A20" s="875" t="s">
        <v>1210</v>
      </c>
      <c r="B20" s="1051" t="s">
        <v>1180</v>
      </c>
      <c r="C20" s="874" t="s">
        <v>45</v>
      </c>
      <c r="D20" s="879">
        <f>'2-3'!M127</f>
        <v>0</v>
      </c>
    </row>
    <row r="21" spans="1:4" ht="13.5">
      <c r="A21" s="135"/>
      <c r="B21" s="270" t="s">
        <v>64</v>
      </c>
      <c r="C21" s="874" t="s">
        <v>45</v>
      </c>
      <c r="D21" s="879">
        <f>SUM(D18:D20)</f>
        <v>0</v>
      </c>
    </row>
    <row r="22" spans="1:4" ht="13.5">
      <c r="A22" s="135"/>
      <c r="B22" s="270" t="s">
        <v>1214</v>
      </c>
      <c r="C22" s="874" t="s">
        <v>45</v>
      </c>
      <c r="D22" s="879">
        <f>D16+D21</f>
        <v>0</v>
      </c>
    </row>
    <row r="23" spans="1:4" ht="20.25" customHeight="1">
      <c r="A23" s="135"/>
      <c r="B23" s="270" t="s">
        <v>29</v>
      </c>
      <c r="C23" s="136">
        <v>0.04</v>
      </c>
      <c r="D23" s="879">
        <f>D22*C23</f>
        <v>0</v>
      </c>
    </row>
    <row r="24" spans="1:4" ht="13.5">
      <c r="A24" s="135"/>
      <c r="B24" s="270" t="s">
        <v>0</v>
      </c>
      <c r="C24" s="135"/>
      <c r="D24" s="879">
        <f>SUM(D22:D23)</f>
        <v>0</v>
      </c>
    </row>
    <row r="25" spans="1:4" ht="13.5">
      <c r="A25" s="135"/>
      <c r="B25" s="270" t="s">
        <v>926</v>
      </c>
      <c r="C25" s="136">
        <v>0.18</v>
      </c>
      <c r="D25" s="879">
        <f>D24*C25</f>
        <v>0</v>
      </c>
    </row>
    <row r="26" spans="1:4" ht="13.5">
      <c r="A26" s="135"/>
      <c r="B26" s="270" t="s">
        <v>65</v>
      </c>
      <c r="C26" s="135"/>
      <c r="D26" s="879">
        <f>D24+D25</f>
        <v>0</v>
      </c>
    </row>
    <row r="27" spans="1:4" ht="21" customHeight="1">
      <c r="A27" s="1057" t="s">
        <v>925</v>
      </c>
      <c r="B27" s="1057"/>
      <c r="C27" s="1057"/>
      <c r="D27" s="1057"/>
    </row>
  </sheetData>
  <sheetProtection/>
  <mergeCells count="5">
    <mergeCell ref="A1:D1"/>
    <mergeCell ref="A2:D2"/>
    <mergeCell ref="A27:D27"/>
    <mergeCell ref="A5:D5"/>
    <mergeCell ref="A17:D17"/>
  </mergeCells>
  <printOptions/>
  <pageMargins left="2.2" right="0.7" top="0.75" bottom="0.75" header="0.3" footer="0.3"/>
  <pageSetup fitToHeight="0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0"/>
  <sheetViews>
    <sheetView view="pageBreakPreview" zoomScaleSheetLayoutView="100" zoomScalePageLayoutView="0" workbookViewId="0" topLeftCell="A307">
      <selection activeCell="A322" sqref="A322:IV322"/>
    </sheetView>
  </sheetViews>
  <sheetFormatPr defaultColWidth="9.140625" defaultRowHeight="15"/>
  <cols>
    <col min="1" max="1" width="3.00390625" style="983" customWidth="1"/>
    <col min="2" max="2" width="7.28125" style="983" customWidth="1"/>
    <col min="3" max="3" width="44.8515625" style="984" customWidth="1"/>
    <col min="4" max="4" width="7.140625" style="847" customWidth="1"/>
    <col min="5" max="5" width="6.28125" style="847" customWidth="1"/>
    <col min="6" max="6" width="7.57421875" style="847" customWidth="1"/>
    <col min="7" max="7" width="7.140625" style="847" customWidth="1"/>
    <col min="8" max="8" width="10.57421875" style="985" customWidth="1"/>
    <col min="9" max="9" width="6.28125" style="847" customWidth="1"/>
    <col min="10" max="10" width="10.57421875" style="847" customWidth="1"/>
    <col min="11" max="11" width="5.28125" style="847" customWidth="1"/>
    <col min="12" max="12" width="10.140625" style="847" customWidth="1"/>
    <col min="13" max="13" width="11.8515625" style="847" customWidth="1"/>
    <col min="14" max="16" width="9.140625" style="847" hidden="1" customWidth="1"/>
    <col min="17" max="16384" width="9.140625" style="847" customWidth="1"/>
  </cols>
  <sheetData>
    <row r="1" spans="1:13" ht="69" customHeight="1">
      <c r="A1" s="1138" t="s">
        <v>1218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42" customFormat="1" ht="19.5" customHeight="1">
      <c r="A2" s="1139" t="s">
        <v>929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</row>
    <row r="3" spans="1:13" s="942" customFormat="1" ht="19.5" customHeight="1">
      <c r="A3" s="1139" t="s">
        <v>1101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</row>
    <row r="4" spans="1:13" s="942" customFormat="1" ht="13.5">
      <c r="A4" s="1140" t="s">
        <v>930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</row>
    <row r="5" spans="1:13" s="105" customFormat="1" ht="30" customHeight="1">
      <c r="A5" s="1141" t="s">
        <v>931</v>
      </c>
      <c r="B5" s="1142" t="s">
        <v>72</v>
      </c>
      <c r="C5" s="1142" t="s">
        <v>932</v>
      </c>
      <c r="D5" s="1142" t="s">
        <v>77</v>
      </c>
      <c r="E5" s="1144" t="s">
        <v>612</v>
      </c>
      <c r="F5" s="1145"/>
      <c r="G5" s="1144" t="s">
        <v>75</v>
      </c>
      <c r="H5" s="1145"/>
      <c r="I5" s="1144" t="s">
        <v>74</v>
      </c>
      <c r="J5" s="1145"/>
      <c r="K5" s="1144" t="s">
        <v>933</v>
      </c>
      <c r="L5" s="1145"/>
      <c r="M5" s="1142" t="s">
        <v>0</v>
      </c>
    </row>
    <row r="6" spans="1:13" s="105" customFormat="1" ht="54">
      <c r="A6" s="1141"/>
      <c r="B6" s="1143"/>
      <c r="C6" s="1143"/>
      <c r="D6" s="1143"/>
      <c r="E6" s="943" t="s">
        <v>84</v>
      </c>
      <c r="F6" s="943" t="s">
        <v>79</v>
      </c>
      <c r="G6" s="943" t="s">
        <v>80</v>
      </c>
      <c r="H6" s="943" t="s">
        <v>0</v>
      </c>
      <c r="I6" s="943" t="s">
        <v>80</v>
      </c>
      <c r="J6" s="943" t="s">
        <v>0</v>
      </c>
      <c r="K6" s="943" t="s">
        <v>80</v>
      </c>
      <c r="L6" s="943" t="s">
        <v>0</v>
      </c>
      <c r="M6" s="1143"/>
    </row>
    <row r="7" spans="1:13" ht="15.75">
      <c r="A7" s="944">
        <v>1</v>
      </c>
      <c r="B7" s="944">
        <v>2</v>
      </c>
      <c r="C7" s="944">
        <v>3</v>
      </c>
      <c r="D7" s="944">
        <v>4</v>
      </c>
      <c r="E7" s="944">
        <v>5</v>
      </c>
      <c r="F7" s="944">
        <v>6</v>
      </c>
      <c r="G7" s="944">
        <v>7</v>
      </c>
      <c r="H7" s="944">
        <v>8</v>
      </c>
      <c r="I7" s="944">
        <v>9</v>
      </c>
      <c r="J7" s="944">
        <v>10</v>
      </c>
      <c r="K7" s="944">
        <v>11</v>
      </c>
      <c r="L7" s="944">
        <v>12</v>
      </c>
      <c r="M7" s="944">
        <v>13</v>
      </c>
    </row>
    <row r="8" spans="1:13" ht="63">
      <c r="A8" s="944"/>
      <c r="B8" s="944"/>
      <c r="C8" s="945" t="s">
        <v>934</v>
      </c>
      <c r="D8" s="944"/>
      <c r="E8" s="944"/>
      <c r="F8" s="944"/>
      <c r="G8" s="944"/>
      <c r="H8" s="944"/>
      <c r="I8" s="944"/>
      <c r="J8" s="944"/>
      <c r="K8" s="944"/>
      <c r="L8" s="944"/>
      <c r="M8" s="944"/>
    </row>
    <row r="9" spans="1:13" ht="63.75" customHeight="1">
      <c r="A9" s="844">
        <v>1</v>
      </c>
      <c r="B9" s="629" t="s">
        <v>935</v>
      </c>
      <c r="C9" s="623" t="s">
        <v>936</v>
      </c>
      <c r="D9" s="132" t="s">
        <v>651</v>
      </c>
      <c r="E9" s="132"/>
      <c r="F9" s="946">
        <v>21.6</v>
      </c>
      <c r="G9" s="729"/>
      <c r="H9" s="729"/>
      <c r="I9" s="729"/>
      <c r="J9" s="729"/>
      <c r="K9" s="729"/>
      <c r="L9" s="729"/>
      <c r="M9" s="729"/>
    </row>
    <row r="10" spans="1:13" ht="16.5" customHeight="1">
      <c r="A10" s="844"/>
      <c r="B10" s="634"/>
      <c r="C10" s="634" t="s">
        <v>738</v>
      </c>
      <c r="D10" s="696" t="s">
        <v>15</v>
      </c>
      <c r="E10" s="634">
        <v>0.887</v>
      </c>
      <c r="F10" s="947">
        <f>F9*E10</f>
        <v>19.159200000000002</v>
      </c>
      <c r="G10" s="729"/>
      <c r="H10" s="729">
        <f>F10*G10</f>
        <v>0</v>
      </c>
      <c r="I10" s="729"/>
      <c r="J10" s="729">
        <f>F10*I10</f>
        <v>0</v>
      </c>
      <c r="K10" s="729"/>
      <c r="L10" s="729">
        <f>F10*K10</f>
        <v>0</v>
      </c>
      <c r="M10" s="729">
        <f>H10+J10+L10</f>
        <v>0</v>
      </c>
    </row>
    <row r="11" spans="1:13" ht="15.75">
      <c r="A11" s="844"/>
      <c r="B11" s="634"/>
      <c r="C11" s="634" t="s">
        <v>897</v>
      </c>
      <c r="D11" s="634" t="s">
        <v>45</v>
      </c>
      <c r="E11" s="634">
        <v>0.0984</v>
      </c>
      <c r="F11" s="947">
        <f>F9*E11</f>
        <v>2.12544</v>
      </c>
      <c r="G11" s="729"/>
      <c r="H11" s="729">
        <f aca="true" t="shared" si="0" ref="H11:H74">F11*G11</f>
        <v>0</v>
      </c>
      <c r="I11" s="729"/>
      <c r="J11" s="729">
        <f aca="true" t="shared" si="1" ref="J11:J74">F11*I11</f>
        <v>0</v>
      </c>
      <c r="K11" s="729"/>
      <c r="L11" s="729">
        <f aca="true" t="shared" si="2" ref="L11:L74">F11*K11</f>
        <v>0</v>
      </c>
      <c r="M11" s="729">
        <f aca="true" t="shared" si="3" ref="M11:M74">H11+J11+L11</f>
        <v>0</v>
      </c>
    </row>
    <row r="12" spans="1:13" ht="63.75" customHeight="1">
      <c r="A12" s="844">
        <v>2</v>
      </c>
      <c r="B12" s="629" t="s">
        <v>937</v>
      </c>
      <c r="C12" s="623" t="s">
        <v>938</v>
      </c>
      <c r="D12" s="132" t="s">
        <v>651</v>
      </c>
      <c r="E12" s="132"/>
      <c r="F12" s="946">
        <v>1.08</v>
      </c>
      <c r="G12" s="729"/>
      <c r="H12" s="729">
        <f t="shared" si="0"/>
        <v>0</v>
      </c>
      <c r="I12" s="729"/>
      <c r="J12" s="729">
        <f t="shared" si="1"/>
        <v>0</v>
      </c>
      <c r="K12" s="729"/>
      <c r="L12" s="729">
        <f t="shared" si="2"/>
        <v>0</v>
      </c>
      <c r="M12" s="729">
        <f t="shared" si="3"/>
        <v>0</v>
      </c>
    </row>
    <row r="13" spans="1:13" ht="16.5" customHeight="1">
      <c r="A13" s="844"/>
      <c r="B13" s="634"/>
      <c r="C13" s="634" t="s">
        <v>738</v>
      </c>
      <c r="D13" s="696" t="s">
        <v>15</v>
      </c>
      <c r="E13" s="634">
        <v>1.7</v>
      </c>
      <c r="F13" s="947">
        <f>F12*E13</f>
        <v>1.836</v>
      </c>
      <c r="G13" s="729"/>
      <c r="H13" s="729">
        <f t="shared" si="0"/>
        <v>0</v>
      </c>
      <c r="I13" s="729"/>
      <c r="J13" s="729">
        <f t="shared" si="1"/>
        <v>0</v>
      </c>
      <c r="K13" s="729"/>
      <c r="L13" s="729">
        <f t="shared" si="2"/>
        <v>0</v>
      </c>
      <c r="M13" s="729">
        <f t="shared" si="3"/>
        <v>0</v>
      </c>
    </row>
    <row r="14" spans="1:13" ht="15.75">
      <c r="A14" s="844"/>
      <c r="B14" s="634"/>
      <c r="C14" s="634" t="s">
        <v>897</v>
      </c>
      <c r="D14" s="634" t="s">
        <v>45</v>
      </c>
      <c r="E14" s="634">
        <v>0.0984</v>
      </c>
      <c r="F14" s="947">
        <f>F12*E14</f>
        <v>0.106272</v>
      </c>
      <c r="G14" s="729"/>
      <c r="H14" s="729">
        <f t="shared" si="0"/>
        <v>0</v>
      </c>
      <c r="I14" s="729"/>
      <c r="J14" s="729">
        <f t="shared" si="1"/>
        <v>0</v>
      </c>
      <c r="K14" s="729"/>
      <c r="L14" s="729">
        <f t="shared" si="2"/>
        <v>0</v>
      </c>
      <c r="M14" s="729">
        <f t="shared" si="3"/>
        <v>0</v>
      </c>
    </row>
    <row r="15" spans="1:13" ht="63.75" customHeight="1">
      <c r="A15" s="844">
        <v>4</v>
      </c>
      <c r="B15" s="629" t="s">
        <v>939</v>
      </c>
      <c r="C15" s="623" t="s">
        <v>940</v>
      </c>
      <c r="D15" s="132" t="s">
        <v>651</v>
      </c>
      <c r="E15" s="132"/>
      <c r="F15" s="946">
        <v>16.5</v>
      </c>
      <c r="G15" s="729"/>
      <c r="H15" s="729">
        <f t="shared" si="0"/>
        <v>0</v>
      </c>
      <c r="I15" s="729"/>
      <c r="J15" s="729">
        <f t="shared" si="1"/>
        <v>0</v>
      </c>
      <c r="K15" s="729"/>
      <c r="L15" s="729">
        <f t="shared" si="2"/>
        <v>0</v>
      </c>
      <c r="M15" s="729">
        <f t="shared" si="3"/>
        <v>0</v>
      </c>
    </row>
    <row r="16" spans="1:13" ht="16.5" customHeight="1">
      <c r="A16" s="844"/>
      <c r="B16" s="634"/>
      <c r="C16" s="634" t="s">
        <v>738</v>
      </c>
      <c r="D16" s="696" t="s">
        <v>15</v>
      </c>
      <c r="E16" s="634">
        <v>0.472</v>
      </c>
      <c r="F16" s="947">
        <f>F15*E16</f>
        <v>7.787999999999999</v>
      </c>
      <c r="G16" s="729"/>
      <c r="H16" s="729">
        <f t="shared" si="0"/>
        <v>0</v>
      </c>
      <c r="I16" s="729"/>
      <c r="J16" s="729">
        <f t="shared" si="1"/>
        <v>0</v>
      </c>
      <c r="K16" s="729"/>
      <c r="L16" s="729">
        <f t="shared" si="2"/>
        <v>0</v>
      </c>
      <c r="M16" s="729">
        <f t="shared" si="3"/>
        <v>0</v>
      </c>
    </row>
    <row r="17" spans="1:13" ht="15.75">
      <c r="A17" s="844"/>
      <c r="B17" s="634"/>
      <c r="C17" s="634" t="s">
        <v>897</v>
      </c>
      <c r="D17" s="634" t="s">
        <v>45</v>
      </c>
      <c r="E17" s="634">
        <v>0.0301</v>
      </c>
      <c r="F17" s="947">
        <f>F15*E17</f>
        <v>0.49665</v>
      </c>
      <c r="G17" s="729"/>
      <c r="H17" s="729">
        <f t="shared" si="0"/>
        <v>0</v>
      </c>
      <c r="I17" s="729"/>
      <c r="J17" s="729">
        <f t="shared" si="1"/>
        <v>0</v>
      </c>
      <c r="K17" s="729"/>
      <c r="L17" s="729">
        <f t="shared" si="2"/>
        <v>0</v>
      </c>
      <c r="M17" s="729">
        <f t="shared" si="3"/>
        <v>0</v>
      </c>
    </row>
    <row r="18" spans="1:13" ht="63.75" customHeight="1">
      <c r="A18" s="844">
        <v>4</v>
      </c>
      <c r="B18" s="629" t="s">
        <v>939</v>
      </c>
      <c r="C18" s="623" t="s">
        <v>941</v>
      </c>
      <c r="D18" s="132" t="s">
        <v>651</v>
      </c>
      <c r="E18" s="132"/>
      <c r="F18" s="946">
        <v>9.9</v>
      </c>
      <c r="G18" s="729"/>
      <c r="H18" s="729">
        <f t="shared" si="0"/>
        <v>0</v>
      </c>
      <c r="I18" s="729"/>
      <c r="J18" s="729">
        <f t="shared" si="1"/>
        <v>0</v>
      </c>
      <c r="K18" s="729"/>
      <c r="L18" s="729">
        <f t="shared" si="2"/>
        <v>0</v>
      </c>
      <c r="M18" s="729">
        <f t="shared" si="3"/>
        <v>0</v>
      </c>
    </row>
    <row r="19" spans="1:13" ht="16.5" customHeight="1">
      <c r="A19" s="844"/>
      <c r="B19" s="634"/>
      <c r="C19" s="634" t="s">
        <v>738</v>
      </c>
      <c r="D19" s="696" t="s">
        <v>15</v>
      </c>
      <c r="E19" s="634">
        <v>0.472</v>
      </c>
      <c r="F19" s="947">
        <f>F18*E19</f>
        <v>4.6728</v>
      </c>
      <c r="G19" s="729"/>
      <c r="H19" s="729">
        <f t="shared" si="0"/>
        <v>0</v>
      </c>
      <c r="I19" s="729"/>
      <c r="J19" s="729">
        <f t="shared" si="1"/>
        <v>0</v>
      </c>
      <c r="K19" s="729"/>
      <c r="L19" s="729">
        <f t="shared" si="2"/>
        <v>0</v>
      </c>
      <c r="M19" s="729">
        <f t="shared" si="3"/>
        <v>0</v>
      </c>
    </row>
    <row r="20" spans="1:13" ht="15.75">
      <c r="A20" s="844"/>
      <c r="B20" s="634"/>
      <c r="C20" s="634" t="s">
        <v>897</v>
      </c>
      <c r="D20" s="634" t="s">
        <v>45</v>
      </c>
      <c r="E20" s="634">
        <v>0.0301</v>
      </c>
      <c r="F20" s="947">
        <f>F18*E20</f>
        <v>0.29799</v>
      </c>
      <c r="G20" s="729"/>
      <c r="H20" s="729">
        <f t="shared" si="0"/>
        <v>0</v>
      </c>
      <c r="I20" s="729"/>
      <c r="J20" s="729">
        <f t="shared" si="1"/>
        <v>0</v>
      </c>
      <c r="K20" s="729"/>
      <c r="L20" s="729">
        <f t="shared" si="2"/>
        <v>0</v>
      </c>
      <c r="M20" s="729">
        <f t="shared" si="3"/>
        <v>0</v>
      </c>
    </row>
    <row r="21" spans="1:13" ht="63.75" customHeight="1">
      <c r="A21" s="622">
        <v>4</v>
      </c>
      <c r="B21" s="135" t="s">
        <v>942</v>
      </c>
      <c r="C21" s="37" t="s">
        <v>943</v>
      </c>
      <c r="D21" s="133" t="s">
        <v>651</v>
      </c>
      <c r="E21" s="133"/>
      <c r="F21" s="948">
        <v>26.4</v>
      </c>
      <c r="G21" s="589"/>
      <c r="H21" s="589">
        <f t="shared" si="0"/>
        <v>0</v>
      </c>
      <c r="I21" s="729"/>
      <c r="J21" s="729">
        <f t="shared" si="1"/>
        <v>0</v>
      </c>
      <c r="K21" s="729"/>
      <c r="L21" s="729">
        <f t="shared" si="2"/>
        <v>0</v>
      </c>
      <c r="M21" s="729">
        <f t="shared" si="3"/>
        <v>0</v>
      </c>
    </row>
    <row r="22" spans="1:13" ht="16.5" customHeight="1">
      <c r="A22" s="622"/>
      <c r="B22" s="150"/>
      <c r="C22" s="150" t="s">
        <v>738</v>
      </c>
      <c r="D22" s="33" t="s">
        <v>15</v>
      </c>
      <c r="E22" s="150">
        <v>0.323</v>
      </c>
      <c r="F22" s="300">
        <f>F21*E22</f>
        <v>8.5272</v>
      </c>
      <c r="G22" s="589"/>
      <c r="H22" s="589">
        <f t="shared" si="0"/>
        <v>0</v>
      </c>
      <c r="I22" s="729"/>
      <c r="J22" s="729">
        <f t="shared" si="1"/>
        <v>0</v>
      </c>
      <c r="K22" s="729"/>
      <c r="L22" s="729">
        <f t="shared" si="2"/>
        <v>0</v>
      </c>
      <c r="M22" s="729">
        <f t="shared" si="3"/>
        <v>0</v>
      </c>
    </row>
    <row r="23" spans="1:13" ht="15.75">
      <c r="A23" s="622"/>
      <c r="B23" s="150"/>
      <c r="C23" s="150" t="s">
        <v>897</v>
      </c>
      <c r="D23" s="150" t="s">
        <v>45</v>
      </c>
      <c r="E23" s="150">
        <v>0.0215</v>
      </c>
      <c r="F23" s="300">
        <f>F21*E23</f>
        <v>0.5675999999999999</v>
      </c>
      <c r="G23" s="589"/>
      <c r="H23" s="589">
        <f t="shared" si="0"/>
        <v>0</v>
      </c>
      <c r="I23" s="729"/>
      <c r="J23" s="729">
        <f t="shared" si="1"/>
        <v>0</v>
      </c>
      <c r="K23" s="729"/>
      <c r="L23" s="729">
        <f t="shared" si="2"/>
        <v>0</v>
      </c>
      <c r="M23" s="729">
        <f t="shared" si="3"/>
        <v>0</v>
      </c>
    </row>
    <row r="24" spans="1:13" ht="63.75" customHeight="1">
      <c r="A24" s="622">
        <v>4</v>
      </c>
      <c r="B24" s="135" t="s">
        <v>939</v>
      </c>
      <c r="C24" s="37" t="s">
        <v>944</v>
      </c>
      <c r="D24" s="133" t="s">
        <v>651</v>
      </c>
      <c r="E24" s="133"/>
      <c r="F24" s="948">
        <v>108</v>
      </c>
      <c r="G24" s="589"/>
      <c r="H24" s="589">
        <f t="shared" si="0"/>
        <v>0</v>
      </c>
      <c r="I24" s="729"/>
      <c r="J24" s="729">
        <f t="shared" si="1"/>
        <v>0</v>
      </c>
      <c r="K24" s="729"/>
      <c r="L24" s="729">
        <f t="shared" si="2"/>
        <v>0</v>
      </c>
      <c r="M24" s="729">
        <f t="shared" si="3"/>
        <v>0</v>
      </c>
    </row>
    <row r="25" spans="1:13" ht="16.5" customHeight="1">
      <c r="A25" s="622"/>
      <c r="B25" s="150"/>
      <c r="C25" s="150" t="s">
        <v>738</v>
      </c>
      <c r="D25" s="33" t="s">
        <v>15</v>
      </c>
      <c r="E25" s="150">
        <v>0.472</v>
      </c>
      <c r="F25" s="300">
        <f>F24*E25</f>
        <v>50.976</v>
      </c>
      <c r="G25" s="589"/>
      <c r="H25" s="589">
        <f t="shared" si="0"/>
        <v>0</v>
      </c>
      <c r="I25" s="729"/>
      <c r="J25" s="729">
        <f t="shared" si="1"/>
        <v>0</v>
      </c>
      <c r="K25" s="729"/>
      <c r="L25" s="729">
        <f t="shared" si="2"/>
        <v>0</v>
      </c>
      <c r="M25" s="729">
        <f t="shared" si="3"/>
        <v>0</v>
      </c>
    </row>
    <row r="26" spans="1:13" ht="15.75">
      <c r="A26" s="622"/>
      <c r="B26" s="150"/>
      <c r="C26" s="150" t="s">
        <v>897</v>
      </c>
      <c r="D26" s="150" t="s">
        <v>45</v>
      </c>
      <c r="E26" s="150">
        <v>0.0301</v>
      </c>
      <c r="F26" s="300">
        <f>F24*E26</f>
        <v>3.2508</v>
      </c>
      <c r="G26" s="589"/>
      <c r="H26" s="589">
        <f t="shared" si="0"/>
        <v>0</v>
      </c>
      <c r="I26" s="729"/>
      <c r="J26" s="729">
        <f t="shared" si="1"/>
        <v>0</v>
      </c>
      <c r="K26" s="729"/>
      <c r="L26" s="729">
        <f t="shared" si="2"/>
        <v>0</v>
      </c>
      <c r="M26" s="729">
        <f t="shared" si="3"/>
        <v>0</v>
      </c>
    </row>
    <row r="27" spans="1:13" ht="63.75" customHeight="1">
      <c r="A27" s="622">
        <v>6</v>
      </c>
      <c r="B27" s="135" t="s">
        <v>945</v>
      </c>
      <c r="C27" s="37" t="s">
        <v>946</v>
      </c>
      <c r="D27" s="133" t="s">
        <v>230</v>
      </c>
      <c r="E27" s="133"/>
      <c r="F27" s="948">
        <v>14.7</v>
      </c>
      <c r="G27" s="589"/>
      <c r="H27" s="589">
        <f t="shared" si="0"/>
        <v>0</v>
      </c>
      <c r="I27" s="729"/>
      <c r="J27" s="729">
        <f t="shared" si="1"/>
        <v>0</v>
      </c>
      <c r="K27" s="729"/>
      <c r="L27" s="729">
        <f t="shared" si="2"/>
        <v>0</v>
      </c>
      <c r="M27" s="729">
        <f t="shared" si="3"/>
        <v>0</v>
      </c>
    </row>
    <row r="28" spans="1:13" ht="16.5" customHeight="1">
      <c r="A28" s="622"/>
      <c r="B28" s="150"/>
      <c r="C28" s="150" t="s">
        <v>738</v>
      </c>
      <c r="D28" s="33" t="s">
        <v>15</v>
      </c>
      <c r="E28" s="150">
        <v>4.8</v>
      </c>
      <c r="F28" s="300">
        <f>F27*E28</f>
        <v>70.55999999999999</v>
      </c>
      <c r="G28" s="589"/>
      <c r="H28" s="589">
        <f t="shared" si="0"/>
        <v>0</v>
      </c>
      <c r="I28" s="729"/>
      <c r="J28" s="729">
        <f t="shared" si="1"/>
        <v>0</v>
      </c>
      <c r="K28" s="729"/>
      <c r="L28" s="729">
        <f t="shared" si="2"/>
        <v>0</v>
      </c>
      <c r="M28" s="729">
        <f t="shared" si="3"/>
        <v>0</v>
      </c>
    </row>
    <row r="29" spans="1:13" ht="15.75">
      <c r="A29" s="622"/>
      <c r="B29" s="150"/>
      <c r="C29" s="150" t="s">
        <v>897</v>
      </c>
      <c r="D29" s="150" t="s">
        <v>45</v>
      </c>
      <c r="E29" s="150">
        <v>1.1</v>
      </c>
      <c r="F29" s="300">
        <f>F27*E29</f>
        <v>16.17</v>
      </c>
      <c r="G29" s="589"/>
      <c r="H29" s="589">
        <f t="shared" si="0"/>
        <v>0</v>
      </c>
      <c r="I29" s="729"/>
      <c r="J29" s="729">
        <f t="shared" si="1"/>
        <v>0</v>
      </c>
      <c r="K29" s="729"/>
      <c r="L29" s="729">
        <f t="shared" si="2"/>
        <v>0</v>
      </c>
      <c r="M29" s="729">
        <f t="shared" si="3"/>
        <v>0</v>
      </c>
    </row>
    <row r="30" spans="1:13" ht="63.75" customHeight="1">
      <c r="A30" s="622">
        <v>7</v>
      </c>
      <c r="B30" s="135" t="s">
        <v>947</v>
      </c>
      <c r="C30" s="37" t="s">
        <v>948</v>
      </c>
      <c r="D30" s="133" t="s">
        <v>729</v>
      </c>
      <c r="E30" s="133"/>
      <c r="F30" s="948">
        <v>26.4</v>
      </c>
      <c r="G30" s="589"/>
      <c r="H30" s="589">
        <f t="shared" si="0"/>
        <v>0</v>
      </c>
      <c r="I30" s="729"/>
      <c r="J30" s="729">
        <f t="shared" si="1"/>
        <v>0</v>
      </c>
      <c r="K30" s="729"/>
      <c r="L30" s="729">
        <f t="shared" si="2"/>
        <v>0</v>
      </c>
      <c r="M30" s="729">
        <f t="shared" si="3"/>
        <v>0</v>
      </c>
    </row>
    <row r="31" spans="1:13" ht="16.5" customHeight="1">
      <c r="A31" s="622"/>
      <c r="B31" s="150"/>
      <c r="C31" s="150" t="s">
        <v>738</v>
      </c>
      <c r="D31" s="33" t="s">
        <v>15</v>
      </c>
      <c r="E31" s="150">
        <v>8.26</v>
      </c>
      <c r="F31" s="300">
        <f>F30*E31</f>
        <v>218.064</v>
      </c>
      <c r="G31" s="589"/>
      <c r="H31" s="589">
        <f t="shared" si="0"/>
        <v>0</v>
      </c>
      <c r="I31" s="729"/>
      <c r="J31" s="729">
        <f t="shared" si="1"/>
        <v>0</v>
      </c>
      <c r="K31" s="729"/>
      <c r="L31" s="729">
        <f t="shared" si="2"/>
        <v>0</v>
      </c>
      <c r="M31" s="729">
        <f t="shared" si="3"/>
        <v>0</v>
      </c>
    </row>
    <row r="32" spans="1:13" ht="15.75">
      <c r="A32" s="622"/>
      <c r="B32" s="150"/>
      <c r="C32" s="150" t="s">
        <v>897</v>
      </c>
      <c r="D32" s="150" t="s">
        <v>45</v>
      </c>
      <c r="E32" s="150">
        <v>2.61</v>
      </c>
      <c r="F32" s="300">
        <f>F30*E32</f>
        <v>68.904</v>
      </c>
      <c r="G32" s="589"/>
      <c r="H32" s="589">
        <f t="shared" si="0"/>
        <v>0</v>
      </c>
      <c r="I32" s="729"/>
      <c r="J32" s="729">
        <f t="shared" si="1"/>
        <v>0</v>
      </c>
      <c r="K32" s="729"/>
      <c r="L32" s="729">
        <f t="shared" si="2"/>
        <v>0</v>
      </c>
      <c r="M32" s="729">
        <f t="shared" si="3"/>
        <v>0</v>
      </c>
    </row>
    <row r="33" spans="1:13" s="942" customFormat="1" ht="39.75" customHeight="1">
      <c r="A33" s="949">
        <v>8</v>
      </c>
      <c r="B33" s="950" t="s">
        <v>573</v>
      </c>
      <c r="C33" s="202" t="s">
        <v>949</v>
      </c>
      <c r="D33" s="33" t="s">
        <v>950</v>
      </c>
      <c r="E33" s="33"/>
      <c r="F33" s="948">
        <v>37</v>
      </c>
      <c r="G33" s="589"/>
      <c r="H33" s="589">
        <f t="shared" si="0"/>
        <v>0</v>
      </c>
      <c r="I33" s="729"/>
      <c r="J33" s="729">
        <f t="shared" si="1"/>
        <v>0</v>
      </c>
      <c r="K33" s="729"/>
      <c r="L33" s="729">
        <f t="shared" si="2"/>
        <v>0</v>
      </c>
      <c r="M33" s="729">
        <f t="shared" si="3"/>
        <v>0</v>
      </c>
    </row>
    <row r="34" spans="1:13" s="942" customFormat="1" ht="27">
      <c r="A34" s="308">
        <v>9</v>
      </c>
      <c r="B34" s="135" t="s">
        <v>951</v>
      </c>
      <c r="C34" s="202" t="s">
        <v>952</v>
      </c>
      <c r="D34" s="33" t="s">
        <v>950</v>
      </c>
      <c r="E34" s="33"/>
      <c r="F34" s="948">
        <v>37</v>
      </c>
      <c r="G34" s="589"/>
      <c r="H34" s="589">
        <f t="shared" si="0"/>
        <v>0</v>
      </c>
      <c r="I34" s="729"/>
      <c r="J34" s="729">
        <f t="shared" si="1"/>
        <v>0</v>
      </c>
      <c r="K34" s="729"/>
      <c r="L34" s="729">
        <f t="shared" si="2"/>
        <v>0</v>
      </c>
      <c r="M34" s="729">
        <f t="shared" si="3"/>
        <v>0</v>
      </c>
    </row>
    <row r="35" spans="1:13" s="957" customFormat="1" ht="54">
      <c r="A35" s="951">
        <v>3</v>
      </c>
      <c r="B35" s="952" t="s">
        <v>953</v>
      </c>
      <c r="C35" s="953" t="s">
        <v>954</v>
      </c>
      <c r="D35" s="133" t="s">
        <v>729</v>
      </c>
      <c r="E35" s="133"/>
      <c r="F35" s="954">
        <v>90.5</v>
      </c>
      <c r="G35" s="955"/>
      <c r="H35" s="589">
        <f t="shared" si="0"/>
        <v>0</v>
      </c>
      <c r="I35" s="956"/>
      <c r="J35" s="729">
        <f t="shared" si="1"/>
        <v>0</v>
      </c>
      <c r="K35" s="956"/>
      <c r="L35" s="729">
        <f t="shared" si="2"/>
        <v>0</v>
      </c>
      <c r="M35" s="729">
        <f t="shared" si="3"/>
        <v>0</v>
      </c>
    </row>
    <row r="36" spans="1:13" s="638" customFormat="1" ht="13.5">
      <c r="A36" s="958"/>
      <c r="B36" s="958"/>
      <c r="C36" s="959" t="s">
        <v>955</v>
      </c>
      <c r="D36" s="960" t="s">
        <v>15</v>
      </c>
      <c r="E36" s="960">
        <v>1</v>
      </c>
      <c r="F36" s="961">
        <f>F35*E36</f>
        <v>90.5</v>
      </c>
      <c r="G36" s="955"/>
      <c r="H36" s="589">
        <f t="shared" si="0"/>
        <v>0</v>
      </c>
      <c r="I36" s="962"/>
      <c r="J36" s="729">
        <f t="shared" si="1"/>
        <v>0</v>
      </c>
      <c r="K36" s="962"/>
      <c r="L36" s="729">
        <f t="shared" si="2"/>
        <v>0</v>
      </c>
      <c r="M36" s="729">
        <f t="shared" si="3"/>
        <v>0</v>
      </c>
    </row>
    <row r="37" spans="1:13" s="638" customFormat="1" ht="13.5">
      <c r="A37" s="958"/>
      <c r="B37" s="958"/>
      <c r="C37" s="959" t="s">
        <v>44</v>
      </c>
      <c r="D37" s="960" t="s">
        <v>45</v>
      </c>
      <c r="E37" s="960">
        <v>0.0644</v>
      </c>
      <c r="F37" s="961">
        <f>F35*E37</f>
        <v>5.8282</v>
      </c>
      <c r="G37" s="955"/>
      <c r="H37" s="589">
        <f t="shared" si="0"/>
        <v>0</v>
      </c>
      <c r="I37" s="962"/>
      <c r="J37" s="729">
        <f t="shared" si="1"/>
        <v>0</v>
      </c>
      <c r="K37" s="962"/>
      <c r="L37" s="729">
        <f t="shared" si="2"/>
        <v>0</v>
      </c>
      <c r="M37" s="729">
        <f t="shared" si="3"/>
        <v>0</v>
      </c>
    </row>
    <row r="38" spans="1:13" s="957" customFormat="1" ht="15.75">
      <c r="A38" s="951"/>
      <c r="B38" s="951"/>
      <c r="C38" s="953" t="s">
        <v>956</v>
      </c>
      <c r="D38" s="133" t="s">
        <v>112</v>
      </c>
      <c r="E38" s="133">
        <v>12.5</v>
      </c>
      <c r="F38" s="954">
        <f>F35*E38</f>
        <v>1131.25</v>
      </c>
      <c r="G38" s="955"/>
      <c r="H38" s="589">
        <f t="shared" si="0"/>
        <v>0</v>
      </c>
      <c r="I38" s="956"/>
      <c r="J38" s="729">
        <f t="shared" si="1"/>
        <v>0</v>
      </c>
      <c r="K38" s="956"/>
      <c r="L38" s="729">
        <f t="shared" si="2"/>
        <v>0</v>
      </c>
      <c r="M38" s="729">
        <f t="shared" si="3"/>
        <v>0</v>
      </c>
    </row>
    <row r="39" spans="1:13" s="957" customFormat="1" ht="15.75">
      <c r="A39" s="951"/>
      <c r="B39" s="951"/>
      <c r="C39" s="953" t="s">
        <v>957</v>
      </c>
      <c r="D39" s="133" t="s">
        <v>958</v>
      </c>
      <c r="E39" s="133">
        <v>0.005</v>
      </c>
      <c r="F39" s="954">
        <f>F35*E39</f>
        <v>0.4525</v>
      </c>
      <c r="G39" s="955"/>
      <c r="H39" s="589">
        <f t="shared" si="0"/>
        <v>0</v>
      </c>
      <c r="I39" s="956"/>
      <c r="J39" s="729">
        <f t="shared" si="1"/>
        <v>0</v>
      </c>
      <c r="K39" s="956"/>
      <c r="L39" s="729">
        <f t="shared" si="2"/>
        <v>0</v>
      </c>
      <c r="M39" s="729">
        <f t="shared" si="3"/>
        <v>0</v>
      </c>
    </row>
    <row r="40" spans="1:13" s="957" customFormat="1" ht="15.75">
      <c r="A40" s="951"/>
      <c r="B40" s="951"/>
      <c r="C40" s="953" t="s">
        <v>959</v>
      </c>
      <c r="D40" s="133" t="s">
        <v>960</v>
      </c>
      <c r="E40" s="133">
        <v>0.9</v>
      </c>
      <c r="F40" s="954"/>
      <c r="G40" s="955"/>
      <c r="H40" s="589">
        <f t="shared" si="0"/>
        <v>0</v>
      </c>
      <c r="I40" s="956"/>
      <c r="J40" s="729">
        <f t="shared" si="1"/>
        <v>0</v>
      </c>
      <c r="K40" s="956"/>
      <c r="L40" s="729">
        <f t="shared" si="2"/>
        <v>0</v>
      </c>
      <c r="M40" s="729">
        <f t="shared" si="3"/>
        <v>0</v>
      </c>
    </row>
    <row r="41" spans="1:13" s="957" customFormat="1" ht="15.75">
      <c r="A41" s="951"/>
      <c r="B41" s="951"/>
      <c r="C41" s="953" t="s">
        <v>961</v>
      </c>
      <c r="D41" s="133" t="s">
        <v>32</v>
      </c>
      <c r="E41" s="133">
        <v>0.0012</v>
      </c>
      <c r="F41" s="954">
        <f>F35*E41</f>
        <v>0.10859999999999999</v>
      </c>
      <c r="G41" s="955"/>
      <c r="H41" s="589">
        <f t="shared" si="0"/>
        <v>0</v>
      </c>
      <c r="I41" s="956"/>
      <c r="J41" s="729">
        <f t="shared" si="1"/>
        <v>0</v>
      </c>
      <c r="K41" s="956"/>
      <c r="L41" s="729">
        <f t="shared" si="2"/>
        <v>0</v>
      </c>
      <c r="M41" s="729">
        <f t="shared" si="3"/>
        <v>0</v>
      </c>
    </row>
    <row r="42" spans="1:13" ht="54">
      <c r="A42" s="622">
        <v>11</v>
      </c>
      <c r="B42" s="135" t="s">
        <v>962</v>
      </c>
      <c r="C42" s="37" t="s">
        <v>963</v>
      </c>
      <c r="D42" s="133" t="s">
        <v>651</v>
      </c>
      <c r="E42" s="133"/>
      <c r="F42" s="948">
        <v>18.63</v>
      </c>
      <c r="G42" s="589"/>
      <c r="H42" s="589">
        <f t="shared" si="0"/>
        <v>0</v>
      </c>
      <c r="I42" s="729"/>
      <c r="J42" s="729">
        <f t="shared" si="1"/>
        <v>0</v>
      </c>
      <c r="K42" s="729"/>
      <c r="L42" s="729">
        <f t="shared" si="2"/>
        <v>0</v>
      </c>
      <c r="M42" s="729">
        <f t="shared" si="3"/>
        <v>0</v>
      </c>
    </row>
    <row r="43" spans="1:13" ht="16.5" customHeight="1">
      <c r="A43" s="622"/>
      <c r="B43" s="150"/>
      <c r="C43" s="150" t="s">
        <v>738</v>
      </c>
      <c r="D43" s="33" t="s">
        <v>15</v>
      </c>
      <c r="E43" s="150">
        <v>7.65</v>
      </c>
      <c r="F43" s="300">
        <f>F42*E43</f>
        <v>142.5195</v>
      </c>
      <c r="G43" s="589"/>
      <c r="H43" s="589">
        <f t="shared" si="0"/>
        <v>0</v>
      </c>
      <c r="I43" s="729"/>
      <c r="J43" s="729">
        <f t="shared" si="1"/>
        <v>0</v>
      </c>
      <c r="K43" s="729"/>
      <c r="L43" s="729">
        <f t="shared" si="2"/>
        <v>0</v>
      </c>
      <c r="M43" s="729">
        <f t="shared" si="3"/>
        <v>0</v>
      </c>
    </row>
    <row r="44" spans="1:13" ht="15.75">
      <c r="A44" s="622"/>
      <c r="B44" s="150"/>
      <c r="C44" s="150" t="s">
        <v>897</v>
      </c>
      <c r="D44" s="150" t="s">
        <v>45</v>
      </c>
      <c r="E44" s="150">
        <v>0.348</v>
      </c>
      <c r="F44" s="300">
        <f>F42*E44</f>
        <v>6.4832399999999994</v>
      </c>
      <c r="G44" s="589"/>
      <c r="H44" s="589">
        <f t="shared" si="0"/>
        <v>0</v>
      </c>
      <c r="I44" s="729"/>
      <c r="J44" s="729">
        <f t="shared" si="1"/>
        <v>0</v>
      </c>
      <c r="K44" s="729"/>
      <c r="L44" s="729">
        <f t="shared" si="2"/>
        <v>0</v>
      </c>
      <c r="M44" s="729">
        <f t="shared" si="3"/>
        <v>0</v>
      </c>
    </row>
    <row r="45" spans="1:13" ht="31.5">
      <c r="A45" s="622"/>
      <c r="B45" s="135"/>
      <c r="C45" s="37" t="s">
        <v>964</v>
      </c>
      <c r="D45" s="133" t="s">
        <v>651</v>
      </c>
      <c r="E45" s="133">
        <v>1</v>
      </c>
      <c r="F45" s="948">
        <f>F42*E45</f>
        <v>18.63</v>
      </c>
      <c r="G45" s="589"/>
      <c r="H45" s="589">
        <f t="shared" si="0"/>
        <v>0</v>
      </c>
      <c r="I45" s="729"/>
      <c r="J45" s="729">
        <f t="shared" si="1"/>
        <v>0</v>
      </c>
      <c r="K45" s="729"/>
      <c r="L45" s="729">
        <f t="shared" si="2"/>
        <v>0</v>
      </c>
      <c r="M45" s="729">
        <f t="shared" si="3"/>
        <v>0</v>
      </c>
    </row>
    <row r="46" spans="1:13" ht="15.75">
      <c r="A46" s="622"/>
      <c r="B46" s="135"/>
      <c r="C46" s="37" t="s">
        <v>965</v>
      </c>
      <c r="D46" s="133" t="s">
        <v>45</v>
      </c>
      <c r="E46" s="133">
        <v>0.656</v>
      </c>
      <c r="F46" s="948">
        <f>F42*E46</f>
        <v>12.22128</v>
      </c>
      <c r="G46" s="589"/>
      <c r="H46" s="589">
        <f t="shared" si="0"/>
        <v>0</v>
      </c>
      <c r="I46" s="729"/>
      <c r="J46" s="729">
        <f t="shared" si="1"/>
        <v>0</v>
      </c>
      <c r="K46" s="729"/>
      <c r="L46" s="729">
        <f t="shared" si="2"/>
        <v>0</v>
      </c>
      <c r="M46" s="729">
        <f t="shared" si="3"/>
        <v>0</v>
      </c>
    </row>
    <row r="47" spans="1:13" s="957" customFormat="1" ht="54">
      <c r="A47" s="951">
        <v>2</v>
      </c>
      <c r="B47" s="952" t="s">
        <v>966</v>
      </c>
      <c r="C47" s="953" t="s">
        <v>967</v>
      </c>
      <c r="D47" s="133" t="s">
        <v>729</v>
      </c>
      <c r="E47" s="133"/>
      <c r="F47" s="954">
        <f>F53+F60</f>
        <v>33.57</v>
      </c>
      <c r="G47" s="955"/>
      <c r="H47" s="589">
        <f t="shared" si="0"/>
        <v>0</v>
      </c>
      <c r="I47" s="956"/>
      <c r="J47" s="729">
        <f t="shared" si="1"/>
        <v>0</v>
      </c>
      <c r="K47" s="956"/>
      <c r="L47" s="729">
        <f t="shared" si="2"/>
        <v>0</v>
      </c>
      <c r="M47" s="729">
        <f t="shared" si="3"/>
        <v>0</v>
      </c>
    </row>
    <row r="48" spans="1:13" s="638" customFormat="1" ht="27">
      <c r="A48" s="958"/>
      <c r="B48" s="952" t="s">
        <v>900</v>
      </c>
      <c r="C48" s="959" t="s">
        <v>955</v>
      </c>
      <c r="D48" s="960" t="s">
        <v>729</v>
      </c>
      <c r="E48" s="960">
        <v>1</v>
      </c>
      <c r="F48" s="961">
        <f>F47*E48</f>
        <v>33.57</v>
      </c>
      <c r="G48" s="955"/>
      <c r="H48" s="589">
        <f t="shared" si="0"/>
        <v>0</v>
      </c>
      <c r="I48" s="962"/>
      <c r="J48" s="729">
        <f t="shared" si="1"/>
        <v>0</v>
      </c>
      <c r="K48" s="962"/>
      <c r="L48" s="729">
        <f t="shared" si="2"/>
        <v>0</v>
      </c>
      <c r="M48" s="729">
        <f t="shared" si="3"/>
        <v>0</v>
      </c>
    </row>
    <row r="49" spans="1:13" s="638" customFormat="1" ht="13.5">
      <c r="A49" s="958"/>
      <c r="B49" s="958"/>
      <c r="C49" s="959" t="s">
        <v>44</v>
      </c>
      <c r="D49" s="960" t="s">
        <v>45</v>
      </c>
      <c r="E49" s="960">
        <v>0.0141</v>
      </c>
      <c r="F49" s="961">
        <f>F47*E49</f>
        <v>0.473337</v>
      </c>
      <c r="G49" s="955"/>
      <c r="H49" s="589">
        <f t="shared" si="0"/>
        <v>0</v>
      </c>
      <c r="I49" s="962"/>
      <c r="J49" s="729">
        <f t="shared" si="1"/>
        <v>0</v>
      </c>
      <c r="K49" s="962"/>
      <c r="L49" s="729">
        <f t="shared" si="2"/>
        <v>0</v>
      </c>
      <c r="M49" s="729">
        <f t="shared" si="3"/>
        <v>0</v>
      </c>
    </row>
    <row r="50" spans="1:13" s="957" customFormat="1" ht="15.75">
      <c r="A50" s="951"/>
      <c r="B50" s="951"/>
      <c r="C50" s="953" t="s">
        <v>957</v>
      </c>
      <c r="D50" s="133" t="s">
        <v>958</v>
      </c>
      <c r="E50" s="133">
        <v>0.0306</v>
      </c>
      <c r="F50" s="954">
        <f>F47*E50</f>
        <v>1.027242</v>
      </c>
      <c r="G50" s="955"/>
      <c r="H50" s="589">
        <f t="shared" si="0"/>
        <v>0</v>
      </c>
      <c r="I50" s="956"/>
      <c r="J50" s="729">
        <f t="shared" si="1"/>
        <v>0</v>
      </c>
      <c r="K50" s="956"/>
      <c r="L50" s="729">
        <f t="shared" si="2"/>
        <v>0</v>
      </c>
      <c r="M50" s="729">
        <f t="shared" si="3"/>
        <v>0</v>
      </c>
    </row>
    <row r="51" spans="1:13" s="957" customFormat="1" ht="15.75">
      <c r="A51" s="951"/>
      <c r="B51" s="951"/>
      <c r="C51" s="953" t="s">
        <v>961</v>
      </c>
      <c r="D51" s="133" t="s">
        <v>32</v>
      </c>
      <c r="E51" s="133">
        <v>0.0636</v>
      </c>
      <c r="F51" s="954">
        <f>F47*E51</f>
        <v>2.135052</v>
      </c>
      <c r="G51" s="955"/>
      <c r="H51" s="589">
        <f t="shared" si="0"/>
        <v>0</v>
      </c>
      <c r="I51" s="956"/>
      <c r="J51" s="729">
        <f t="shared" si="1"/>
        <v>0</v>
      </c>
      <c r="K51" s="956"/>
      <c r="L51" s="729">
        <f t="shared" si="2"/>
        <v>0</v>
      </c>
      <c r="M51" s="729">
        <f t="shared" si="3"/>
        <v>0</v>
      </c>
    </row>
    <row r="52" spans="1:13" ht="15.75">
      <c r="A52" s="622"/>
      <c r="B52" s="135"/>
      <c r="C52" s="37"/>
      <c r="D52" s="133"/>
      <c r="E52" s="133"/>
      <c r="F52" s="948"/>
      <c r="G52" s="589"/>
      <c r="H52" s="589">
        <f t="shared" si="0"/>
        <v>0</v>
      </c>
      <c r="I52" s="729"/>
      <c r="J52" s="729">
        <f t="shared" si="1"/>
        <v>0</v>
      </c>
      <c r="K52" s="729"/>
      <c r="L52" s="729">
        <f t="shared" si="2"/>
        <v>0</v>
      </c>
      <c r="M52" s="729">
        <f t="shared" si="3"/>
        <v>0</v>
      </c>
    </row>
    <row r="53" spans="1:13" ht="54">
      <c r="A53" s="622">
        <v>12</v>
      </c>
      <c r="B53" s="135" t="s">
        <v>968</v>
      </c>
      <c r="C53" s="37" t="s">
        <v>969</v>
      </c>
      <c r="D53" s="133" t="s">
        <v>651</v>
      </c>
      <c r="E53" s="133"/>
      <c r="F53" s="948">
        <v>8.05</v>
      </c>
      <c r="G53" s="589"/>
      <c r="H53" s="589">
        <f t="shared" si="0"/>
        <v>0</v>
      </c>
      <c r="I53" s="729"/>
      <c r="J53" s="729">
        <f t="shared" si="1"/>
        <v>0</v>
      </c>
      <c r="K53" s="729"/>
      <c r="L53" s="729">
        <f t="shared" si="2"/>
        <v>0</v>
      </c>
      <c r="M53" s="729">
        <f t="shared" si="3"/>
        <v>0</v>
      </c>
    </row>
    <row r="54" spans="1:13" ht="16.5" customHeight="1">
      <c r="A54" s="622"/>
      <c r="B54" s="150"/>
      <c r="C54" s="150" t="s">
        <v>738</v>
      </c>
      <c r="D54" s="33" t="s">
        <v>15</v>
      </c>
      <c r="E54" s="150">
        <v>0.536</v>
      </c>
      <c r="F54" s="300">
        <f>F53*E54</f>
        <v>4.314800000000001</v>
      </c>
      <c r="G54" s="589"/>
      <c r="H54" s="589">
        <f t="shared" si="0"/>
        <v>0</v>
      </c>
      <c r="I54" s="729"/>
      <c r="J54" s="729">
        <f t="shared" si="1"/>
        <v>0</v>
      </c>
      <c r="K54" s="729"/>
      <c r="L54" s="729">
        <f t="shared" si="2"/>
        <v>0</v>
      </c>
      <c r="M54" s="729">
        <f t="shared" si="3"/>
        <v>0</v>
      </c>
    </row>
    <row r="55" spans="1:13" ht="15.75">
      <c r="A55" s="622"/>
      <c r="B55" s="150"/>
      <c r="C55" s="150" t="s">
        <v>897</v>
      </c>
      <c r="D55" s="150" t="s">
        <v>45</v>
      </c>
      <c r="E55" s="150">
        <v>0.0365</v>
      </c>
      <c r="F55" s="300">
        <f>F53*E55</f>
        <v>0.293825</v>
      </c>
      <c r="G55" s="589"/>
      <c r="H55" s="589">
        <f t="shared" si="0"/>
        <v>0</v>
      </c>
      <c r="I55" s="729"/>
      <c r="J55" s="729">
        <f t="shared" si="1"/>
        <v>0</v>
      </c>
      <c r="K55" s="729"/>
      <c r="L55" s="729">
        <f t="shared" si="2"/>
        <v>0</v>
      </c>
      <c r="M55" s="729">
        <f t="shared" si="3"/>
        <v>0</v>
      </c>
    </row>
    <row r="56" spans="1:13" ht="15.75">
      <c r="A56" s="622"/>
      <c r="B56" s="135"/>
      <c r="C56" s="37" t="s">
        <v>970</v>
      </c>
      <c r="D56" s="133" t="s">
        <v>651</v>
      </c>
      <c r="E56" s="133">
        <v>1.05</v>
      </c>
      <c r="F56" s="948">
        <f>F53*E56</f>
        <v>8.4525</v>
      </c>
      <c r="G56" s="589"/>
      <c r="H56" s="589">
        <f t="shared" si="0"/>
        <v>0</v>
      </c>
      <c r="I56" s="729"/>
      <c r="J56" s="729">
        <f t="shared" si="1"/>
        <v>0</v>
      </c>
      <c r="K56" s="729"/>
      <c r="L56" s="729">
        <f t="shared" si="2"/>
        <v>0</v>
      </c>
      <c r="M56" s="729">
        <f t="shared" si="3"/>
        <v>0</v>
      </c>
    </row>
    <row r="57" spans="1:13" ht="15.75">
      <c r="A57" s="622"/>
      <c r="B57" s="135"/>
      <c r="C57" s="37" t="s">
        <v>971</v>
      </c>
      <c r="D57" s="133" t="s">
        <v>972</v>
      </c>
      <c r="E57" s="133">
        <v>1.07</v>
      </c>
      <c r="F57" s="948">
        <f>F53*E57</f>
        <v>8.613500000000002</v>
      </c>
      <c r="G57" s="589"/>
      <c r="H57" s="589">
        <f t="shared" si="0"/>
        <v>0</v>
      </c>
      <c r="I57" s="729"/>
      <c r="J57" s="729">
        <f t="shared" si="1"/>
        <v>0</v>
      </c>
      <c r="K57" s="729"/>
      <c r="L57" s="729">
        <f t="shared" si="2"/>
        <v>0</v>
      </c>
      <c r="M57" s="729">
        <f t="shared" si="3"/>
        <v>0</v>
      </c>
    </row>
    <row r="58" spans="1:13" ht="15.75">
      <c r="A58" s="622"/>
      <c r="B58" s="135"/>
      <c r="C58" s="37" t="s">
        <v>67</v>
      </c>
      <c r="D58" s="133" t="s">
        <v>49</v>
      </c>
      <c r="E58" s="133">
        <v>0.138</v>
      </c>
      <c r="F58" s="948">
        <f>F53*E58</f>
        <v>1.1109000000000002</v>
      </c>
      <c r="G58" s="589"/>
      <c r="H58" s="589">
        <f t="shared" si="0"/>
        <v>0</v>
      </c>
      <c r="I58" s="729"/>
      <c r="J58" s="729">
        <f t="shared" si="1"/>
        <v>0</v>
      </c>
      <c r="K58" s="729"/>
      <c r="L58" s="729">
        <f t="shared" si="2"/>
        <v>0</v>
      </c>
      <c r="M58" s="729">
        <f t="shared" si="3"/>
        <v>0</v>
      </c>
    </row>
    <row r="59" spans="1:13" ht="15.75">
      <c r="A59" s="622"/>
      <c r="B59" s="135"/>
      <c r="C59" s="37" t="s">
        <v>965</v>
      </c>
      <c r="D59" s="133" t="s">
        <v>45</v>
      </c>
      <c r="E59" s="133">
        <v>0.107</v>
      </c>
      <c r="F59" s="948">
        <f>F53*E59</f>
        <v>0.8613500000000001</v>
      </c>
      <c r="G59" s="589"/>
      <c r="H59" s="589">
        <f t="shared" si="0"/>
        <v>0</v>
      </c>
      <c r="I59" s="729"/>
      <c r="J59" s="729">
        <f t="shared" si="1"/>
        <v>0</v>
      </c>
      <c r="K59" s="729"/>
      <c r="L59" s="729">
        <f t="shared" si="2"/>
        <v>0</v>
      </c>
      <c r="M59" s="729">
        <f t="shared" si="3"/>
        <v>0</v>
      </c>
    </row>
    <row r="60" spans="1:13" s="957" customFormat="1" ht="54">
      <c r="A60" s="951">
        <v>6</v>
      </c>
      <c r="B60" s="952" t="s">
        <v>973</v>
      </c>
      <c r="C60" s="953" t="s">
        <v>974</v>
      </c>
      <c r="D60" s="133" t="s">
        <v>729</v>
      </c>
      <c r="E60" s="133"/>
      <c r="F60" s="954">
        <v>25.52</v>
      </c>
      <c r="G60" s="955"/>
      <c r="H60" s="589">
        <f t="shared" si="0"/>
        <v>0</v>
      </c>
      <c r="I60" s="956"/>
      <c r="J60" s="729">
        <f t="shared" si="1"/>
        <v>0</v>
      </c>
      <c r="K60" s="956"/>
      <c r="L60" s="729">
        <f t="shared" si="2"/>
        <v>0</v>
      </c>
      <c r="M60" s="729">
        <f t="shared" si="3"/>
        <v>0</v>
      </c>
    </row>
    <row r="61" spans="1:13" s="638" customFormat="1" ht="13.5">
      <c r="A61" s="958"/>
      <c r="B61" s="958"/>
      <c r="C61" s="959" t="s">
        <v>955</v>
      </c>
      <c r="D61" s="960" t="s">
        <v>15</v>
      </c>
      <c r="E61" s="960">
        <v>2.8</v>
      </c>
      <c r="F61" s="961">
        <f>F60*E61</f>
        <v>71.45599999999999</v>
      </c>
      <c r="G61" s="955"/>
      <c r="H61" s="589">
        <f t="shared" si="0"/>
        <v>0</v>
      </c>
      <c r="I61" s="962"/>
      <c r="J61" s="729">
        <f t="shared" si="1"/>
        <v>0</v>
      </c>
      <c r="K61" s="962"/>
      <c r="L61" s="729">
        <f t="shared" si="2"/>
        <v>0</v>
      </c>
      <c r="M61" s="729">
        <f t="shared" si="3"/>
        <v>0</v>
      </c>
    </row>
    <row r="62" spans="1:13" s="638" customFormat="1" ht="13.5">
      <c r="A62" s="958"/>
      <c r="B62" s="958"/>
      <c r="C62" s="959" t="s">
        <v>44</v>
      </c>
      <c r="D62" s="960" t="s">
        <v>45</v>
      </c>
      <c r="E62" s="960">
        <v>0.035</v>
      </c>
      <c r="F62" s="961">
        <f>F60*E62</f>
        <v>0.8932000000000001</v>
      </c>
      <c r="G62" s="955"/>
      <c r="H62" s="589">
        <f t="shared" si="0"/>
        <v>0</v>
      </c>
      <c r="I62" s="962"/>
      <c r="J62" s="729">
        <f t="shared" si="1"/>
        <v>0</v>
      </c>
      <c r="K62" s="962"/>
      <c r="L62" s="729">
        <f t="shared" si="2"/>
        <v>0</v>
      </c>
      <c r="M62" s="729">
        <f t="shared" si="3"/>
        <v>0</v>
      </c>
    </row>
    <row r="63" spans="1:13" s="957" customFormat="1" ht="15.75">
      <c r="A63" s="951"/>
      <c r="B63" s="951"/>
      <c r="C63" s="953" t="s">
        <v>975</v>
      </c>
      <c r="D63" s="133" t="s">
        <v>729</v>
      </c>
      <c r="E63" s="133">
        <v>1</v>
      </c>
      <c r="F63" s="954">
        <f>F60*E63</f>
        <v>25.52</v>
      </c>
      <c r="G63" s="955"/>
      <c r="H63" s="589">
        <f t="shared" si="0"/>
        <v>0</v>
      </c>
      <c r="I63" s="956"/>
      <c r="J63" s="729">
        <f t="shared" si="1"/>
        <v>0</v>
      </c>
      <c r="K63" s="956"/>
      <c r="L63" s="729">
        <f t="shared" si="2"/>
        <v>0</v>
      </c>
      <c r="M63" s="729">
        <f t="shared" si="3"/>
        <v>0</v>
      </c>
    </row>
    <row r="64" spans="1:13" s="957" customFormat="1" ht="15.75">
      <c r="A64" s="951"/>
      <c r="B64" s="951"/>
      <c r="C64" s="953" t="s">
        <v>976</v>
      </c>
      <c r="D64" s="133" t="s">
        <v>960</v>
      </c>
      <c r="E64" s="133">
        <v>6</v>
      </c>
      <c r="F64" s="954">
        <f>F60*E64</f>
        <v>153.12</v>
      </c>
      <c r="G64" s="955"/>
      <c r="H64" s="589">
        <f t="shared" si="0"/>
        <v>0</v>
      </c>
      <c r="I64" s="956"/>
      <c r="J64" s="729">
        <f t="shared" si="1"/>
        <v>0</v>
      </c>
      <c r="K64" s="956"/>
      <c r="L64" s="729">
        <f t="shared" si="2"/>
        <v>0</v>
      </c>
      <c r="M64" s="729">
        <f t="shared" si="3"/>
        <v>0</v>
      </c>
    </row>
    <row r="65" spans="1:13" s="957" customFormat="1" ht="15.75">
      <c r="A65" s="951"/>
      <c r="B65" s="951"/>
      <c r="C65" s="953" t="s">
        <v>961</v>
      </c>
      <c r="D65" s="133" t="s">
        <v>32</v>
      </c>
      <c r="E65" s="133">
        <v>0.043</v>
      </c>
      <c r="F65" s="954">
        <f>F60*E65</f>
        <v>1.09736</v>
      </c>
      <c r="G65" s="955"/>
      <c r="H65" s="589">
        <f t="shared" si="0"/>
        <v>0</v>
      </c>
      <c r="I65" s="956"/>
      <c r="J65" s="729">
        <f t="shared" si="1"/>
        <v>0</v>
      </c>
      <c r="K65" s="956"/>
      <c r="L65" s="729">
        <f t="shared" si="2"/>
        <v>0</v>
      </c>
      <c r="M65" s="729">
        <f t="shared" si="3"/>
        <v>0</v>
      </c>
    </row>
    <row r="66" spans="1:13" ht="54">
      <c r="A66" s="622">
        <v>13</v>
      </c>
      <c r="B66" s="135" t="s">
        <v>977</v>
      </c>
      <c r="C66" s="37" t="s">
        <v>978</v>
      </c>
      <c r="D66" s="133" t="s">
        <v>651</v>
      </c>
      <c r="E66" s="133"/>
      <c r="F66" s="948">
        <v>16.56</v>
      </c>
      <c r="G66" s="589"/>
      <c r="H66" s="589">
        <f t="shared" si="0"/>
        <v>0</v>
      </c>
      <c r="I66" s="729"/>
      <c r="J66" s="729">
        <f t="shared" si="1"/>
        <v>0</v>
      </c>
      <c r="K66" s="729"/>
      <c r="L66" s="729">
        <f t="shared" si="2"/>
        <v>0</v>
      </c>
      <c r="M66" s="729">
        <f t="shared" si="3"/>
        <v>0</v>
      </c>
    </row>
    <row r="67" spans="1:13" ht="16.5" customHeight="1">
      <c r="A67" s="622"/>
      <c r="B67" s="150"/>
      <c r="C67" s="150" t="s">
        <v>738</v>
      </c>
      <c r="D67" s="33" t="s">
        <v>15</v>
      </c>
      <c r="E67" s="150">
        <v>1.16</v>
      </c>
      <c r="F67" s="300">
        <f>F66*E67</f>
        <v>19.2096</v>
      </c>
      <c r="G67" s="589"/>
      <c r="H67" s="589">
        <f t="shared" si="0"/>
        <v>0</v>
      </c>
      <c r="I67" s="729"/>
      <c r="J67" s="729">
        <f t="shared" si="1"/>
        <v>0</v>
      </c>
      <c r="K67" s="729"/>
      <c r="L67" s="729">
        <f t="shared" si="2"/>
        <v>0</v>
      </c>
      <c r="M67" s="729">
        <f t="shared" si="3"/>
        <v>0</v>
      </c>
    </row>
    <row r="68" spans="1:13" ht="15.75">
      <c r="A68" s="622"/>
      <c r="B68" s="150"/>
      <c r="C68" s="150" t="s">
        <v>897</v>
      </c>
      <c r="D68" s="150" t="s">
        <v>45</v>
      </c>
      <c r="E68" s="150">
        <v>0.13</v>
      </c>
      <c r="F68" s="300">
        <f>F66*E68</f>
        <v>2.1528</v>
      </c>
      <c r="G68" s="589"/>
      <c r="H68" s="589">
        <f t="shared" si="0"/>
        <v>0</v>
      </c>
      <c r="I68" s="729"/>
      <c r="J68" s="729">
        <f t="shared" si="1"/>
        <v>0</v>
      </c>
      <c r="K68" s="729"/>
      <c r="L68" s="729">
        <f t="shared" si="2"/>
        <v>0</v>
      </c>
      <c r="M68" s="729">
        <f t="shared" si="3"/>
        <v>0</v>
      </c>
    </row>
    <row r="69" spans="1:13" s="957" customFormat="1" ht="15.75">
      <c r="A69" s="951"/>
      <c r="B69" s="951"/>
      <c r="C69" s="959" t="s">
        <v>979</v>
      </c>
      <c r="D69" s="133" t="s">
        <v>729</v>
      </c>
      <c r="E69" s="133"/>
      <c r="F69" s="954">
        <v>7.36</v>
      </c>
      <c r="G69" s="955"/>
      <c r="H69" s="589">
        <f t="shared" si="0"/>
        <v>0</v>
      </c>
      <c r="I69" s="956"/>
      <c r="J69" s="729">
        <f t="shared" si="1"/>
        <v>0</v>
      </c>
      <c r="K69" s="956"/>
      <c r="L69" s="729">
        <f t="shared" si="2"/>
        <v>0</v>
      </c>
      <c r="M69" s="729">
        <f t="shared" si="3"/>
        <v>0</v>
      </c>
    </row>
    <row r="70" spans="1:13" s="957" customFormat="1" ht="27">
      <c r="A70" s="951"/>
      <c r="B70" s="951"/>
      <c r="C70" s="959" t="s">
        <v>980</v>
      </c>
      <c r="D70" s="133" t="s">
        <v>729</v>
      </c>
      <c r="E70" s="133"/>
      <c r="F70" s="954">
        <v>9.2</v>
      </c>
      <c r="G70" s="955"/>
      <c r="H70" s="589">
        <f t="shared" si="0"/>
        <v>0</v>
      </c>
      <c r="I70" s="956"/>
      <c r="J70" s="729">
        <f t="shared" si="1"/>
        <v>0</v>
      </c>
      <c r="K70" s="956"/>
      <c r="L70" s="729">
        <f t="shared" si="2"/>
        <v>0</v>
      </c>
      <c r="M70" s="729">
        <f t="shared" si="3"/>
        <v>0</v>
      </c>
    </row>
    <row r="71" spans="1:13" ht="15.75">
      <c r="A71" s="622"/>
      <c r="B71" s="135"/>
      <c r="C71" s="37" t="s">
        <v>965</v>
      </c>
      <c r="D71" s="133" t="s">
        <v>45</v>
      </c>
      <c r="E71" s="133">
        <v>0.0206</v>
      </c>
      <c r="F71" s="948">
        <f>F66*E71</f>
        <v>0.341136</v>
      </c>
      <c r="G71" s="589"/>
      <c r="H71" s="589">
        <f t="shared" si="0"/>
        <v>0</v>
      </c>
      <c r="I71" s="729"/>
      <c r="J71" s="729">
        <f t="shared" si="1"/>
        <v>0</v>
      </c>
      <c r="K71" s="729"/>
      <c r="L71" s="729">
        <f t="shared" si="2"/>
        <v>0</v>
      </c>
      <c r="M71" s="729">
        <f t="shared" si="3"/>
        <v>0</v>
      </c>
    </row>
    <row r="72" spans="1:13" ht="54">
      <c r="A72" s="622">
        <v>14</v>
      </c>
      <c r="B72" s="135" t="s">
        <v>981</v>
      </c>
      <c r="C72" s="37" t="s">
        <v>982</v>
      </c>
      <c r="D72" s="133" t="s">
        <v>651</v>
      </c>
      <c r="E72" s="133"/>
      <c r="F72" s="948">
        <v>1.44</v>
      </c>
      <c r="G72" s="589"/>
      <c r="H72" s="589">
        <f t="shared" si="0"/>
        <v>0</v>
      </c>
      <c r="I72" s="729"/>
      <c r="J72" s="729">
        <f t="shared" si="1"/>
        <v>0</v>
      </c>
      <c r="K72" s="729"/>
      <c r="L72" s="729">
        <f t="shared" si="2"/>
        <v>0</v>
      </c>
      <c r="M72" s="729">
        <f t="shared" si="3"/>
        <v>0</v>
      </c>
    </row>
    <row r="73" spans="1:13" ht="16.5" customHeight="1">
      <c r="A73" s="622"/>
      <c r="B73" s="150"/>
      <c r="C73" s="150" t="s">
        <v>738</v>
      </c>
      <c r="D73" s="33" t="s">
        <v>15</v>
      </c>
      <c r="E73" s="150">
        <v>2.72</v>
      </c>
      <c r="F73" s="300">
        <f>F72*E73</f>
        <v>3.9168000000000003</v>
      </c>
      <c r="G73" s="589"/>
      <c r="H73" s="589">
        <f t="shared" si="0"/>
        <v>0</v>
      </c>
      <c r="I73" s="729"/>
      <c r="J73" s="729">
        <f t="shared" si="1"/>
        <v>0</v>
      </c>
      <c r="K73" s="729"/>
      <c r="L73" s="729">
        <f t="shared" si="2"/>
        <v>0</v>
      </c>
      <c r="M73" s="729">
        <f t="shared" si="3"/>
        <v>0</v>
      </c>
    </row>
    <row r="74" spans="1:13" ht="15.75">
      <c r="A74" s="622"/>
      <c r="B74" s="135"/>
      <c r="C74" s="37" t="s">
        <v>983</v>
      </c>
      <c r="D74" s="133" t="s">
        <v>651</v>
      </c>
      <c r="E74" s="133">
        <v>1</v>
      </c>
      <c r="F74" s="948">
        <f>F72*E74</f>
        <v>1.44</v>
      </c>
      <c r="G74" s="589"/>
      <c r="H74" s="589">
        <f t="shared" si="0"/>
        <v>0</v>
      </c>
      <c r="I74" s="729"/>
      <c r="J74" s="729">
        <f t="shared" si="1"/>
        <v>0</v>
      </c>
      <c r="K74" s="729"/>
      <c r="L74" s="729">
        <f t="shared" si="2"/>
        <v>0</v>
      </c>
      <c r="M74" s="729">
        <f t="shared" si="3"/>
        <v>0</v>
      </c>
    </row>
    <row r="75" spans="1:13" ht="54">
      <c r="A75" s="622">
        <v>15</v>
      </c>
      <c r="B75" s="135" t="s">
        <v>984</v>
      </c>
      <c r="C75" s="37" t="s">
        <v>985</v>
      </c>
      <c r="D75" s="133" t="s">
        <v>651</v>
      </c>
      <c r="E75" s="133"/>
      <c r="F75" s="948">
        <v>166.6</v>
      </c>
      <c r="G75" s="589"/>
      <c r="H75" s="589">
        <f aca="true" t="shared" si="4" ref="H75:H138">F75*G75</f>
        <v>0</v>
      </c>
      <c r="I75" s="729"/>
      <c r="J75" s="729">
        <f aca="true" t="shared" si="5" ref="J75:J138">F75*I75</f>
        <v>0</v>
      </c>
      <c r="K75" s="729"/>
      <c r="L75" s="729">
        <f aca="true" t="shared" si="6" ref="L75:L138">F75*K75</f>
        <v>0</v>
      </c>
      <c r="M75" s="729">
        <f aca="true" t="shared" si="7" ref="M75:M138">H75+J75+L75</f>
        <v>0</v>
      </c>
    </row>
    <row r="76" spans="1:13" ht="16.5" customHeight="1">
      <c r="A76" s="622"/>
      <c r="B76" s="150"/>
      <c r="C76" s="150" t="s">
        <v>738</v>
      </c>
      <c r="D76" s="33" t="s">
        <v>15</v>
      </c>
      <c r="E76" s="150">
        <v>1.01</v>
      </c>
      <c r="F76" s="300">
        <f>F75*E76</f>
        <v>168.266</v>
      </c>
      <c r="G76" s="589"/>
      <c r="H76" s="589">
        <f t="shared" si="4"/>
        <v>0</v>
      </c>
      <c r="I76" s="729"/>
      <c r="J76" s="729">
        <f t="shared" si="5"/>
        <v>0</v>
      </c>
      <c r="K76" s="729"/>
      <c r="L76" s="729">
        <f t="shared" si="6"/>
        <v>0</v>
      </c>
      <c r="M76" s="729">
        <f t="shared" si="7"/>
        <v>0</v>
      </c>
    </row>
    <row r="77" spans="1:13" ht="15.75">
      <c r="A77" s="622"/>
      <c r="B77" s="150"/>
      <c r="C77" s="150" t="s">
        <v>897</v>
      </c>
      <c r="D77" s="150" t="s">
        <v>45</v>
      </c>
      <c r="E77" s="150">
        <v>0.027</v>
      </c>
      <c r="F77" s="300">
        <f>F75*E77</f>
        <v>4.4982</v>
      </c>
      <c r="G77" s="589"/>
      <c r="H77" s="589">
        <f t="shared" si="4"/>
        <v>0</v>
      </c>
      <c r="I77" s="729"/>
      <c r="J77" s="729">
        <f t="shared" si="5"/>
        <v>0</v>
      </c>
      <c r="K77" s="729"/>
      <c r="L77" s="729">
        <f t="shared" si="6"/>
        <v>0</v>
      </c>
      <c r="M77" s="729">
        <f t="shared" si="7"/>
        <v>0</v>
      </c>
    </row>
    <row r="78" spans="1:13" ht="15.75">
      <c r="A78" s="622"/>
      <c r="B78" s="135"/>
      <c r="C78" s="37" t="s">
        <v>986</v>
      </c>
      <c r="D78" s="133" t="s">
        <v>950</v>
      </c>
      <c r="E78" s="133">
        <v>0.035</v>
      </c>
      <c r="F78" s="948">
        <f>F75*E78</f>
        <v>5.831</v>
      </c>
      <c r="G78" s="589"/>
      <c r="H78" s="589">
        <f t="shared" si="4"/>
        <v>0</v>
      </c>
      <c r="I78" s="729"/>
      <c r="J78" s="729">
        <f t="shared" si="5"/>
        <v>0</v>
      </c>
      <c r="K78" s="729"/>
      <c r="L78" s="729">
        <f t="shared" si="6"/>
        <v>0</v>
      </c>
      <c r="M78" s="729">
        <f t="shared" si="7"/>
        <v>0</v>
      </c>
    </row>
    <row r="79" spans="1:13" ht="15.75">
      <c r="A79" s="622"/>
      <c r="B79" s="135"/>
      <c r="C79" s="37" t="s">
        <v>965</v>
      </c>
      <c r="D79" s="133" t="s">
        <v>45</v>
      </c>
      <c r="E79" s="133">
        <v>0.003</v>
      </c>
      <c r="F79" s="948">
        <f>F75*E79</f>
        <v>0.49979999999999997</v>
      </c>
      <c r="G79" s="589"/>
      <c r="H79" s="589">
        <f t="shared" si="4"/>
        <v>0</v>
      </c>
      <c r="I79" s="729"/>
      <c r="J79" s="729">
        <f t="shared" si="5"/>
        <v>0</v>
      </c>
      <c r="K79" s="729"/>
      <c r="L79" s="729">
        <f t="shared" si="6"/>
        <v>0</v>
      </c>
      <c r="M79" s="729">
        <f t="shared" si="7"/>
        <v>0</v>
      </c>
    </row>
    <row r="80" spans="1:13" s="957" customFormat="1" ht="54">
      <c r="A80" s="951">
        <v>2</v>
      </c>
      <c r="B80" s="952" t="s">
        <v>987</v>
      </c>
      <c r="C80" s="953" t="s">
        <v>988</v>
      </c>
      <c r="D80" s="133" t="s">
        <v>729</v>
      </c>
      <c r="E80" s="133"/>
      <c r="F80" s="954">
        <v>166.6</v>
      </c>
      <c r="G80" s="955"/>
      <c r="H80" s="589">
        <f t="shared" si="4"/>
        <v>0</v>
      </c>
      <c r="I80" s="956"/>
      <c r="J80" s="729">
        <f t="shared" si="5"/>
        <v>0</v>
      </c>
      <c r="K80" s="956"/>
      <c r="L80" s="729">
        <f t="shared" si="6"/>
        <v>0</v>
      </c>
      <c r="M80" s="729">
        <f t="shared" si="7"/>
        <v>0</v>
      </c>
    </row>
    <row r="81" spans="1:13" s="638" customFormat="1" ht="13.5">
      <c r="A81" s="958"/>
      <c r="B81" s="958"/>
      <c r="C81" s="959" t="s">
        <v>955</v>
      </c>
      <c r="D81" s="960" t="s">
        <v>15</v>
      </c>
      <c r="E81" s="960">
        <v>1.7</v>
      </c>
      <c r="F81" s="961">
        <f>F80*E81</f>
        <v>283.21999999999997</v>
      </c>
      <c r="G81" s="955"/>
      <c r="H81" s="589">
        <f t="shared" si="4"/>
        <v>0</v>
      </c>
      <c r="I81" s="962"/>
      <c r="J81" s="729">
        <f t="shared" si="5"/>
        <v>0</v>
      </c>
      <c r="K81" s="962"/>
      <c r="L81" s="729">
        <f t="shared" si="6"/>
        <v>0</v>
      </c>
      <c r="M81" s="729">
        <f t="shared" si="7"/>
        <v>0</v>
      </c>
    </row>
    <row r="82" spans="1:13" s="638" customFormat="1" ht="13.5">
      <c r="A82" s="958"/>
      <c r="B82" s="958"/>
      <c r="C82" s="959" t="s">
        <v>44</v>
      </c>
      <c r="D82" s="960" t="s">
        <v>45</v>
      </c>
      <c r="E82" s="960">
        <v>0.02</v>
      </c>
      <c r="F82" s="961">
        <f>F80*E82</f>
        <v>3.332</v>
      </c>
      <c r="G82" s="955"/>
      <c r="H82" s="589">
        <f t="shared" si="4"/>
        <v>0</v>
      </c>
      <c r="I82" s="962"/>
      <c r="J82" s="729">
        <f t="shared" si="5"/>
        <v>0</v>
      </c>
      <c r="K82" s="962"/>
      <c r="L82" s="729">
        <f t="shared" si="6"/>
        <v>0</v>
      </c>
      <c r="M82" s="729">
        <f t="shared" si="7"/>
        <v>0</v>
      </c>
    </row>
    <row r="83" spans="1:13" s="957" customFormat="1" ht="15.75">
      <c r="A83" s="951"/>
      <c r="B83" s="951"/>
      <c r="C83" s="953" t="s">
        <v>976</v>
      </c>
      <c r="D83" s="133" t="s">
        <v>960</v>
      </c>
      <c r="E83" s="133">
        <v>6</v>
      </c>
      <c r="F83" s="954">
        <f>F80*E83</f>
        <v>999.5999999999999</v>
      </c>
      <c r="G83" s="955"/>
      <c r="H83" s="589">
        <f t="shared" si="4"/>
        <v>0</v>
      </c>
      <c r="I83" s="956"/>
      <c r="J83" s="729">
        <f t="shared" si="5"/>
        <v>0</v>
      </c>
      <c r="K83" s="956"/>
      <c r="L83" s="729">
        <f t="shared" si="6"/>
        <v>0</v>
      </c>
      <c r="M83" s="729">
        <f t="shared" si="7"/>
        <v>0</v>
      </c>
    </row>
    <row r="84" spans="1:13" s="957" customFormat="1" ht="15.75">
      <c r="A84" s="951"/>
      <c r="B84" s="951"/>
      <c r="C84" s="953" t="s">
        <v>989</v>
      </c>
      <c r="D84" s="133" t="s">
        <v>729</v>
      </c>
      <c r="E84" s="133">
        <v>1</v>
      </c>
      <c r="F84" s="954">
        <f>F80*E84</f>
        <v>166.6</v>
      </c>
      <c r="G84" s="955"/>
      <c r="H84" s="589">
        <f t="shared" si="4"/>
        <v>0</v>
      </c>
      <c r="I84" s="956"/>
      <c r="J84" s="729">
        <f t="shared" si="5"/>
        <v>0</v>
      </c>
      <c r="K84" s="956"/>
      <c r="L84" s="729">
        <f t="shared" si="6"/>
        <v>0</v>
      </c>
      <c r="M84" s="729">
        <f t="shared" si="7"/>
        <v>0</v>
      </c>
    </row>
    <row r="85" spans="1:13" s="957" customFormat="1" ht="15.75">
      <c r="A85" s="951"/>
      <c r="B85" s="951"/>
      <c r="C85" s="953" t="s">
        <v>961</v>
      </c>
      <c r="D85" s="133" t="s">
        <v>32</v>
      </c>
      <c r="E85" s="133">
        <v>0.007</v>
      </c>
      <c r="F85" s="954">
        <f>F80*E85</f>
        <v>1.1662</v>
      </c>
      <c r="G85" s="955"/>
      <c r="H85" s="589">
        <f t="shared" si="4"/>
        <v>0</v>
      </c>
      <c r="I85" s="956"/>
      <c r="J85" s="729">
        <f t="shared" si="5"/>
        <v>0</v>
      </c>
      <c r="K85" s="956"/>
      <c r="L85" s="729">
        <f t="shared" si="6"/>
        <v>0</v>
      </c>
      <c r="M85" s="729">
        <f t="shared" si="7"/>
        <v>0</v>
      </c>
    </row>
    <row r="86" spans="1:13" s="957" customFormat="1" ht="54">
      <c r="A86" s="951">
        <v>1</v>
      </c>
      <c r="B86" s="952" t="s">
        <v>990</v>
      </c>
      <c r="C86" s="953" t="s">
        <v>991</v>
      </c>
      <c r="D86" s="133" t="s">
        <v>729</v>
      </c>
      <c r="E86" s="133"/>
      <c r="F86" s="954">
        <v>33.57</v>
      </c>
      <c r="G86" s="955"/>
      <c r="H86" s="589">
        <f t="shared" si="4"/>
        <v>0</v>
      </c>
      <c r="I86" s="956"/>
      <c r="J86" s="729">
        <f t="shared" si="5"/>
        <v>0</v>
      </c>
      <c r="K86" s="956"/>
      <c r="L86" s="729">
        <f t="shared" si="6"/>
        <v>0</v>
      </c>
      <c r="M86" s="729">
        <f t="shared" si="7"/>
        <v>0</v>
      </c>
    </row>
    <row r="87" spans="1:13" s="638" customFormat="1" ht="13.5">
      <c r="A87" s="958"/>
      <c r="B87" s="958"/>
      <c r="C87" s="959" t="s">
        <v>955</v>
      </c>
      <c r="D87" s="960" t="s">
        <v>15</v>
      </c>
      <c r="E87" s="960">
        <v>1.11</v>
      </c>
      <c r="F87" s="961">
        <f>F86*E87</f>
        <v>37.2627</v>
      </c>
      <c r="G87" s="955"/>
      <c r="H87" s="589">
        <f t="shared" si="4"/>
        <v>0</v>
      </c>
      <c r="I87" s="962"/>
      <c r="J87" s="729">
        <f t="shared" si="5"/>
        <v>0</v>
      </c>
      <c r="K87" s="962"/>
      <c r="L87" s="729">
        <f t="shared" si="6"/>
        <v>0</v>
      </c>
      <c r="M87" s="729">
        <f t="shared" si="7"/>
        <v>0</v>
      </c>
    </row>
    <row r="88" spans="1:13" s="638" customFormat="1" ht="13.5">
      <c r="A88" s="958"/>
      <c r="B88" s="958"/>
      <c r="C88" s="959" t="s">
        <v>44</v>
      </c>
      <c r="D88" s="960" t="s">
        <v>45</v>
      </c>
      <c r="E88" s="960">
        <v>0.0104</v>
      </c>
      <c r="F88" s="961">
        <f>F86*E88</f>
        <v>0.349128</v>
      </c>
      <c r="G88" s="955"/>
      <c r="H88" s="589">
        <f t="shared" si="4"/>
        <v>0</v>
      </c>
      <c r="I88" s="962"/>
      <c r="J88" s="729">
        <f t="shared" si="5"/>
        <v>0</v>
      </c>
      <c r="K88" s="962"/>
      <c r="L88" s="729">
        <f t="shared" si="6"/>
        <v>0</v>
      </c>
      <c r="M88" s="729">
        <f t="shared" si="7"/>
        <v>0</v>
      </c>
    </row>
    <row r="89" spans="1:13" s="957" customFormat="1" ht="15.75">
      <c r="A89" s="951"/>
      <c r="B89" s="951"/>
      <c r="C89" s="953" t="s">
        <v>992</v>
      </c>
      <c r="D89" s="133" t="s">
        <v>729</v>
      </c>
      <c r="E89" s="133">
        <v>1</v>
      </c>
      <c r="F89" s="954">
        <f>F86*E89</f>
        <v>33.57</v>
      </c>
      <c r="G89" s="955"/>
      <c r="H89" s="589">
        <f t="shared" si="4"/>
        <v>0</v>
      </c>
      <c r="I89" s="956"/>
      <c r="J89" s="729">
        <f t="shared" si="5"/>
        <v>0</v>
      </c>
      <c r="K89" s="956"/>
      <c r="L89" s="729">
        <f t="shared" si="6"/>
        <v>0</v>
      </c>
      <c r="M89" s="729">
        <f t="shared" si="7"/>
        <v>0</v>
      </c>
    </row>
    <row r="90" spans="1:13" s="957" customFormat="1" ht="15.75">
      <c r="A90" s="951"/>
      <c r="B90" s="951"/>
      <c r="C90" s="953" t="s">
        <v>993</v>
      </c>
      <c r="D90" s="133" t="s">
        <v>651</v>
      </c>
      <c r="E90" s="133">
        <v>1.03</v>
      </c>
      <c r="F90" s="954">
        <f>F86*E90</f>
        <v>34.5771</v>
      </c>
      <c r="G90" s="955"/>
      <c r="H90" s="589">
        <f t="shared" si="4"/>
        <v>0</v>
      </c>
      <c r="I90" s="956"/>
      <c r="J90" s="729">
        <f t="shared" si="5"/>
        <v>0</v>
      </c>
      <c r="K90" s="956"/>
      <c r="L90" s="729">
        <f t="shared" si="6"/>
        <v>0</v>
      </c>
      <c r="M90" s="729">
        <f t="shared" si="7"/>
        <v>0</v>
      </c>
    </row>
    <row r="91" spans="1:13" s="957" customFormat="1" ht="15.75">
      <c r="A91" s="951"/>
      <c r="B91" s="951"/>
      <c r="C91" s="953" t="s">
        <v>961</v>
      </c>
      <c r="D91" s="133" t="s">
        <v>32</v>
      </c>
      <c r="E91" s="133">
        <v>0.163</v>
      </c>
      <c r="F91" s="954">
        <f>F86*E91</f>
        <v>5.47191</v>
      </c>
      <c r="G91" s="955"/>
      <c r="H91" s="589">
        <f t="shared" si="4"/>
        <v>0</v>
      </c>
      <c r="I91" s="956"/>
      <c r="J91" s="729">
        <f t="shared" si="5"/>
        <v>0</v>
      </c>
      <c r="K91" s="956"/>
      <c r="L91" s="729">
        <f t="shared" si="6"/>
        <v>0</v>
      </c>
      <c r="M91" s="729">
        <f t="shared" si="7"/>
        <v>0</v>
      </c>
    </row>
    <row r="92" spans="1:13" ht="67.5">
      <c r="A92" s="622">
        <v>16</v>
      </c>
      <c r="B92" s="135" t="s">
        <v>994</v>
      </c>
      <c r="C92" s="37" t="s">
        <v>995</v>
      </c>
      <c r="D92" s="133" t="s">
        <v>651</v>
      </c>
      <c r="E92" s="133"/>
      <c r="F92" s="948">
        <v>46</v>
      </c>
      <c r="G92" s="589"/>
      <c r="H92" s="589">
        <f t="shared" si="4"/>
        <v>0</v>
      </c>
      <c r="I92" s="729"/>
      <c r="J92" s="729">
        <f t="shared" si="5"/>
        <v>0</v>
      </c>
      <c r="K92" s="729"/>
      <c r="L92" s="729">
        <f t="shared" si="6"/>
        <v>0</v>
      </c>
      <c r="M92" s="729">
        <f t="shared" si="7"/>
        <v>0</v>
      </c>
    </row>
    <row r="93" spans="1:13" ht="16.5" customHeight="1">
      <c r="A93" s="622"/>
      <c r="B93" s="150"/>
      <c r="C93" s="150" t="s">
        <v>738</v>
      </c>
      <c r="D93" s="33" t="s">
        <v>15</v>
      </c>
      <c r="E93" s="150">
        <v>0.856</v>
      </c>
      <c r="F93" s="300">
        <f>F92*E93</f>
        <v>39.376</v>
      </c>
      <c r="G93" s="589"/>
      <c r="H93" s="589">
        <f t="shared" si="4"/>
        <v>0</v>
      </c>
      <c r="I93" s="729"/>
      <c r="J93" s="729">
        <f t="shared" si="5"/>
        <v>0</v>
      </c>
      <c r="K93" s="729"/>
      <c r="L93" s="729">
        <f t="shared" si="6"/>
        <v>0</v>
      </c>
      <c r="M93" s="729">
        <f t="shared" si="7"/>
        <v>0</v>
      </c>
    </row>
    <row r="94" spans="1:13" ht="15.75">
      <c r="A94" s="622"/>
      <c r="B94" s="150"/>
      <c r="C94" s="150" t="s">
        <v>897</v>
      </c>
      <c r="D94" s="150" t="s">
        <v>45</v>
      </c>
      <c r="E94" s="150">
        <v>0.012</v>
      </c>
      <c r="F94" s="300">
        <f>F92*E94</f>
        <v>0.552</v>
      </c>
      <c r="G94" s="589"/>
      <c r="H94" s="589">
        <f t="shared" si="4"/>
        <v>0</v>
      </c>
      <c r="I94" s="729"/>
      <c r="J94" s="729">
        <f t="shared" si="5"/>
        <v>0</v>
      </c>
      <c r="K94" s="729"/>
      <c r="L94" s="729">
        <f t="shared" si="6"/>
        <v>0</v>
      </c>
      <c r="M94" s="729">
        <f t="shared" si="7"/>
        <v>0</v>
      </c>
    </row>
    <row r="95" spans="1:13" ht="15.75">
      <c r="A95" s="622"/>
      <c r="B95" s="135"/>
      <c r="C95" s="37" t="s">
        <v>996</v>
      </c>
      <c r="D95" s="133" t="s">
        <v>49</v>
      </c>
      <c r="E95" s="133">
        <v>0.63</v>
      </c>
      <c r="F95" s="948">
        <f>F92*E95</f>
        <v>28.98</v>
      </c>
      <c r="G95" s="589"/>
      <c r="H95" s="589">
        <f t="shared" si="4"/>
        <v>0</v>
      </c>
      <c r="I95" s="729"/>
      <c r="J95" s="729">
        <f t="shared" si="5"/>
        <v>0</v>
      </c>
      <c r="K95" s="729"/>
      <c r="L95" s="729">
        <f t="shared" si="6"/>
        <v>0</v>
      </c>
      <c r="M95" s="729">
        <f t="shared" si="7"/>
        <v>0</v>
      </c>
    </row>
    <row r="96" spans="1:13" ht="15.75">
      <c r="A96" s="622"/>
      <c r="B96" s="135"/>
      <c r="C96" s="37" t="s">
        <v>997</v>
      </c>
      <c r="D96" s="133" t="s">
        <v>49</v>
      </c>
      <c r="E96" s="133">
        <v>0.92</v>
      </c>
      <c r="F96" s="948">
        <f>F92*E96</f>
        <v>42.32</v>
      </c>
      <c r="G96" s="589"/>
      <c r="H96" s="589">
        <f t="shared" si="4"/>
        <v>0</v>
      </c>
      <c r="I96" s="729"/>
      <c r="J96" s="729">
        <f t="shared" si="5"/>
        <v>0</v>
      </c>
      <c r="K96" s="729"/>
      <c r="L96" s="729">
        <f t="shared" si="6"/>
        <v>0</v>
      </c>
      <c r="M96" s="729">
        <f t="shared" si="7"/>
        <v>0</v>
      </c>
    </row>
    <row r="97" spans="1:13" ht="15.75">
      <c r="A97" s="622"/>
      <c r="B97" s="135"/>
      <c r="C97" s="37" t="s">
        <v>965</v>
      </c>
      <c r="D97" s="133" t="s">
        <v>45</v>
      </c>
      <c r="E97" s="133">
        <v>0.018</v>
      </c>
      <c r="F97" s="948">
        <f>F92*E97</f>
        <v>0.828</v>
      </c>
      <c r="G97" s="589"/>
      <c r="H97" s="589">
        <f t="shared" si="4"/>
        <v>0</v>
      </c>
      <c r="I97" s="729"/>
      <c r="J97" s="729">
        <f t="shared" si="5"/>
        <v>0</v>
      </c>
      <c r="K97" s="729"/>
      <c r="L97" s="729">
        <f t="shared" si="6"/>
        <v>0</v>
      </c>
      <c r="M97" s="729">
        <f t="shared" si="7"/>
        <v>0</v>
      </c>
    </row>
    <row r="98" spans="1:13" ht="15.75">
      <c r="A98" s="844"/>
      <c r="B98" s="629"/>
      <c r="C98" s="623"/>
      <c r="D98" s="132"/>
      <c r="E98" s="132"/>
      <c r="F98" s="946"/>
      <c r="G98" s="729"/>
      <c r="H98" s="729">
        <f t="shared" si="4"/>
        <v>0</v>
      </c>
      <c r="I98" s="729"/>
      <c r="J98" s="729">
        <f t="shared" si="5"/>
        <v>0</v>
      </c>
      <c r="K98" s="729"/>
      <c r="L98" s="729">
        <f t="shared" si="6"/>
        <v>0</v>
      </c>
      <c r="M98" s="729">
        <f t="shared" si="7"/>
        <v>0</v>
      </c>
    </row>
    <row r="99" spans="1:13" s="968" customFormat="1" ht="38.25">
      <c r="A99" s="634"/>
      <c r="B99" s="963"/>
      <c r="C99" s="964" t="s">
        <v>998</v>
      </c>
      <c r="D99" s="965"/>
      <c r="E99" s="965"/>
      <c r="F99" s="966"/>
      <c r="G99" s="967"/>
      <c r="H99" s="729">
        <f t="shared" si="4"/>
        <v>0</v>
      </c>
      <c r="I99" s="967"/>
      <c r="J99" s="729">
        <f t="shared" si="5"/>
        <v>0</v>
      </c>
      <c r="K99" s="967"/>
      <c r="L99" s="729">
        <f t="shared" si="6"/>
        <v>0</v>
      </c>
      <c r="M99" s="729">
        <f t="shared" si="7"/>
        <v>0</v>
      </c>
    </row>
    <row r="100" spans="1:13" s="968" customFormat="1" ht="67.5">
      <c r="A100" s="844">
        <v>1</v>
      </c>
      <c r="B100" s="629" t="s">
        <v>935</v>
      </c>
      <c r="C100" s="623" t="s">
        <v>999</v>
      </c>
      <c r="D100" s="132" t="s">
        <v>651</v>
      </c>
      <c r="E100" s="132"/>
      <c r="F100" s="946">
        <v>6.6</v>
      </c>
      <c r="G100" s="729"/>
      <c r="H100" s="729">
        <f t="shared" si="4"/>
        <v>0</v>
      </c>
      <c r="I100" s="729"/>
      <c r="J100" s="729">
        <f t="shared" si="5"/>
        <v>0</v>
      </c>
      <c r="K100" s="729"/>
      <c r="L100" s="729">
        <f t="shared" si="6"/>
        <v>0</v>
      </c>
      <c r="M100" s="729">
        <f t="shared" si="7"/>
        <v>0</v>
      </c>
    </row>
    <row r="101" spans="1:13" s="968" customFormat="1" ht="15.75">
      <c r="A101" s="844"/>
      <c r="B101" s="634"/>
      <c r="C101" s="634" t="s">
        <v>738</v>
      </c>
      <c r="D101" s="696" t="s">
        <v>15</v>
      </c>
      <c r="E101" s="634">
        <v>0.887</v>
      </c>
      <c r="F101" s="947">
        <f>F100*E101</f>
        <v>5.8542</v>
      </c>
      <c r="G101" s="729"/>
      <c r="H101" s="729">
        <f t="shared" si="4"/>
        <v>0</v>
      </c>
      <c r="I101" s="729"/>
      <c r="J101" s="729">
        <f t="shared" si="5"/>
        <v>0</v>
      </c>
      <c r="K101" s="729"/>
      <c r="L101" s="729">
        <f t="shared" si="6"/>
        <v>0</v>
      </c>
      <c r="M101" s="729">
        <f t="shared" si="7"/>
        <v>0</v>
      </c>
    </row>
    <row r="102" spans="1:13" s="968" customFormat="1" ht="15.75">
      <c r="A102" s="844"/>
      <c r="B102" s="634"/>
      <c r="C102" s="634" t="s">
        <v>897</v>
      </c>
      <c r="D102" s="634" t="s">
        <v>45</v>
      </c>
      <c r="E102" s="634">
        <v>0.0984</v>
      </c>
      <c r="F102" s="947">
        <f>F100*E102</f>
        <v>0.64944</v>
      </c>
      <c r="G102" s="729"/>
      <c r="H102" s="729">
        <f t="shared" si="4"/>
        <v>0</v>
      </c>
      <c r="I102" s="729"/>
      <c r="J102" s="729">
        <f t="shared" si="5"/>
        <v>0</v>
      </c>
      <c r="K102" s="729"/>
      <c r="L102" s="729">
        <f t="shared" si="6"/>
        <v>0</v>
      </c>
      <c r="M102" s="729">
        <f t="shared" si="7"/>
        <v>0</v>
      </c>
    </row>
    <row r="103" spans="1:13" s="968" customFormat="1" ht="67.5">
      <c r="A103" s="844">
        <v>2</v>
      </c>
      <c r="B103" s="629" t="s">
        <v>937</v>
      </c>
      <c r="C103" s="623" t="s">
        <v>1000</v>
      </c>
      <c r="D103" s="132" t="s">
        <v>651</v>
      </c>
      <c r="E103" s="132"/>
      <c r="F103" s="946">
        <v>5.3</v>
      </c>
      <c r="G103" s="729"/>
      <c r="H103" s="729">
        <f t="shared" si="4"/>
        <v>0</v>
      </c>
      <c r="I103" s="729"/>
      <c r="J103" s="729">
        <f t="shared" si="5"/>
        <v>0</v>
      </c>
      <c r="K103" s="729"/>
      <c r="L103" s="729">
        <f t="shared" si="6"/>
        <v>0</v>
      </c>
      <c r="M103" s="729">
        <f t="shared" si="7"/>
        <v>0</v>
      </c>
    </row>
    <row r="104" spans="1:13" s="968" customFormat="1" ht="15.75">
      <c r="A104" s="844"/>
      <c r="B104" s="634"/>
      <c r="C104" s="634" t="s">
        <v>738</v>
      </c>
      <c r="D104" s="696" t="s">
        <v>15</v>
      </c>
      <c r="E104" s="634">
        <v>1.7</v>
      </c>
      <c r="F104" s="947">
        <f>F103*E104</f>
        <v>9.01</v>
      </c>
      <c r="G104" s="729"/>
      <c r="H104" s="729">
        <f t="shared" si="4"/>
        <v>0</v>
      </c>
      <c r="I104" s="729"/>
      <c r="J104" s="729">
        <f t="shared" si="5"/>
        <v>0</v>
      </c>
      <c r="K104" s="729"/>
      <c r="L104" s="729">
        <f t="shared" si="6"/>
        <v>0</v>
      </c>
      <c r="M104" s="729">
        <f t="shared" si="7"/>
        <v>0</v>
      </c>
    </row>
    <row r="105" spans="1:13" s="968" customFormat="1" ht="15.75">
      <c r="A105" s="844"/>
      <c r="B105" s="634"/>
      <c r="C105" s="634" t="s">
        <v>897</v>
      </c>
      <c r="D105" s="634" t="s">
        <v>45</v>
      </c>
      <c r="E105" s="634">
        <v>0.0984</v>
      </c>
      <c r="F105" s="947">
        <f>F103*E105</f>
        <v>0.52152</v>
      </c>
      <c r="G105" s="729"/>
      <c r="H105" s="729">
        <f t="shared" si="4"/>
        <v>0</v>
      </c>
      <c r="I105" s="729"/>
      <c r="J105" s="729">
        <f t="shared" si="5"/>
        <v>0</v>
      </c>
      <c r="K105" s="729"/>
      <c r="L105" s="729">
        <f t="shared" si="6"/>
        <v>0</v>
      </c>
      <c r="M105" s="729">
        <f t="shared" si="7"/>
        <v>0</v>
      </c>
    </row>
    <row r="106" spans="1:13" s="968" customFormat="1" ht="54">
      <c r="A106" s="844">
        <v>3</v>
      </c>
      <c r="B106" s="629" t="s">
        <v>1001</v>
      </c>
      <c r="C106" s="623" t="s">
        <v>1002</v>
      </c>
      <c r="D106" s="132" t="s">
        <v>614</v>
      </c>
      <c r="E106" s="132"/>
      <c r="F106" s="946">
        <v>2</v>
      </c>
      <c r="G106" s="729"/>
      <c r="H106" s="729">
        <f t="shared" si="4"/>
        <v>0</v>
      </c>
      <c r="I106" s="729"/>
      <c r="J106" s="729">
        <f t="shared" si="5"/>
        <v>0</v>
      </c>
      <c r="K106" s="729"/>
      <c r="L106" s="729">
        <f t="shared" si="6"/>
        <v>0</v>
      </c>
      <c r="M106" s="729">
        <f t="shared" si="7"/>
        <v>0</v>
      </c>
    </row>
    <row r="107" spans="1:13" s="968" customFormat="1" ht="15.75">
      <c r="A107" s="844"/>
      <c r="B107" s="634" t="s">
        <v>1003</v>
      </c>
      <c r="C107" s="634" t="s">
        <v>738</v>
      </c>
      <c r="D107" s="696" t="s">
        <v>15</v>
      </c>
      <c r="E107" s="634">
        <v>8.35</v>
      </c>
      <c r="F107" s="947">
        <f>F106*E107</f>
        <v>16.7</v>
      </c>
      <c r="G107" s="729"/>
      <c r="H107" s="729">
        <f t="shared" si="4"/>
        <v>0</v>
      </c>
      <c r="I107" s="729"/>
      <c r="J107" s="729">
        <f t="shared" si="5"/>
        <v>0</v>
      </c>
      <c r="K107" s="729"/>
      <c r="L107" s="729">
        <f t="shared" si="6"/>
        <v>0</v>
      </c>
      <c r="M107" s="729">
        <f t="shared" si="7"/>
        <v>0</v>
      </c>
    </row>
    <row r="108" spans="1:13" s="968" customFormat="1" ht="15.75">
      <c r="A108" s="844"/>
      <c r="B108" s="634" t="s">
        <v>1003</v>
      </c>
      <c r="C108" s="634" t="s">
        <v>897</v>
      </c>
      <c r="D108" s="634" t="s">
        <v>45</v>
      </c>
      <c r="E108" s="634">
        <v>0.995</v>
      </c>
      <c r="F108" s="947">
        <f>F106*E108</f>
        <v>1.99</v>
      </c>
      <c r="G108" s="729"/>
      <c r="H108" s="729">
        <f t="shared" si="4"/>
        <v>0</v>
      </c>
      <c r="I108" s="729"/>
      <c r="J108" s="729">
        <f t="shared" si="5"/>
        <v>0</v>
      </c>
      <c r="K108" s="729"/>
      <c r="L108" s="729">
        <f t="shared" si="6"/>
        <v>0</v>
      </c>
      <c r="M108" s="729">
        <f t="shared" si="7"/>
        <v>0</v>
      </c>
    </row>
    <row r="109" spans="1:13" s="968" customFormat="1" ht="67.5">
      <c r="A109" s="844">
        <v>4</v>
      </c>
      <c r="B109" s="629" t="s">
        <v>939</v>
      </c>
      <c r="C109" s="623" t="s">
        <v>940</v>
      </c>
      <c r="D109" s="132" t="s">
        <v>651</v>
      </c>
      <c r="E109" s="132"/>
      <c r="F109" s="946">
        <v>63.75</v>
      </c>
      <c r="G109" s="729"/>
      <c r="H109" s="729">
        <f t="shared" si="4"/>
        <v>0</v>
      </c>
      <c r="I109" s="729"/>
      <c r="J109" s="729">
        <f t="shared" si="5"/>
        <v>0</v>
      </c>
      <c r="K109" s="729"/>
      <c r="L109" s="729">
        <f t="shared" si="6"/>
        <v>0</v>
      </c>
      <c r="M109" s="729">
        <f t="shared" si="7"/>
        <v>0</v>
      </c>
    </row>
    <row r="110" spans="1:13" s="968" customFormat="1" ht="15.75">
      <c r="A110" s="844"/>
      <c r="B110" s="634"/>
      <c r="C110" s="634" t="s">
        <v>738</v>
      </c>
      <c r="D110" s="696" t="s">
        <v>15</v>
      </c>
      <c r="E110" s="634">
        <v>0.472</v>
      </c>
      <c r="F110" s="947">
        <f>F109*E110</f>
        <v>30.09</v>
      </c>
      <c r="G110" s="729"/>
      <c r="H110" s="729">
        <f t="shared" si="4"/>
        <v>0</v>
      </c>
      <c r="I110" s="729"/>
      <c r="J110" s="729">
        <f t="shared" si="5"/>
        <v>0</v>
      </c>
      <c r="K110" s="729"/>
      <c r="L110" s="729">
        <f t="shared" si="6"/>
        <v>0</v>
      </c>
      <c r="M110" s="729">
        <f t="shared" si="7"/>
        <v>0</v>
      </c>
    </row>
    <row r="111" spans="1:13" s="968" customFormat="1" ht="15.75">
      <c r="A111" s="844"/>
      <c r="B111" s="634"/>
      <c r="C111" s="634" t="s">
        <v>897</v>
      </c>
      <c r="D111" s="634" t="s">
        <v>45</v>
      </c>
      <c r="E111" s="634">
        <v>0.0301</v>
      </c>
      <c r="F111" s="947">
        <f>F109*E111</f>
        <v>1.9188749999999999</v>
      </c>
      <c r="G111" s="729"/>
      <c r="H111" s="729">
        <f t="shared" si="4"/>
        <v>0</v>
      </c>
      <c r="I111" s="729"/>
      <c r="J111" s="729">
        <f t="shared" si="5"/>
        <v>0</v>
      </c>
      <c r="K111" s="729"/>
      <c r="L111" s="729">
        <f t="shared" si="6"/>
        <v>0</v>
      </c>
      <c r="M111" s="729">
        <f t="shared" si="7"/>
        <v>0</v>
      </c>
    </row>
    <row r="112" spans="1:13" s="968" customFormat="1" ht="54">
      <c r="A112" s="844">
        <v>5</v>
      </c>
      <c r="B112" s="629" t="s">
        <v>1004</v>
      </c>
      <c r="C112" s="623" t="s">
        <v>1005</v>
      </c>
      <c r="D112" s="132" t="s">
        <v>651</v>
      </c>
      <c r="E112" s="132"/>
      <c r="F112" s="946">
        <v>10</v>
      </c>
      <c r="G112" s="729"/>
      <c r="H112" s="729">
        <f t="shared" si="4"/>
        <v>0</v>
      </c>
      <c r="I112" s="729"/>
      <c r="J112" s="729">
        <f t="shared" si="5"/>
        <v>0</v>
      </c>
      <c r="K112" s="729"/>
      <c r="L112" s="729">
        <f t="shared" si="6"/>
        <v>0</v>
      </c>
      <c r="M112" s="729">
        <f t="shared" si="7"/>
        <v>0</v>
      </c>
    </row>
    <row r="113" spans="1:13" s="968" customFormat="1" ht="15.75">
      <c r="A113" s="844"/>
      <c r="B113" s="634"/>
      <c r="C113" s="634" t="s">
        <v>738</v>
      </c>
      <c r="D113" s="696" t="s">
        <v>15</v>
      </c>
      <c r="E113" s="634">
        <v>0.376</v>
      </c>
      <c r="F113" s="947">
        <f>F112*E113</f>
        <v>3.76</v>
      </c>
      <c r="G113" s="729"/>
      <c r="H113" s="729">
        <f t="shared" si="4"/>
        <v>0</v>
      </c>
      <c r="I113" s="729"/>
      <c r="J113" s="729">
        <f t="shared" si="5"/>
        <v>0</v>
      </c>
      <c r="K113" s="729"/>
      <c r="L113" s="729">
        <f t="shared" si="6"/>
        <v>0</v>
      </c>
      <c r="M113" s="729">
        <f t="shared" si="7"/>
        <v>0</v>
      </c>
    </row>
    <row r="114" spans="1:13" s="968" customFormat="1" ht="15.75">
      <c r="A114" s="844"/>
      <c r="B114" s="634"/>
      <c r="C114" s="634" t="s">
        <v>897</v>
      </c>
      <c r="D114" s="634" t="s">
        <v>45</v>
      </c>
      <c r="E114" s="634">
        <v>0.0515</v>
      </c>
      <c r="F114" s="947">
        <f>F112*E114</f>
        <v>0.515</v>
      </c>
      <c r="G114" s="729"/>
      <c r="H114" s="729">
        <f t="shared" si="4"/>
        <v>0</v>
      </c>
      <c r="I114" s="729"/>
      <c r="J114" s="729">
        <f t="shared" si="5"/>
        <v>0</v>
      </c>
      <c r="K114" s="729"/>
      <c r="L114" s="729">
        <f t="shared" si="6"/>
        <v>0</v>
      </c>
      <c r="M114" s="729">
        <f t="shared" si="7"/>
        <v>0</v>
      </c>
    </row>
    <row r="115" spans="1:13" s="968" customFormat="1" ht="67.5">
      <c r="A115" s="844">
        <v>6</v>
      </c>
      <c r="B115" s="629" t="s">
        <v>1006</v>
      </c>
      <c r="C115" s="623" t="s">
        <v>1007</v>
      </c>
      <c r="D115" s="132" t="s">
        <v>230</v>
      </c>
      <c r="E115" s="132"/>
      <c r="F115" s="946">
        <v>9</v>
      </c>
      <c r="G115" s="729"/>
      <c r="H115" s="729">
        <f t="shared" si="4"/>
        <v>0</v>
      </c>
      <c r="I115" s="729"/>
      <c r="J115" s="729">
        <f t="shared" si="5"/>
        <v>0</v>
      </c>
      <c r="K115" s="729"/>
      <c r="L115" s="729">
        <f t="shared" si="6"/>
        <v>0</v>
      </c>
      <c r="M115" s="729">
        <f t="shared" si="7"/>
        <v>0</v>
      </c>
    </row>
    <row r="116" spans="1:13" s="968" customFormat="1" ht="15.75">
      <c r="A116" s="844"/>
      <c r="B116" s="634"/>
      <c r="C116" s="634" t="s">
        <v>738</v>
      </c>
      <c r="D116" s="696" t="s">
        <v>15</v>
      </c>
      <c r="E116" s="634">
        <v>6.5</v>
      </c>
      <c r="F116" s="947">
        <f>F115*E116</f>
        <v>58.5</v>
      </c>
      <c r="G116" s="729"/>
      <c r="H116" s="729">
        <f t="shared" si="4"/>
        <v>0</v>
      </c>
      <c r="I116" s="729"/>
      <c r="J116" s="729">
        <f t="shared" si="5"/>
        <v>0</v>
      </c>
      <c r="K116" s="729"/>
      <c r="L116" s="729">
        <f t="shared" si="6"/>
        <v>0</v>
      </c>
      <c r="M116" s="729">
        <f t="shared" si="7"/>
        <v>0</v>
      </c>
    </row>
    <row r="117" spans="1:13" s="968" customFormat="1" ht="15.75">
      <c r="A117" s="844"/>
      <c r="B117" s="634"/>
      <c r="C117" s="634" t="s">
        <v>897</v>
      </c>
      <c r="D117" s="634" t="s">
        <v>45</v>
      </c>
      <c r="E117" s="634">
        <v>1.8</v>
      </c>
      <c r="F117" s="947">
        <f>F115*E117</f>
        <v>16.2</v>
      </c>
      <c r="G117" s="729"/>
      <c r="H117" s="729">
        <f t="shared" si="4"/>
        <v>0</v>
      </c>
      <c r="I117" s="729"/>
      <c r="J117" s="729">
        <f t="shared" si="5"/>
        <v>0</v>
      </c>
      <c r="K117" s="729"/>
      <c r="L117" s="729">
        <f t="shared" si="6"/>
        <v>0</v>
      </c>
      <c r="M117" s="729">
        <f t="shared" si="7"/>
        <v>0</v>
      </c>
    </row>
    <row r="118" spans="1:13" s="968" customFormat="1" ht="54">
      <c r="A118" s="844">
        <v>7</v>
      </c>
      <c r="B118" s="629" t="s">
        <v>947</v>
      </c>
      <c r="C118" s="623" t="s">
        <v>1008</v>
      </c>
      <c r="D118" s="132" t="s">
        <v>230</v>
      </c>
      <c r="E118" s="132"/>
      <c r="F118" s="946">
        <v>0.6</v>
      </c>
      <c r="G118" s="729"/>
      <c r="H118" s="729">
        <f t="shared" si="4"/>
        <v>0</v>
      </c>
      <c r="I118" s="729"/>
      <c r="J118" s="729">
        <f t="shared" si="5"/>
        <v>0</v>
      </c>
      <c r="K118" s="729"/>
      <c r="L118" s="729">
        <f t="shared" si="6"/>
        <v>0</v>
      </c>
      <c r="M118" s="729">
        <f t="shared" si="7"/>
        <v>0</v>
      </c>
    </row>
    <row r="119" spans="1:13" s="968" customFormat="1" ht="15.75">
      <c r="A119" s="844"/>
      <c r="B119" s="634"/>
      <c r="C119" s="634" t="s">
        <v>738</v>
      </c>
      <c r="D119" s="696" t="s">
        <v>15</v>
      </c>
      <c r="E119" s="634">
        <v>8.26</v>
      </c>
      <c r="F119" s="947">
        <f>F118*E119</f>
        <v>4.9559999999999995</v>
      </c>
      <c r="G119" s="729"/>
      <c r="H119" s="729">
        <f t="shared" si="4"/>
        <v>0</v>
      </c>
      <c r="I119" s="729"/>
      <c r="J119" s="729">
        <f t="shared" si="5"/>
        <v>0</v>
      </c>
      <c r="K119" s="729"/>
      <c r="L119" s="729">
        <f t="shared" si="6"/>
        <v>0</v>
      </c>
      <c r="M119" s="729">
        <f t="shared" si="7"/>
        <v>0</v>
      </c>
    </row>
    <row r="120" spans="1:13" s="968" customFormat="1" ht="15.75">
      <c r="A120" s="844"/>
      <c r="B120" s="634"/>
      <c r="C120" s="634" t="s">
        <v>897</v>
      </c>
      <c r="D120" s="634" t="s">
        <v>45</v>
      </c>
      <c r="E120" s="634">
        <v>2.61</v>
      </c>
      <c r="F120" s="947">
        <f>F118*E120</f>
        <v>1.5659999999999998</v>
      </c>
      <c r="G120" s="729"/>
      <c r="H120" s="729">
        <f t="shared" si="4"/>
        <v>0</v>
      </c>
      <c r="I120" s="729"/>
      <c r="J120" s="729">
        <f t="shared" si="5"/>
        <v>0</v>
      </c>
      <c r="K120" s="729"/>
      <c r="L120" s="729">
        <f t="shared" si="6"/>
        <v>0</v>
      </c>
      <c r="M120" s="729">
        <f t="shared" si="7"/>
        <v>0</v>
      </c>
    </row>
    <row r="121" spans="1:13" s="968" customFormat="1" ht="27">
      <c r="A121" s="833">
        <v>8</v>
      </c>
      <c r="B121" s="837" t="s">
        <v>573</v>
      </c>
      <c r="C121" s="969" t="s">
        <v>949</v>
      </c>
      <c r="D121" s="696" t="s">
        <v>950</v>
      </c>
      <c r="E121" s="696"/>
      <c r="F121" s="946">
        <v>20</v>
      </c>
      <c r="G121" s="729"/>
      <c r="H121" s="729">
        <f t="shared" si="4"/>
        <v>0</v>
      </c>
      <c r="I121" s="729"/>
      <c r="J121" s="729">
        <f t="shared" si="5"/>
        <v>0</v>
      </c>
      <c r="K121" s="729"/>
      <c r="L121" s="729">
        <f t="shared" si="6"/>
        <v>0</v>
      </c>
      <c r="M121" s="729">
        <f t="shared" si="7"/>
        <v>0</v>
      </c>
    </row>
    <row r="122" spans="1:13" s="968" customFormat="1" ht="27">
      <c r="A122" s="942">
        <v>9</v>
      </c>
      <c r="B122" s="629" t="s">
        <v>951</v>
      </c>
      <c r="C122" s="969" t="s">
        <v>952</v>
      </c>
      <c r="D122" s="696" t="s">
        <v>950</v>
      </c>
      <c r="E122" s="696"/>
      <c r="F122" s="946">
        <v>20</v>
      </c>
      <c r="G122" s="729"/>
      <c r="H122" s="729">
        <f t="shared" si="4"/>
        <v>0</v>
      </c>
      <c r="I122" s="729"/>
      <c r="J122" s="729">
        <f t="shared" si="5"/>
        <v>0</v>
      </c>
      <c r="K122" s="729"/>
      <c r="L122" s="729">
        <f t="shared" si="6"/>
        <v>0</v>
      </c>
      <c r="M122" s="729">
        <f t="shared" si="7"/>
        <v>0</v>
      </c>
    </row>
    <row r="123" spans="1:13" s="968" customFormat="1" ht="54">
      <c r="A123" s="844">
        <v>10</v>
      </c>
      <c r="B123" s="629" t="s">
        <v>1009</v>
      </c>
      <c r="C123" s="623" t="s">
        <v>1010</v>
      </c>
      <c r="D123" s="132" t="s">
        <v>651</v>
      </c>
      <c r="E123" s="132"/>
      <c r="F123" s="946">
        <v>40</v>
      </c>
      <c r="G123" s="729"/>
      <c r="H123" s="729">
        <f t="shared" si="4"/>
        <v>0</v>
      </c>
      <c r="I123" s="729"/>
      <c r="J123" s="729">
        <f t="shared" si="5"/>
        <v>0</v>
      </c>
      <c r="K123" s="729"/>
      <c r="L123" s="729">
        <f t="shared" si="6"/>
        <v>0</v>
      </c>
      <c r="M123" s="729">
        <f t="shared" si="7"/>
        <v>0</v>
      </c>
    </row>
    <row r="124" spans="1:13" s="968" customFormat="1" ht="15.75">
      <c r="A124" s="844"/>
      <c r="B124" s="634"/>
      <c r="C124" s="634" t="s">
        <v>738</v>
      </c>
      <c r="D124" s="696" t="s">
        <v>15</v>
      </c>
      <c r="E124" s="634">
        <v>3.64</v>
      </c>
      <c r="F124" s="947">
        <f>F123*E124</f>
        <v>145.6</v>
      </c>
      <c r="G124" s="729"/>
      <c r="H124" s="729">
        <f t="shared" si="4"/>
        <v>0</v>
      </c>
      <c r="I124" s="729"/>
      <c r="J124" s="729">
        <f t="shared" si="5"/>
        <v>0</v>
      </c>
      <c r="K124" s="729"/>
      <c r="L124" s="729">
        <f t="shared" si="6"/>
        <v>0</v>
      </c>
      <c r="M124" s="729">
        <f t="shared" si="7"/>
        <v>0</v>
      </c>
    </row>
    <row r="125" spans="1:13" s="968" customFormat="1" ht="15.75">
      <c r="A125" s="844"/>
      <c r="B125" s="634"/>
      <c r="C125" s="634" t="s">
        <v>897</v>
      </c>
      <c r="D125" s="634" t="s">
        <v>45</v>
      </c>
      <c r="E125" s="634">
        <v>0.0829</v>
      </c>
      <c r="F125" s="947">
        <f>F123*E125</f>
        <v>3.316</v>
      </c>
      <c r="G125" s="729"/>
      <c r="H125" s="729">
        <f t="shared" si="4"/>
        <v>0</v>
      </c>
      <c r="I125" s="729"/>
      <c r="J125" s="729">
        <f t="shared" si="5"/>
        <v>0</v>
      </c>
      <c r="K125" s="729"/>
      <c r="L125" s="729">
        <f t="shared" si="6"/>
        <v>0</v>
      </c>
      <c r="M125" s="729">
        <f t="shared" si="7"/>
        <v>0</v>
      </c>
    </row>
    <row r="126" spans="1:13" s="968" customFormat="1" ht="15.75">
      <c r="A126" s="844"/>
      <c r="B126" s="629"/>
      <c r="C126" s="623" t="s">
        <v>1011</v>
      </c>
      <c r="D126" s="132" t="s">
        <v>651</v>
      </c>
      <c r="E126" s="132">
        <v>2.06</v>
      </c>
      <c r="F126" s="946">
        <f>F123*E126</f>
        <v>82.4</v>
      </c>
      <c r="G126" s="729"/>
      <c r="H126" s="729">
        <f t="shared" si="4"/>
        <v>0</v>
      </c>
      <c r="I126" s="729"/>
      <c r="J126" s="729">
        <f t="shared" si="5"/>
        <v>0</v>
      </c>
      <c r="K126" s="729"/>
      <c r="L126" s="729">
        <f t="shared" si="6"/>
        <v>0</v>
      </c>
      <c r="M126" s="729">
        <f t="shared" si="7"/>
        <v>0</v>
      </c>
    </row>
    <row r="127" spans="1:13" s="968" customFormat="1" ht="15.75">
      <c r="A127" s="844"/>
      <c r="B127" s="629"/>
      <c r="C127" s="623" t="s">
        <v>1012</v>
      </c>
      <c r="D127" s="132" t="s">
        <v>651</v>
      </c>
      <c r="E127" s="132">
        <v>1</v>
      </c>
      <c r="F127" s="946">
        <f>F123*E127</f>
        <v>40</v>
      </c>
      <c r="G127" s="729"/>
      <c r="H127" s="729">
        <f t="shared" si="4"/>
        <v>0</v>
      </c>
      <c r="I127" s="729"/>
      <c r="J127" s="729">
        <f t="shared" si="5"/>
        <v>0</v>
      </c>
      <c r="K127" s="729"/>
      <c r="L127" s="729">
        <f t="shared" si="6"/>
        <v>0</v>
      </c>
      <c r="M127" s="729">
        <f t="shared" si="7"/>
        <v>0</v>
      </c>
    </row>
    <row r="128" spans="1:13" s="968" customFormat="1" ht="15.75">
      <c r="A128" s="844"/>
      <c r="B128" s="629"/>
      <c r="C128" s="623" t="s">
        <v>1013</v>
      </c>
      <c r="D128" s="132" t="s">
        <v>651</v>
      </c>
      <c r="E128" s="132">
        <v>1</v>
      </c>
      <c r="F128" s="946">
        <f>F123*E128</f>
        <v>40</v>
      </c>
      <c r="G128" s="729"/>
      <c r="H128" s="729">
        <f t="shared" si="4"/>
        <v>0</v>
      </c>
      <c r="I128" s="729"/>
      <c r="J128" s="729">
        <f t="shared" si="5"/>
        <v>0</v>
      </c>
      <c r="K128" s="729"/>
      <c r="L128" s="729">
        <f t="shared" si="6"/>
        <v>0</v>
      </c>
      <c r="M128" s="729">
        <f t="shared" si="7"/>
        <v>0</v>
      </c>
    </row>
    <row r="129" spans="1:13" s="968" customFormat="1" ht="15.75">
      <c r="A129" s="844"/>
      <c r="B129" s="629"/>
      <c r="C129" s="623" t="s">
        <v>965</v>
      </c>
      <c r="D129" s="132" t="s">
        <v>45</v>
      </c>
      <c r="E129" s="132">
        <v>0.216</v>
      </c>
      <c r="F129" s="946">
        <f>F123*E129</f>
        <v>8.64</v>
      </c>
      <c r="G129" s="729"/>
      <c r="H129" s="729">
        <f t="shared" si="4"/>
        <v>0</v>
      </c>
      <c r="I129" s="729"/>
      <c r="J129" s="729">
        <f t="shared" si="5"/>
        <v>0</v>
      </c>
      <c r="K129" s="729"/>
      <c r="L129" s="729">
        <f t="shared" si="6"/>
        <v>0</v>
      </c>
      <c r="M129" s="729">
        <f t="shared" si="7"/>
        <v>0</v>
      </c>
    </row>
    <row r="130" spans="1:13" s="968" customFormat="1" ht="54">
      <c r="A130" s="844">
        <v>11</v>
      </c>
      <c r="B130" s="629" t="s">
        <v>1014</v>
      </c>
      <c r="C130" s="623" t="s">
        <v>1015</v>
      </c>
      <c r="D130" s="132" t="s">
        <v>651</v>
      </c>
      <c r="E130" s="132"/>
      <c r="F130" s="946">
        <v>35</v>
      </c>
      <c r="G130" s="729"/>
      <c r="H130" s="729">
        <f t="shared" si="4"/>
        <v>0</v>
      </c>
      <c r="I130" s="729"/>
      <c r="J130" s="729">
        <f t="shared" si="5"/>
        <v>0</v>
      </c>
      <c r="K130" s="729"/>
      <c r="L130" s="729">
        <f t="shared" si="6"/>
        <v>0</v>
      </c>
      <c r="M130" s="729">
        <f t="shared" si="7"/>
        <v>0</v>
      </c>
    </row>
    <row r="131" spans="1:13" s="968" customFormat="1" ht="15.75">
      <c r="A131" s="844"/>
      <c r="B131" s="634"/>
      <c r="C131" s="634" t="s">
        <v>738</v>
      </c>
      <c r="D131" s="696" t="s">
        <v>15</v>
      </c>
      <c r="E131" s="634">
        <v>3.89</v>
      </c>
      <c r="F131" s="947">
        <f>F130*E131</f>
        <v>136.15</v>
      </c>
      <c r="G131" s="729"/>
      <c r="H131" s="729">
        <f t="shared" si="4"/>
        <v>0</v>
      </c>
      <c r="I131" s="729"/>
      <c r="J131" s="729">
        <f t="shared" si="5"/>
        <v>0</v>
      </c>
      <c r="K131" s="729"/>
      <c r="L131" s="729">
        <f t="shared" si="6"/>
        <v>0</v>
      </c>
      <c r="M131" s="729">
        <f t="shared" si="7"/>
        <v>0</v>
      </c>
    </row>
    <row r="132" spans="1:13" s="968" customFormat="1" ht="15.75">
      <c r="A132" s="844"/>
      <c r="B132" s="634"/>
      <c r="C132" s="634" t="s">
        <v>897</v>
      </c>
      <c r="D132" s="634" t="s">
        <v>45</v>
      </c>
      <c r="E132" s="634">
        <v>0.0324</v>
      </c>
      <c r="F132" s="947">
        <f>F130*E132</f>
        <v>1.134</v>
      </c>
      <c r="G132" s="729"/>
      <c r="H132" s="729">
        <f t="shared" si="4"/>
        <v>0</v>
      </c>
      <c r="I132" s="729"/>
      <c r="J132" s="729">
        <f t="shared" si="5"/>
        <v>0</v>
      </c>
      <c r="K132" s="729"/>
      <c r="L132" s="729">
        <f t="shared" si="6"/>
        <v>0</v>
      </c>
      <c r="M132" s="729">
        <f t="shared" si="7"/>
        <v>0</v>
      </c>
    </row>
    <row r="133" spans="1:13" s="968" customFormat="1" ht="31.5">
      <c r="A133" s="844"/>
      <c r="B133" s="629"/>
      <c r="C133" s="623" t="s">
        <v>964</v>
      </c>
      <c r="D133" s="132" t="s">
        <v>651</v>
      </c>
      <c r="E133" s="132">
        <v>1</v>
      </c>
      <c r="F133" s="946">
        <f>F130*E133</f>
        <v>35</v>
      </c>
      <c r="G133" s="729"/>
      <c r="H133" s="729">
        <f t="shared" si="4"/>
        <v>0</v>
      </c>
      <c r="I133" s="729"/>
      <c r="J133" s="729">
        <f t="shared" si="5"/>
        <v>0</v>
      </c>
      <c r="K133" s="729"/>
      <c r="L133" s="729">
        <f t="shared" si="6"/>
        <v>0</v>
      </c>
      <c r="M133" s="729">
        <f t="shared" si="7"/>
        <v>0</v>
      </c>
    </row>
    <row r="134" spans="1:13" s="968" customFormat="1" ht="15.75">
      <c r="A134" s="844"/>
      <c r="B134" s="629"/>
      <c r="C134" s="623" t="s">
        <v>965</v>
      </c>
      <c r="D134" s="132" t="s">
        <v>45</v>
      </c>
      <c r="E134" s="132">
        <v>0.069</v>
      </c>
      <c r="F134" s="946">
        <f>F130*E134</f>
        <v>2.415</v>
      </c>
      <c r="G134" s="729"/>
      <c r="H134" s="729">
        <f t="shared" si="4"/>
        <v>0</v>
      </c>
      <c r="I134" s="729"/>
      <c r="J134" s="729">
        <f t="shared" si="5"/>
        <v>0</v>
      </c>
      <c r="K134" s="729"/>
      <c r="L134" s="729">
        <f t="shared" si="6"/>
        <v>0</v>
      </c>
      <c r="M134" s="729">
        <f t="shared" si="7"/>
        <v>0</v>
      </c>
    </row>
    <row r="135" spans="1:13" s="968" customFormat="1" ht="54">
      <c r="A135" s="844">
        <v>12</v>
      </c>
      <c r="B135" s="629" t="s">
        <v>968</v>
      </c>
      <c r="C135" s="623" t="s">
        <v>969</v>
      </c>
      <c r="D135" s="132" t="s">
        <v>651</v>
      </c>
      <c r="E135" s="132"/>
      <c r="F135" s="946">
        <v>78.13</v>
      </c>
      <c r="G135" s="729"/>
      <c r="H135" s="729">
        <f t="shared" si="4"/>
        <v>0</v>
      </c>
      <c r="I135" s="729"/>
      <c r="J135" s="729">
        <f t="shared" si="5"/>
        <v>0</v>
      </c>
      <c r="K135" s="729"/>
      <c r="L135" s="729">
        <f t="shared" si="6"/>
        <v>0</v>
      </c>
      <c r="M135" s="729">
        <f t="shared" si="7"/>
        <v>0</v>
      </c>
    </row>
    <row r="136" spans="1:13" s="968" customFormat="1" ht="15.75">
      <c r="A136" s="844"/>
      <c r="B136" s="634"/>
      <c r="C136" s="634" t="s">
        <v>738</v>
      </c>
      <c r="D136" s="696" t="s">
        <v>15</v>
      </c>
      <c r="E136" s="634">
        <v>0.536</v>
      </c>
      <c r="F136" s="947">
        <f>F135*E136</f>
        <v>41.87768</v>
      </c>
      <c r="G136" s="729"/>
      <c r="H136" s="729">
        <f t="shared" si="4"/>
        <v>0</v>
      </c>
      <c r="I136" s="729"/>
      <c r="J136" s="729">
        <f t="shared" si="5"/>
        <v>0</v>
      </c>
      <c r="K136" s="729"/>
      <c r="L136" s="729">
        <f t="shared" si="6"/>
        <v>0</v>
      </c>
      <c r="M136" s="729">
        <f t="shared" si="7"/>
        <v>0</v>
      </c>
    </row>
    <row r="137" spans="1:13" s="968" customFormat="1" ht="15.75">
      <c r="A137" s="844"/>
      <c r="B137" s="634"/>
      <c r="C137" s="634" t="s">
        <v>897</v>
      </c>
      <c r="D137" s="634" t="s">
        <v>45</v>
      </c>
      <c r="E137" s="634">
        <v>0.0365</v>
      </c>
      <c r="F137" s="947">
        <f>F135*E137</f>
        <v>2.8517449999999998</v>
      </c>
      <c r="G137" s="729"/>
      <c r="H137" s="729">
        <f t="shared" si="4"/>
        <v>0</v>
      </c>
      <c r="I137" s="729"/>
      <c r="J137" s="729">
        <f t="shared" si="5"/>
        <v>0</v>
      </c>
      <c r="K137" s="729"/>
      <c r="L137" s="729">
        <f t="shared" si="6"/>
        <v>0</v>
      </c>
      <c r="M137" s="729">
        <f t="shared" si="7"/>
        <v>0</v>
      </c>
    </row>
    <row r="138" spans="1:13" s="968" customFormat="1" ht="15.75">
      <c r="A138" s="844"/>
      <c r="B138" s="629"/>
      <c r="C138" s="623" t="s">
        <v>970</v>
      </c>
      <c r="D138" s="132" t="s">
        <v>651</v>
      </c>
      <c r="E138" s="132">
        <v>1.05</v>
      </c>
      <c r="F138" s="946">
        <f>F135*E138</f>
        <v>82.0365</v>
      </c>
      <c r="G138" s="729"/>
      <c r="H138" s="729">
        <f t="shared" si="4"/>
        <v>0</v>
      </c>
      <c r="I138" s="729"/>
      <c r="J138" s="729">
        <f t="shared" si="5"/>
        <v>0</v>
      </c>
      <c r="K138" s="729"/>
      <c r="L138" s="729">
        <f t="shared" si="6"/>
        <v>0</v>
      </c>
      <c r="M138" s="729">
        <f t="shared" si="7"/>
        <v>0</v>
      </c>
    </row>
    <row r="139" spans="1:13" s="968" customFormat="1" ht="15.75">
      <c r="A139" s="844"/>
      <c r="B139" s="629"/>
      <c r="C139" s="623" t="s">
        <v>971</v>
      </c>
      <c r="D139" s="132" t="s">
        <v>972</v>
      </c>
      <c r="E139" s="132">
        <v>1.07</v>
      </c>
      <c r="F139" s="946">
        <f>F135*E139</f>
        <v>83.5991</v>
      </c>
      <c r="G139" s="729"/>
      <c r="H139" s="729">
        <f aca="true" t="shared" si="8" ref="H139:H202">F139*G139</f>
        <v>0</v>
      </c>
      <c r="I139" s="729"/>
      <c r="J139" s="729">
        <f aca="true" t="shared" si="9" ref="J139:J202">F139*I139</f>
        <v>0</v>
      </c>
      <c r="K139" s="729"/>
      <c r="L139" s="729">
        <f aca="true" t="shared" si="10" ref="L139:L202">F139*K139</f>
        <v>0</v>
      </c>
      <c r="M139" s="729">
        <f aca="true" t="shared" si="11" ref="M139:M202">H139+J139+L139</f>
        <v>0</v>
      </c>
    </row>
    <row r="140" spans="1:13" s="968" customFormat="1" ht="15.75">
      <c r="A140" s="844"/>
      <c r="B140" s="629"/>
      <c r="C140" s="623" t="s">
        <v>67</v>
      </c>
      <c r="D140" s="132" t="s">
        <v>49</v>
      </c>
      <c r="E140" s="132">
        <v>0.138</v>
      </c>
      <c r="F140" s="946">
        <f>F135*E140</f>
        <v>10.78194</v>
      </c>
      <c r="G140" s="729"/>
      <c r="H140" s="729">
        <f t="shared" si="8"/>
        <v>0</v>
      </c>
      <c r="I140" s="729"/>
      <c r="J140" s="729">
        <f t="shared" si="9"/>
        <v>0</v>
      </c>
      <c r="K140" s="729"/>
      <c r="L140" s="729">
        <f t="shared" si="10"/>
        <v>0</v>
      </c>
      <c r="M140" s="729">
        <f t="shared" si="11"/>
        <v>0</v>
      </c>
    </row>
    <row r="141" spans="1:13" s="968" customFormat="1" ht="15.75">
      <c r="A141" s="844"/>
      <c r="B141" s="629"/>
      <c r="C141" s="623" t="s">
        <v>965</v>
      </c>
      <c r="D141" s="132" t="s">
        <v>45</v>
      </c>
      <c r="E141" s="132">
        <v>0.107</v>
      </c>
      <c r="F141" s="946">
        <f>F135*E141</f>
        <v>8.35991</v>
      </c>
      <c r="G141" s="729"/>
      <c r="H141" s="729">
        <f t="shared" si="8"/>
        <v>0</v>
      </c>
      <c r="I141" s="729"/>
      <c r="J141" s="729">
        <f t="shared" si="9"/>
        <v>0</v>
      </c>
      <c r="K141" s="729"/>
      <c r="L141" s="729">
        <f t="shared" si="10"/>
        <v>0</v>
      </c>
      <c r="M141" s="729">
        <f t="shared" si="11"/>
        <v>0</v>
      </c>
    </row>
    <row r="142" spans="1:13" s="968" customFormat="1" ht="54">
      <c r="A142" s="844">
        <v>13</v>
      </c>
      <c r="B142" s="629" t="s">
        <v>1016</v>
      </c>
      <c r="C142" s="623" t="s">
        <v>1017</v>
      </c>
      <c r="D142" s="132" t="s">
        <v>651</v>
      </c>
      <c r="E142" s="132"/>
      <c r="F142" s="946">
        <v>4.4</v>
      </c>
      <c r="G142" s="729"/>
      <c r="H142" s="729">
        <f t="shared" si="8"/>
        <v>0</v>
      </c>
      <c r="I142" s="729"/>
      <c r="J142" s="729">
        <f t="shared" si="9"/>
        <v>0</v>
      </c>
      <c r="K142" s="729"/>
      <c r="L142" s="729">
        <f t="shared" si="10"/>
        <v>0</v>
      </c>
      <c r="M142" s="729">
        <f t="shared" si="11"/>
        <v>0</v>
      </c>
    </row>
    <row r="143" spans="1:13" s="968" customFormat="1" ht="15.75">
      <c r="A143" s="844"/>
      <c r="B143" s="634"/>
      <c r="C143" s="634" t="s">
        <v>738</v>
      </c>
      <c r="D143" s="696" t="s">
        <v>15</v>
      </c>
      <c r="E143" s="634">
        <v>0.914</v>
      </c>
      <c r="F143" s="947">
        <f>F142*E143</f>
        <v>4.0216</v>
      </c>
      <c r="G143" s="729"/>
      <c r="H143" s="729">
        <f t="shared" si="8"/>
        <v>0</v>
      </c>
      <c r="I143" s="729"/>
      <c r="J143" s="729">
        <f t="shared" si="9"/>
        <v>0</v>
      </c>
      <c r="K143" s="729"/>
      <c r="L143" s="729">
        <f t="shared" si="10"/>
        <v>0</v>
      </c>
      <c r="M143" s="729">
        <f t="shared" si="11"/>
        <v>0</v>
      </c>
    </row>
    <row r="144" spans="1:13" s="968" customFormat="1" ht="15.75">
      <c r="A144" s="844"/>
      <c r="B144" s="634"/>
      <c r="C144" s="634" t="s">
        <v>897</v>
      </c>
      <c r="D144" s="634" t="s">
        <v>45</v>
      </c>
      <c r="E144" s="634">
        <v>0.353</v>
      </c>
      <c r="F144" s="947">
        <f>F142*E144</f>
        <v>1.5532000000000001</v>
      </c>
      <c r="G144" s="729"/>
      <c r="H144" s="729">
        <f t="shared" si="8"/>
        <v>0</v>
      </c>
      <c r="I144" s="729"/>
      <c r="J144" s="729">
        <f t="shared" si="9"/>
        <v>0</v>
      </c>
      <c r="K144" s="729"/>
      <c r="L144" s="729">
        <f t="shared" si="10"/>
        <v>0</v>
      </c>
      <c r="M144" s="729">
        <f t="shared" si="11"/>
        <v>0</v>
      </c>
    </row>
    <row r="145" spans="1:13" s="968" customFormat="1" ht="15.75">
      <c r="A145" s="844"/>
      <c r="B145" s="629"/>
      <c r="C145" s="623" t="s">
        <v>965</v>
      </c>
      <c r="D145" s="132" t="s">
        <v>45</v>
      </c>
      <c r="E145" s="132">
        <v>0.276</v>
      </c>
      <c r="F145" s="946">
        <f>F142*E145</f>
        <v>1.2144000000000001</v>
      </c>
      <c r="G145" s="729"/>
      <c r="H145" s="729">
        <f t="shared" si="8"/>
        <v>0</v>
      </c>
      <c r="I145" s="729"/>
      <c r="J145" s="729">
        <f t="shared" si="9"/>
        <v>0</v>
      </c>
      <c r="K145" s="729"/>
      <c r="L145" s="729">
        <f t="shared" si="10"/>
        <v>0</v>
      </c>
      <c r="M145" s="729">
        <f t="shared" si="11"/>
        <v>0</v>
      </c>
    </row>
    <row r="146" spans="1:13" s="968" customFormat="1" ht="54">
      <c r="A146" s="844">
        <v>14</v>
      </c>
      <c r="B146" s="629" t="s">
        <v>1018</v>
      </c>
      <c r="C146" s="623" t="s">
        <v>1019</v>
      </c>
      <c r="D146" s="132" t="s">
        <v>651</v>
      </c>
      <c r="E146" s="132"/>
      <c r="F146" s="946">
        <v>5.27</v>
      </c>
      <c r="G146" s="729"/>
      <c r="H146" s="729">
        <f t="shared" si="8"/>
        <v>0</v>
      </c>
      <c r="I146" s="729"/>
      <c r="J146" s="729">
        <f t="shared" si="9"/>
        <v>0</v>
      </c>
      <c r="K146" s="729"/>
      <c r="L146" s="729">
        <f t="shared" si="10"/>
        <v>0</v>
      </c>
      <c r="M146" s="729">
        <f t="shared" si="11"/>
        <v>0</v>
      </c>
    </row>
    <row r="147" spans="1:13" s="968" customFormat="1" ht="15.75">
      <c r="A147" s="844"/>
      <c r="B147" s="634"/>
      <c r="C147" s="634" t="s">
        <v>738</v>
      </c>
      <c r="D147" s="696" t="s">
        <v>15</v>
      </c>
      <c r="E147" s="634">
        <v>2.72</v>
      </c>
      <c r="F147" s="947">
        <f>F146*E147</f>
        <v>14.3344</v>
      </c>
      <c r="G147" s="729"/>
      <c r="H147" s="729">
        <f t="shared" si="8"/>
        <v>0</v>
      </c>
      <c r="I147" s="729"/>
      <c r="J147" s="729">
        <f t="shared" si="9"/>
        <v>0</v>
      </c>
      <c r="K147" s="729"/>
      <c r="L147" s="729">
        <f t="shared" si="10"/>
        <v>0</v>
      </c>
      <c r="M147" s="729">
        <f t="shared" si="11"/>
        <v>0</v>
      </c>
    </row>
    <row r="148" spans="1:13" s="968" customFormat="1" ht="15.75">
      <c r="A148" s="844"/>
      <c r="B148" s="629"/>
      <c r="C148" s="623" t="s">
        <v>1020</v>
      </c>
      <c r="D148" s="132" t="s">
        <v>651</v>
      </c>
      <c r="E148" s="132">
        <v>1</v>
      </c>
      <c r="F148" s="946">
        <f>F146*E148</f>
        <v>5.27</v>
      </c>
      <c r="G148" s="729"/>
      <c r="H148" s="729">
        <f t="shared" si="8"/>
        <v>0</v>
      </c>
      <c r="I148" s="729"/>
      <c r="J148" s="729">
        <f t="shared" si="9"/>
        <v>0</v>
      </c>
      <c r="K148" s="729"/>
      <c r="L148" s="729">
        <f t="shared" si="10"/>
        <v>0</v>
      </c>
      <c r="M148" s="729">
        <f t="shared" si="11"/>
        <v>0</v>
      </c>
    </row>
    <row r="149" spans="1:13" s="968" customFormat="1" ht="54">
      <c r="A149" s="844">
        <v>15</v>
      </c>
      <c r="B149" s="629" t="s">
        <v>984</v>
      </c>
      <c r="C149" s="623" t="s">
        <v>1021</v>
      </c>
      <c r="D149" s="132" t="s">
        <v>651</v>
      </c>
      <c r="E149" s="132"/>
      <c r="F149" s="946">
        <v>25</v>
      </c>
      <c r="G149" s="729"/>
      <c r="H149" s="729">
        <f t="shared" si="8"/>
        <v>0</v>
      </c>
      <c r="I149" s="729"/>
      <c r="J149" s="729">
        <f t="shared" si="9"/>
        <v>0</v>
      </c>
      <c r="K149" s="729"/>
      <c r="L149" s="729">
        <f t="shared" si="10"/>
        <v>0</v>
      </c>
      <c r="M149" s="729">
        <f t="shared" si="11"/>
        <v>0</v>
      </c>
    </row>
    <row r="150" spans="1:13" s="968" customFormat="1" ht="15.75">
      <c r="A150" s="844"/>
      <c r="B150" s="634"/>
      <c r="C150" s="634" t="s">
        <v>738</v>
      </c>
      <c r="D150" s="696" t="s">
        <v>15</v>
      </c>
      <c r="E150" s="634">
        <v>1.01</v>
      </c>
      <c r="F150" s="947">
        <f>F149*E150</f>
        <v>25.25</v>
      </c>
      <c r="G150" s="729"/>
      <c r="H150" s="729">
        <f t="shared" si="8"/>
        <v>0</v>
      </c>
      <c r="I150" s="729"/>
      <c r="J150" s="729">
        <f t="shared" si="9"/>
        <v>0</v>
      </c>
      <c r="K150" s="729"/>
      <c r="L150" s="729">
        <f t="shared" si="10"/>
        <v>0</v>
      </c>
      <c r="M150" s="729">
        <f t="shared" si="11"/>
        <v>0</v>
      </c>
    </row>
    <row r="151" spans="1:13" s="968" customFormat="1" ht="15.75">
      <c r="A151" s="844"/>
      <c r="B151" s="634"/>
      <c r="C151" s="634" t="s">
        <v>897</v>
      </c>
      <c r="D151" s="634" t="s">
        <v>45</v>
      </c>
      <c r="E151" s="634">
        <v>0.027</v>
      </c>
      <c r="F151" s="947">
        <f>F149*E151</f>
        <v>0.675</v>
      </c>
      <c r="G151" s="729"/>
      <c r="H151" s="729">
        <f t="shared" si="8"/>
        <v>0</v>
      </c>
      <c r="I151" s="729"/>
      <c r="J151" s="729">
        <f t="shared" si="9"/>
        <v>0</v>
      </c>
      <c r="K151" s="729"/>
      <c r="L151" s="729">
        <f t="shared" si="10"/>
        <v>0</v>
      </c>
      <c r="M151" s="729">
        <f t="shared" si="11"/>
        <v>0</v>
      </c>
    </row>
    <row r="152" spans="1:13" s="968" customFormat="1" ht="15.75">
      <c r="A152" s="844"/>
      <c r="B152" s="629"/>
      <c r="C152" s="623" t="s">
        <v>986</v>
      </c>
      <c r="D152" s="132" t="s">
        <v>950</v>
      </c>
      <c r="E152" s="132">
        <v>0.035</v>
      </c>
      <c r="F152" s="946">
        <f>F149*E152</f>
        <v>0.8750000000000001</v>
      </c>
      <c r="G152" s="729"/>
      <c r="H152" s="729">
        <f t="shared" si="8"/>
        <v>0</v>
      </c>
      <c r="I152" s="729"/>
      <c r="J152" s="729">
        <f t="shared" si="9"/>
        <v>0</v>
      </c>
      <c r="K152" s="729"/>
      <c r="L152" s="729">
        <f t="shared" si="10"/>
        <v>0</v>
      </c>
      <c r="M152" s="729">
        <f t="shared" si="11"/>
        <v>0</v>
      </c>
    </row>
    <row r="153" spans="1:13" s="968" customFormat="1" ht="15.75">
      <c r="A153" s="844"/>
      <c r="B153" s="629"/>
      <c r="C153" s="623" t="s">
        <v>965</v>
      </c>
      <c r="D153" s="132" t="s">
        <v>45</v>
      </c>
      <c r="E153" s="132">
        <v>0.003</v>
      </c>
      <c r="F153" s="946">
        <f>F149*E153</f>
        <v>0.075</v>
      </c>
      <c r="G153" s="729"/>
      <c r="H153" s="729">
        <f t="shared" si="8"/>
        <v>0</v>
      </c>
      <c r="I153" s="729"/>
      <c r="J153" s="729">
        <f t="shared" si="9"/>
        <v>0</v>
      </c>
      <c r="K153" s="729"/>
      <c r="L153" s="729">
        <f t="shared" si="10"/>
        <v>0</v>
      </c>
      <c r="M153" s="729">
        <f t="shared" si="11"/>
        <v>0</v>
      </c>
    </row>
    <row r="154" spans="1:13" s="968" customFormat="1" ht="67.5">
      <c r="A154" s="844">
        <v>16</v>
      </c>
      <c r="B154" s="629" t="s">
        <v>994</v>
      </c>
      <c r="C154" s="623" t="s">
        <v>1022</v>
      </c>
      <c r="D154" s="132" t="s">
        <v>651</v>
      </c>
      <c r="E154" s="132"/>
      <c r="F154" s="946">
        <v>263</v>
      </c>
      <c r="G154" s="729"/>
      <c r="H154" s="729">
        <f t="shared" si="8"/>
        <v>0</v>
      </c>
      <c r="I154" s="729"/>
      <c r="J154" s="729">
        <f t="shared" si="9"/>
        <v>0</v>
      </c>
      <c r="K154" s="729"/>
      <c r="L154" s="729">
        <f t="shared" si="10"/>
        <v>0</v>
      </c>
      <c r="M154" s="729">
        <f t="shared" si="11"/>
        <v>0</v>
      </c>
    </row>
    <row r="155" spans="1:13" s="968" customFormat="1" ht="15.75">
      <c r="A155" s="844"/>
      <c r="B155" s="634"/>
      <c r="C155" s="634" t="s">
        <v>738</v>
      </c>
      <c r="D155" s="696" t="s">
        <v>15</v>
      </c>
      <c r="E155" s="634">
        <v>0.856</v>
      </c>
      <c r="F155" s="947">
        <f>F154*E155</f>
        <v>225.128</v>
      </c>
      <c r="G155" s="729"/>
      <c r="H155" s="729">
        <f t="shared" si="8"/>
        <v>0</v>
      </c>
      <c r="I155" s="729"/>
      <c r="J155" s="729">
        <f t="shared" si="9"/>
        <v>0</v>
      </c>
      <c r="K155" s="729"/>
      <c r="L155" s="729">
        <f t="shared" si="10"/>
        <v>0</v>
      </c>
      <c r="M155" s="729">
        <f t="shared" si="11"/>
        <v>0</v>
      </c>
    </row>
    <row r="156" spans="1:13" s="968" customFormat="1" ht="15.75">
      <c r="A156" s="844"/>
      <c r="B156" s="634"/>
      <c r="C156" s="634" t="s">
        <v>897</v>
      </c>
      <c r="D156" s="634" t="s">
        <v>45</v>
      </c>
      <c r="E156" s="634">
        <v>0.012</v>
      </c>
      <c r="F156" s="947">
        <f>F154*E156</f>
        <v>3.156</v>
      </c>
      <c r="G156" s="729"/>
      <c r="H156" s="729">
        <f t="shared" si="8"/>
        <v>0</v>
      </c>
      <c r="I156" s="729"/>
      <c r="J156" s="729">
        <f t="shared" si="9"/>
        <v>0</v>
      </c>
      <c r="K156" s="729"/>
      <c r="L156" s="729">
        <f t="shared" si="10"/>
        <v>0</v>
      </c>
      <c r="M156" s="729">
        <f t="shared" si="11"/>
        <v>0</v>
      </c>
    </row>
    <row r="157" spans="1:13" s="968" customFormat="1" ht="15.75">
      <c r="A157" s="844"/>
      <c r="B157" s="629"/>
      <c r="C157" s="623" t="s">
        <v>996</v>
      </c>
      <c r="D157" s="132" t="s">
        <v>49</v>
      </c>
      <c r="E157" s="132">
        <v>0.63</v>
      </c>
      <c r="F157" s="946">
        <f>F154*E157</f>
        <v>165.69</v>
      </c>
      <c r="G157" s="729"/>
      <c r="H157" s="729">
        <f t="shared" si="8"/>
        <v>0</v>
      </c>
      <c r="I157" s="729"/>
      <c r="J157" s="729">
        <f t="shared" si="9"/>
        <v>0</v>
      </c>
      <c r="K157" s="729"/>
      <c r="L157" s="729">
        <f t="shared" si="10"/>
        <v>0</v>
      </c>
      <c r="M157" s="729">
        <f t="shared" si="11"/>
        <v>0</v>
      </c>
    </row>
    <row r="158" spans="1:13" s="968" customFormat="1" ht="15.75">
      <c r="A158" s="844"/>
      <c r="B158" s="629"/>
      <c r="C158" s="623" t="s">
        <v>997</v>
      </c>
      <c r="D158" s="132" t="s">
        <v>49</v>
      </c>
      <c r="E158" s="132">
        <v>0.92</v>
      </c>
      <c r="F158" s="946">
        <f>F154*E158</f>
        <v>241.96</v>
      </c>
      <c r="G158" s="729"/>
      <c r="H158" s="729">
        <f t="shared" si="8"/>
        <v>0</v>
      </c>
      <c r="I158" s="729"/>
      <c r="J158" s="729">
        <f t="shared" si="9"/>
        <v>0</v>
      </c>
      <c r="K158" s="729"/>
      <c r="L158" s="729">
        <f t="shared" si="10"/>
        <v>0</v>
      </c>
      <c r="M158" s="729">
        <f t="shared" si="11"/>
        <v>0</v>
      </c>
    </row>
    <row r="159" spans="1:13" s="968" customFormat="1" ht="15.75">
      <c r="A159" s="844"/>
      <c r="B159" s="629"/>
      <c r="C159" s="623" t="s">
        <v>965</v>
      </c>
      <c r="D159" s="132" t="s">
        <v>45</v>
      </c>
      <c r="E159" s="132">
        <v>0.018</v>
      </c>
      <c r="F159" s="946">
        <f>F154*E159</f>
        <v>4.734</v>
      </c>
      <c r="G159" s="729"/>
      <c r="H159" s="729">
        <f t="shared" si="8"/>
        <v>0</v>
      </c>
      <c r="I159" s="729"/>
      <c r="J159" s="729">
        <f t="shared" si="9"/>
        <v>0</v>
      </c>
      <c r="K159" s="729"/>
      <c r="L159" s="729">
        <f t="shared" si="10"/>
        <v>0</v>
      </c>
      <c r="M159" s="729">
        <f t="shared" si="11"/>
        <v>0</v>
      </c>
    </row>
    <row r="160" spans="1:13" s="968" customFormat="1" ht="54">
      <c r="A160" s="844">
        <v>17</v>
      </c>
      <c r="B160" s="629" t="s">
        <v>1001</v>
      </c>
      <c r="C160" s="623" t="s">
        <v>1023</v>
      </c>
      <c r="D160" s="132" t="s">
        <v>1024</v>
      </c>
      <c r="E160" s="132"/>
      <c r="F160" s="946">
        <v>3</v>
      </c>
      <c r="G160" s="729"/>
      <c r="H160" s="729">
        <f t="shared" si="8"/>
        <v>0</v>
      </c>
      <c r="I160" s="729"/>
      <c r="J160" s="729">
        <f t="shared" si="9"/>
        <v>0</v>
      </c>
      <c r="K160" s="729"/>
      <c r="L160" s="729">
        <f t="shared" si="10"/>
        <v>0</v>
      </c>
      <c r="M160" s="729">
        <f t="shared" si="11"/>
        <v>0</v>
      </c>
    </row>
    <row r="161" spans="1:13" s="968" customFormat="1" ht="15.75">
      <c r="A161" s="844"/>
      <c r="B161" s="634"/>
      <c r="C161" s="634" t="s">
        <v>738</v>
      </c>
      <c r="D161" s="696" t="s">
        <v>15</v>
      </c>
      <c r="E161" s="634">
        <v>16.7</v>
      </c>
      <c r="F161" s="947">
        <f>F160*E161</f>
        <v>50.099999999999994</v>
      </c>
      <c r="G161" s="729"/>
      <c r="H161" s="729">
        <f t="shared" si="8"/>
        <v>0</v>
      </c>
      <c r="I161" s="729"/>
      <c r="J161" s="729">
        <f t="shared" si="9"/>
        <v>0</v>
      </c>
      <c r="K161" s="729"/>
      <c r="L161" s="729">
        <f t="shared" si="10"/>
        <v>0</v>
      </c>
      <c r="M161" s="729">
        <f t="shared" si="11"/>
        <v>0</v>
      </c>
    </row>
    <row r="162" spans="1:13" s="968" customFormat="1" ht="15.75">
      <c r="A162" s="844"/>
      <c r="B162" s="634"/>
      <c r="C162" s="634" t="s">
        <v>897</v>
      </c>
      <c r="D162" s="634" t="s">
        <v>45</v>
      </c>
      <c r="E162" s="634">
        <v>1.99</v>
      </c>
      <c r="F162" s="947">
        <f>F160*E162</f>
        <v>5.97</v>
      </c>
      <c r="G162" s="729"/>
      <c r="H162" s="729">
        <f t="shared" si="8"/>
        <v>0</v>
      </c>
      <c r="I162" s="729"/>
      <c r="J162" s="729">
        <f t="shared" si="9"/>
        <v>0</v>
      </c>
      <c r="K162" s="729"/>
      <c r="L162" s="729">
        <f t="shared" si="10"/>
        <v>0</v>
      </c>
      <c r="M162" s="729">
        <f t="shared" si="11"/>
        <v>0</v>
      </c>
    </row>
    <row r="163" spans="1:13" s="968" customFormat="1" ht="31.5">
      <c r="A163" s="844"/>
      <c r="B163" s="629"/>
      <c r="C163" s="623" t="s">
        <v>1025</v>
      </c>
      <c r="D163" s="132" t="s">
        <v>1024</v>
      </c>
      <c r="E163" s="132"/>
      <c r="F163" s="946">
        <v>2</v>
      </c>
      <c r="G163" s="729"/>
      <c r="H163" s="729">
        <f t="shared" si="8"/>
        <v>0</v>
      </c>
      <c r="I163" s="729"/>
      <c r="J163" s="729">
        <f t="shared" si="9"/>
        <v>0</v>
      </c>
      <c r="K163" s="729"/>
      <c r="L163" s="729">
        <f t="shared" si="10"/>
        <v>0</v>
      </c>
      <c r="M163" s="729">
        <f t="shared" si="11"/>
        <v>0</v>
      </c>
    </row>
    <row r="164" spans="1:13" s="968" customFormat="1" ht="15.75">
      <c r="A164" s="844"/>
      <c r="B164" s="629"/>
      <c r="C164" s="623" t="s">
        <v>1026</v>
      </c>
      <c r="D164" s="132" t="s">
        <v>1024</v>
      </c>
      <c r="E164" s="132"/>
      <c r="F164" s="946">
        <v>1</v>
      </c>
      <c r="G164" s="729"/>
      <c r="H164" s="729">
        <f t="shared" si="8"/>
        <v>0</v>
      </c>
      <c r="I164" s="729"/>
      <c r="J164" s="729">
        <f t="shared" si="9"/>
        <v>0</v>
      </c>
      <c r="K164" s="729"/>
      <c r="L164" s="729">
        <f t="shared" si="10"/>
        <v>0</v>
      </c>
      <c r="M164" s="729">
        <f t="shared" si="11"/>
        <v>0</v>
      </c>
    </row>
    <row r="165" spans="1:13" s="968" customFormat="1" ht="15.75">
      <c r="A165" s="844"/>
      <c r="B165" s="629"/>
      <c r="C165" s="623" t="s">
        <v>965</v>
      </c>
      <c r="D165" s="132" t="s">
        <v>45</v>
      </c>
      <c r="E165" s="132">
        <v>9.97</v>
      </c>
      <c r="F165" s="946">
        <f>F160*E165</f>
        <v>29.910000000000004</v>
      </c>
      <c r="G165" s="729"/>
      <c r="H165" s="729">
        <f t="shared" si="8"/>
        <v>0</v>
      </c>
      <c r="I165" s="729"/>
      <c r="J165" s="729">
        <f t="shared" si="9"/>
        <v>0</v>
      </c>
      <c r="K165" s="729"/>
      <c r="L165" s="729">
        <f t="shared" si="10"/>
        <v>0</v>
      </c>
      <c r="M165" s="729">
        <f t="shared" si="11"/>
        <v>0</v>
      </c>
    </row>
    <row r="166" spans="1:13" s="968" customFormat="1" ht="40.5">
      <c r="A166" s="634"/>
      <c r="B166" s="963"/>
      <c r="C166" s="964" t="s">
        <v>1027</v>
      </c>
      <c r="D166" s="965"/>
      <c r="E166" s="965"/>
      <c r="F166" s="966"/>
      <c r="G166" s="967"/>
      <c r="H166" s="729">
        <f t="shared" si="8"/>
        <v>0</v>
      </c>
      <c r="I166" s="967"/>
      <c r="J166" s="729">
        <f t="shared" si="9"/>
        <v>0</v>
      </c>
      <c r="K166" s="967"/>
      <c r="L166" s="729">
        <f t="shared" si="10"/>
        <v>0</v>
      </c>
      <c r="M166" s="729">
        <f t="shared" si="11"/>
        <v>0</v>
      </c>
    </row>
    <row r="167" spans="1:13" s="968" customFormat="1" ht="54">
      <c r="A167" s="844">
        <v>1</v>
      </c>
      <c r="B167" s="629" t="s">
        <v>1001</v>
      </c>
      <c r="C167" s="623" t="s">
        <v>1028</v>
      </c>
      <c r="D167" s="132" t="s">
        <v>112</v>
      </c>
      <c r="E167" s="132"/>
      <c r="F167" s="946">
        <v>6</v>
      </c>
      <c r="G167" s="729"/>
      <c r="H167" s="729">
        <f t="shared" si="8"/>
        <v>0</v>
      </c>
      <c r="I167" s="729"/>
      <c r="J167" s="729">
        <f t="shared" si="9"/>
        <v>0</v>
      </c>
      <c r="K167" s="729"/>
      <c r="L167" s="729">
        <f t="shared" si="10"/>
        <v>0</v>
      </c>
      <c r="M167" s="729">
        <f t="shared" si="11"/>
        <v>0</v>
      </c>
    </row>
    <row r="168" spans="1:13" s="968" customFormat="1" ht="15.75">
      <c r="A168" s="844"/>
      <c r="B168" s="634" t="s">
        <v>1003</v>
      </c>
      <c r="C168" s="634" t="s">
        <v>738</v>
      </c>
      <c r="D168" s="696" t="s">
        <v>15</v>
      </c>
      <c r="E168" s="634">
        <v>8.35</v>
      </c>
      <c r="F168" s="947">
        <f>F167*E168</f>
        <v>50.099999999999994</v>
      </c>
      <c r="G168" s="729"/>
      <c r="H168" s="729">
        <f t="shared" si="8"/>
        <v>0</v>
      </c>
      <c r="I168" s="729"/>
      <c r="J168" s="729">
        <f t="shared" si="9"/>
        <v>0</v>
      </c>
      <c r="K168" s="729"/>
      <c r="L168" s="729">
        <f t="shared" si="10"/>
        <v>0</v>
      </c>
      <c r="M168" s="729">
        <f t="shared" si="11"/>
        <v>0</v>
      </c>
    </row>
    <row r="169" spans="1:13" s="968" customFormat="1" ht="15.75">
      <c r="A169" s="844"/>
      <c r="B169" s="634" t="s">
        <v>1003</v>
      </c>
      <c r="C169" s="634" t="s">
        <v>897</v>
      </c>
      <c r="D169" s="634" t="s">
        <v>45</v>
      </c>
      <c r="E169" s="634">
        <v>0.995</v>
      </c>
      <c r="F169" s="947">
        <f>F167*E169</f>
        <v>5.97</v>
      </c>
      <c r="G169" s="729"/>
      <c r="H169" s="729">
        <f t="shared" si="8"/>
        <v>0</v>
      </c>
      <c r="I169" s="729"/>
      <c r="J169" s="729">
        <f t="shared" si="9"/>
        <v>0</v>
      </c>
      <c r="K169" s="729"/>
      <c r="L169" s="729">
        <f t="shared" si="10"/>
        <v>0</v>
      </c>
      <c r="M169" s="729">
        <f t="shared" si="11"/>
        <v>0</v>
      </c>
    </row>
    <row r="170" spans="1:13" s="968" customFormat="1" ht="47.25">
      <c r="A170" s="844">
        <v>2</v>
      </c>
      <c r="B170" s="629" t="s">
        <v>1029</v>
      </c>
      <c r="C170" s="623" t="s">
        <v>1030</v>
      </c>
      <c r="D170" s="132" t="s">
        <v>112</v>
      </c>
      <c r="E170" s="132"/>
      <c r="F170" s="946">
        <v>4</v>
      </c>
      <c r="G170" s="729"/>
      <c r="H170" s="729">
        <f t="shared" si="8"/>
        <v>0</v>
      </c>
      <c r="I170" s="729"/>
      <c r="J170" s="729">
        <f t="shared" si="9"/>
        <v>0</v>
      </c>
      <c r="K170" s="729"/>
      <c r="L170" s="729">
        <f t="shared" si="10"/>
        <v>0</v>
      </c>
      <c r="M170" s="729">
        <f t="shared" si="11"/>
        <v>0</v>
      </c>
    </row>
    <row r="171" spans="1:13" s="968" customFormat="1" ht="15.75">
      <c r="A171" s="844"/>
      <c r="B171" s="634"/>
      <c r="C171" s="634" t="s">
        <v>738</v>
      </c>
      <c r="D171" s="696" t="s">
        <v>15</v>
      </c>
      <c r="E171" s="634">
        <v>1.09</v>
      </c>
      <c r="F171" s="947">
        <f>F170*E171</f>
        <v>4.36</v>
      </c>
      <c r="G171" s="729"/>
      <c r="H171" s="729">
        <f t="shared" si="8"/>
        <v>0</v>
      </c>
      <c r="I171" s="729"/>
      <c r="J171" s="729">
        <f t="shared" si="9"/>
        <v>0</v>
      </c>
      <c r="K171" s="729"/>
      <c r="L171" s="729">
        <f t="shared" si="10"/>
        <v>0</v>
      </c>
      <c r="M171" s="729">
        <f t="shared" si="11"/>
        <v>0</v>
      </c>
    </row>
    <row r="172" spans="1:13" s="968" customFormat="1" ht="15.75">
      <c r="A172" s="844"/>
      <c r="B172" s="634"/>
      <c r="C172" s="634" t="s">
        <v>897</v>
      </c>
      <c r="D172" s="634" t="s">
        <v>45</v>
      </c>
      <c r="E172" s="634">
        <v>0.03</v>
      </c>
      <c r="F172" s="947">
        <f>F170*E172</f>
        <v>0.12</v>
      </c>
      <c r="G172" s="729"/>
      <c r="H172" s="729">
        <f t="shared" si="8"/>
        <v>0</v>
      </c>
      <c r="I172" s="729"/>
      <c r="J172" s="729">
        <f t="shared" si="9"/>
        <v>0</v>
      </c>
      <c r="K172" s="729"/>
      <c r="L172" s="729">
        <f t="shared" si="10"/>
        <v>0</v>
      </c>
      <c r="M172" s="729">
        <f t="shared" si="11"/>
        <v>0</v>
      </c>
    </row>
    <row r="173" spans="1:13" s="968" customFormat="1" ht="47.25">
      <c r="A173" s="844">
        <v>3</v>
      </c>
      <c r="B173" s="629" t="s">
        <v>1031</v>
      </c>
      <c r="C173" s="623" t="s">
        <v>1032</v>
      </c>
      <c r="D173" s="132" t="s">
        <v>1033</v>
      </c>
      <c r="E173" s="132"/>
      <c r="F173" s="946">
        <v>50</v>
      </c>
      <c r="G173" s="729"/>
      <c r="H173" s="729">
        <f t="shared" si="8"/>
        <v>0</v>
      </c>
      <c r="I173" s="729"/>
      <c r="J173" s="729">
        <f t="shared" si="9"/>
        <v>0</v>
      </c>
      <c r="K173" s="729"/>
      <c r="L173" s="729">
        <f t="shared" si="10"/>
        <v>0</v>
      </c>
      <c r="M173" s="729">
        <f t="shared" si="11"/>
        <v>0</v>
      </c>
    </row>
    <row r="174" spans="1:13" s="968" customFormat="1" ht="15.75">
      <c r="A174" s="844"/>
      <c r="B174" s="634"/>
      <c r="C174" s="634" t="s">
        <v>738</v>
      </c>
      <c r="D174" s="696" t="s">
        <v>15</v>
      </c>
      <c r="E174" s="634">
        <v>0.43</v>
      </c>
      <c r="F174" s="947">
        <f>F173*E174</f>
        <v>21.5</v>
      </c>
      <c r="G174" s="729"/>
      <c r="H174" s="729">
        <f t="shared" si="8"/>
        <v>0</v>
      </c>
      <c r="I174" s="729"/>
      <c r="J174" s="729">
        <f t="shared" si="9"/>
        <v>0</v>
      </c>
      <c r="K174" s="729"/>
      <c r="L174" s="729">
        <f t="shared" si="10"/>
        <v>0</v>
      </c>
      <c r="M174" s="729">
        <f t="shared" si="11"/>
        <v>0</v>
      </c>
    </row>
    <row r="175" spans="1:13" s="968" customFormat="1" ht="31.5">
      <c r="A175" s="844">
        <v>4</v>
      </c>
      <c r="B175" s="837" t="s">
        <v>573</v>
      </c>
      <c r="C175" s="623" t="s">
        <v>1034</v>
      </c>
      <c r="D175" s="132" t="s">
        <v>112</v>
      </c>
      <c r="E175" s="132"/>
      <c r="F175" s="946">
        <v>198</v>
      </c>
      <c r="G175" s="729"/>
      <c r="H175" s="729">
        <f t="shared" si="8"/>
        <v>0</v>
      </c>
      <c r="I175" s="729"/>
      <c r="J175" s="729">
        <f t="shared" si="9"/>
        <v>0</v>
      </c>
      <c r="K175" s="729"/>
      <c r="L175" s="729">
        <f t="shared" si="10"/>
        <v>0</v>
      </c>
      <c r="M175" s="729">
        <f t="shared" si="11"/>
        <v>0</v>
      </c>
    </row>
    <row r="176" spans="1:13" s="968" customFormat="1" ht="63">
      <c r="A176" s="844">
        <v>5</v>
      </c>
      <c r="B176" s="629" t="s">
        <v>900</v>
      </c>
      <c r="C176" s="623" t="s">
        <v>1035</v>
      </c>
      <c r="D176" s="132" t="s">
        <v>729</v>
      </c>
      <c r="E176" s="132"/>
      <c r="F176" s="946">
        <v>56</v>
      </c>
      <c r="G176" s="729"/>
      <c r="H176" s="729">
        <f t="shared" si="8"/>
        <v>0</v>
      </c>
      <c r="I176" s="729"/>
      <c r="J176" s="729">
        <f t="shared" si="9"/>
        <v>0</v>
      </c>
      <c r="K176" s="729"/>
      <c r="L176" s="729">
        <f t="shared" si="10"/>
        <v>0</v>
      </c>
      <c r="M176" s="729">
        <f t="shared" si="11"/>
        <v>0</v>
      </c>
    </row>
    <row r="177" spans="1:13" s="968" customFormat="1" ht="67.5">
      <c r="A177" s="844">
        <v>6</v>
      </c>
      <c r="B177" s="629" t="s">
        <v>1036</v>
      </c>
      <c r="C177" s="623" t="s">
        <v>1037</v>
      </c>
      <c r="D177" s="132" t="s">
        <v>729</v>
      </c>
      <c r="E177" s="132"/>
      <c r="F177" s="946">
        <v>268</v>
      </c>
      <c r="G177" s="729"/>
      <c r="H177" s="729">
        <f t="shared" si="8"/>
        <v>0</v>
      </c>
      <c r="I177" s="729"/>
      <c r="J177" s="729">
        <f t="shared" si="9"/>
        <v>0</v>
      </c>
      <c r="K177" s="729"/>
      <c r="L177" s="729">
        <f t="shared" si="10"/>
        <v>0</v>
      </c>
      <c r="M177" s="729">
        <f t="shared" si="11"/>
        <v>0</v>
      </c>
    </row>
    <row r="178" spans="1:13" s="968" customFormat="1" ht="15.75">
      <c r="A178" s="844"/>
      <c r="B178" s="634"/>
      <c r="C178" s="634" t="s">
        <v>738</v>
      </c>
      <c r="D178" s="696" t="s">
        <v>15</v>
      </c>
      <c r="E178" s="634">
        <v>0.12</v>
      </c>
      <c r="F178" s="947">
        <f>F177*E178</f>
        <v>32.16</v>
      </c>
      <c r="G178" s="729"/>
      <c r="H178" s="729">
        <f t="shared" si="8"/>
        <v>0</v>
      </c>
      <c r="I178" s="729"/>
      <c r="J178" s="729">
        <f t="shared" si="9"/>
        <v>0</v>
      </c>
      <c r="K178" s="729"/>
      <c r="L178" s="729">
        <f t="shared" si="10"/>
        <v>0</v>
      </c>
      <c r="M178" s="729">
        <f t="shared" si="11"/>
        <v>0</v>
      </c>
    </row>
    <row r="179" spans="1:13" s="968" customFormat="1" ht="67.5">
      <c r="A179" s="844">
        <v>7</v>
      </c>
      <c r="B179" s="629" t="s">
        <v>1038</v>
      </c>
      <c r="C179" s="623" t="s">
        <v>1039</v>
      </c>
      <c r="D179" s="132" t="s">
        <v>729</v>
      </c>
      <c r="E179" s="132"/>
      <c r="F179" s="946">
        <v>8</v>
      </c>
      <c r="G179" s="729"/>
      <c r="H179" s="729">
        <f t="shared" si="8"/>
        <v>0</v>
      </c>
      <c r="I179" s="729"/>
      <c r="J179" s="729">
        <f t="shared" si="9"/>
        <v>0</v>
      </c>
      <c r="K179" s="729"/>
      <c r="L179" s="729">
        <f t="shared" si="10"/>
        <v>0</v>
      </c>
      <c r="M179" s="729">
        <f t="shared" si="11"/>
        <v>0</v>
      </c>
    </row>
    <row r="180" spans="1:13" s="968" customFormat="1" ht="15.75">
      <c r="A180" s="844"/>
      <c r="B180" s="634"/>
      <c r="C180" s="634" t="s">
        <v>738</v>
      </c>
      <c r="D180" s="696" t="s">
        <v>15</v>
      </c>
      <c r="E180" s="634">
        <v>0.289</v>
      </c>
      <c r="F180" s="947">
        <f>F179*E180</f>
        <v>2.312</v>
      </c>
      <c r="G180" s="729"/>
      <c r="H180" s="729">
        <f t="shared" si="8"/>
        <v>0</v>
      </c>
      <c r="I180" s="729"/>
      <c r="J180" s="729">
        <f t="shared" si="9"/>
        <v>0</v>
      </c>
      <c r="K180" s="729"/>
      <c r="L180" s="729">
        <f t="shared" si="10"/>
        <v>0</v>
      </c>
      <c r="M180" s="729">
        <f t="shared" si="11"/>
        <v>0</v>
      </c>
    </row>
    <row r="181" spans="1:13" s="968" customFormat="1" ht="15.75">
      <c r="A181" s="844"/>
      <c r="B181" s="634"/>
      <c r="C181" s="634" t="s">
        <v>897</v>
      </c>
      <c r="D181" s="634" t="s">
        <v>45</v>
      </c>
      <c r="E181" s="634">
        <v>0.0628</v>
      </c>
      <c r="F181" s="947">
        <f>F179*E181</f>
        <v>0.5024</v>
      </c>
      <c r="G181" s="729"/>
      <c r="H181" s="729">
        <f t="shared" si="8"/>
        <v>0</v>
      </c>
      <c r="I181" s="729"/>
      <c r="J181" s="729">
        <f t="shared" si="9"/>
        <v>0</v>
      </c>
      <c r="K181" s="729"/>
      <c r="L181" s="729">
        <f t="shared" si="10"/>
        <v>0</v>
      </c>
      <c r="M181" s="729">
        <f t="shared" si="11"/>
        <v>0</v>
      </c>
    </row>
    <row r="182" spans="1:13" s="968" customFormat="1" ht="54">
      <c r="A182" s="844">
        <v>8</v>
      </c>
      <c r="B182" s="629" t="s">
        <v>1040</v>
      </c>
      <c r="C182" s="623" t="s">
        <v>1041</v>
      </c>
      <c r="D182" s="132" t="s">
        <v>729</v>
      </c>
      <c r="E182" s="132"/>
      <c r="F182" s="946">
        <v>256</v>
      </c>
      <c r="G182" s="729"/>
      <c r="H182" s="729">
        <f t="shared" si="8"/>
        <v>0</v>
      </c>
      <c r="I182" s="729"/>
      <c r="J182" s="729">
        <f t="shared" si="9"/>
        <v>0</v>
      </c>
      <c r="K182" s="729"/>
      <c r="L182" s="729">
        <f t="shared" si="10"/>
        <v>0</v>
      </c>
      <c r="M182" s="729">
        <f t="shared" si="11"/>
        <v>0</v>
      </c>
    </row>
    <row r="183" spans="1:13" s="968" customFormat="1" ht="15.75">
      <c r="A183" s="844"/>
      <c r="B183" s="634"/>
      <c r="C183" s="634" t="s">
        <v>738</v>
      </c>
      <c r="D183" s="696" t="s">
        <v>15</v>
      </c>
      <c r="E183" s="634">
        <v>0.738</v>
      </c>
      <c r="F183" s="947">
        <f>F182*E183</f>
        <v>188.928</v>
      </c>
      <c r="G183" s="729"/>
      <c r="H183" s="729">
        <f t="shared" si="8"/>
        <v>0</v>
      </c>
      <c r="I183" s="729"/>
      <c r="J183" s="729">
        <f t="shared" si="9"/>
        <v>0</v>
      </c>
      <c r="K183" s="729"/>
      <c r="L183" s="729">
        <f t="shared" si="10"/>
        <v>0</v>
      </c>
      <c r="M183" s="729">
        <f t="shared" si="11"/>
        <v>0</v>
      </c>
    </row>
    <row r="184" spans="1:13" s="968" customFormat="1" ht="15.75">
      <c r="A184" s="844"/>
      <c r="B184" s="634"/>
      <c r="C184" s="634" t="s">
        <v>897</v>
      </c>
      <c r="D184" s="634" t="s">
        <v>45</v>
      </c>
      <c r="E184" s="634">
        <v>0.0069</v>
      </c>
      <c r="F184" s="947">
        <f>F182*E184</f>
        <v>1.7664</v>
      </c>
      <c r="G184" s="729"/>
      <c r="H184" s="729">
        <f t="shared" si="8"/>
        <v>0</v>
      </c>
      <c r="I184" s="729"/>
      <c r="J184" s="729">
        <f t="shared" si="9"/>
        <v>0</v>
      </c>
      <c r="K184" s="729"/>
      <c r="L184" s="729">
        <f t="shared" si="10"/>
        <v>0</v>
      </c>
      <c r="M184" s="729">
        <f t="shared" si="11"/>
        <v>0</v>
      </c>
    </row>
    <row r="185" spans="1:13" s="968" customFormat="1" ht="15.75">
      <c r="A185" s="844"/>
      <c r="B185" s="629"/>
      <c r="C185" s="623" t="s">
        <v>1042</v>
      </c>
      <c r="D185" s="132" t="s">
        <v>960</v>
      </c>
      <c r="E185" s="132">
        <v>0.29</v>
      </c>
      <c r="F185" s="946">
        <f>F182*E185</f>
        <v>74.24</v>
      </c>
      <c r="G185" s="729"/>
      <c r="H185" s="729">
        <f t="shared" si="8"/>
        <v>0</v>
      </c>
      <c r="I185" s="729"/>
      <c r="J185" s="729">
        <f t="shared" si="9"/>
        <v>0</v>
      </c>
      <c r="K185" s="729"/>
      <c r="L185" s="729">
        <f t="shared" si="10"/>
        <v>0</v>
      </c>
      <c r="M185" s="729">
        <f t="shared" si="11"/>
        <v>0</v>
      </c>
    </row>
    <row r="186" spans="1:13" s="968" customFormat="1" ht="15.75">
      <c r="A186" s="844"/>
      <c r="B186" s="629"/>
      <c r="C186" s="623" t="s">
        <v>1043</v>
      </c>
      <c r="D186" s="132" t="s">
        <v>958</v>
      </c>
      <c r="E186" s="634">
        <v>8E-05</v>
      </c>
      <c r="F186" s="946">
        <f>F182*E186</f>
        <v>0.02048</v>
      </c>
      <c r="G186" s="729"/>
      <c r="H186" s="729">
        <f t="shared" si="8"/>
        <v>0</v>
      </c>
      <c r="I186" s="729"/>
      <c r="J186" s="729">
        <f t="shared" si="9"/>
        <v>0</v>
      </c>
      <c r="K186" s="729"/>
      <c r="L186" s="729">
        <f t="shared" si="10"/>
        <v>0</v>
      </c>
      <c r="M186" s="729">
        <f t="shared" si="11"/>
        <v>0</v>
      </c>
    </row>
    <row r="187" spans="1:13" s="968" customFormat="1" ht="15.75">
      <c r="A187" s="844"/>
      <c r="B187" s="629"/>
      <c r="C187" s="623" t="s">
        <v>1044</v>
      </c>
      <c r="D187" s="132" t="s">
        <v>651</v>
      </c>
      <c r="E187" s="132">
        <v>0.055</v>
      </c>
      <c r="F187" s="946">
        <f>F182*E187</f>
        <v>14.08</v>
      </c>
      <c r="G187" s="729"/>
      <c r="H187" s="729">
        <f t="shared" si="8"/>
        <v>0</v>
      </c>
      <c r="I187" s="729"/>
      <c r="J187" s="729">
        <f t="shared" si="9"/>
        <v>0</v>
      </c>
      <c r="K187" s="729"/>
      <c r="L187" s="729">
        <f t="shared" si="10"/>
        <v>0</v>
      </c>
      <c r="M187" s="729">
        <f t="shared" si="11"/>
        <v>0</v>
      </c>
    </row>
    <row r="188" spans="1:13" s="968" customFormat="1" ht="67.5">
      <c r="A188" s="844">
        <v>9</v>
      </c>
      <c r="B188" s="629" t="s">
        <v>1045</v>
      </c>
      <c r="C188" s="623" t="s">
        <v>1046</v>
      </c>
      <c r="D188" s="132" t="s">
        <v>729</v>
      </c>
      <c r="E188" s="132"/>
      <c r="F188" s="946">
        <v>256</v>
      </c>
      <c r="G188" s="729"/>
      <c r="H188" s="729">
        <f t="shared" si="8"/>
        <v>0</v>
      </c>
      <c r="I188" s="729"/>
      <c r="J188" s="729">
        <f t="shared" si="9"/>
        <v>0</v>
      </c>
      <c r="K188" s="729"/>
      <c r="L188" s="729">
        <f t="shared" si="10"/>
        <v>0</v>
      </c>
      <c r="M188" s="729">
        <f t="shared" si="11"/>
        <v>0</v>
      </c>
    </row>
    <row r="189" spans="1:13" s="968" customFormat="1" ht="15.75">
      <c r="A189" s="844"/>
      <c r="B189" s="634"/>
      <c r="C189" s="634" t="s">
        <v>738</v>
      </c>
      <c r="D189" s="696" t="s">
        <v>15</v>
      </c>
      <c r="E189" s="634">
        <v>1.07</v>
      </c>
      <c r="F189" s="947">
        <f>F188*E189</f>
        <v>273.92</v>
      </c>
      <c r="G189" s="729"/>
      <c r="H189" s="729">
        <f t="shared" si="8"/>
        <v>0</v>
      </c>
      <c r="I189" s="729"/>
      <c r="J189" s="729">
        <f t="shared" si="9"/>
        <v>0</v>
      </c>
      <c r="K189" s="729"/>
      <c r="L189" s="729">
        <f t="shared" si="10"/>
        <v>0</v>
      </c>
      <c r="M189" s="729">
        <f t="shared" si="11"/>
        <v>0</v>
      </c>
    </row>
    <row r="190" spans="1:13" s="968" customFormat="1" ht="15.75">
      <c r="A190" s="844"/>
      <c r="B190" s="634"/>
      <c r="C190" s="634" t="s">
        <v>897</v>
      </c>
      <c r="D190" s="634" t="s">
        <v>45</v>
      </c>
      <c r="E190" s="634">
        <v>0.145</v>
      </c>
      <c r="F190" s="947">
        <f>F188*E190</f>
        <v>37.12</v>
      </c>
      <c r="G190" s="729"/>
      <c r="H190" s="729">
        <f t="shared" si="8"/>
        <v>0</v>
      </c>
      <c r="I190" s="729"/>
      <c r="J190" s="729">
        <f t="shared" si="9"/>
        <v>0</v>
      </c>
      <c r="K190" s="729"/>
      <c r="L190" s="729">
        <f t="shared" si="10"/>
        <v>0</v>
      </c>
      <c r="M190" s="729">
        <f t="shared" si="11"/>
        <v>0</v>
      </c>
    </row>
    <row r="191" spans="1:13" s="968" customFormat="1" ht="67.5">
      <c r="A191" s="844">
        <v>10</v>
      </c>
      <c r="B191" s="629" t="s">
        <v>1047</v>
      </c>
      <c r="C191" s="623" t="s">
        <v>1048</v>
      </c>
      <c r="D191" s="132" t="s">
        <v>729</v>
      </c>
      <c r="E191" s="132"/>
      <c r="F191" s="946">
        <v>383</v>
      </c>
      <c r="G191" s="729"/>
      <c r="H191" s="729">
        <f t="shared" si="8"/>
        <v>0</v>
      </c>
      <c r="I191" s="729"/>
      <c r="J191" s="729">
        <f t="shared" si="9"/>
        <v>0</v>
      </c>
      <c r="K191" s="729"/>
      <c r="L191" s="729">
        <f t="shared" si="10"/>
        <v>0</v>
      </c>
      <c r="M191" s="729">
        <f t="shared" si="11"/>
        <v>0</v>
      </c>
    </row>
    <row r="192" spans="1:13" s="968" customFormat="1" ht="15.75">
      <c r="A192" s="844"/>
      <c r="B192" s="634"/>
      <c r="C192" s="634" t="s">
        <v>738</v>
      </c>
      <c r="D192" s="696" t="s">
        <v>15</v>
      </c>
      <c r="E192" s="634">
        <v>0.658</v>
      </c>
      <c r="F192" s="947">
        <f>F191*E192</f>
        <v>252.014</v>
      </c>
      <c r="G192" s="729"/>
      <c r="H192" s="729">
        <f t="shared" si="8"/>
        <v>0</v>
      </c>
      <c r="I192" s="729"/>
      <c r="J192" s="729">
        <f t="shared" si="9"/>
        <v>0</v>
      </c>
      <c r="K192" s="729"/>
      <c r="L192" s="729">
        <f t="shared" si="10"/>
        <v>0</v>
      </c>
      <c r="M192" s="729">
        <f t="shared" si="11"/>
        <v>0</v>
      </c>
    </row>
    <row r="193" spans="1:13" s="968" customFormat="1" ht="15.75">
      <c r="A193" s="844"/>
      <c r="B193" s="634"/>
      <c r="C193" s="634" t="s">
        <v>897</v>
      </c>
      <c r="D193" s="634" t="s">
        <v>45</v>
      </c>
      <c r="E193" s="634">
        <v>0.0497</v>
      </c>
      <c r="F193" s="947">
        <f>F191*E193</f>
        <v>19.0351</v>
      </c>
      <c r="G193" s="729"/>
      <c r="H193" s="729">
        <f t="shared" si="8"/>
        <v>0</v>
      </c>
      <c r="I193" s="729"/>
      <c r="J193" s="729">
        <f t="shared" si="9"/>
        <v>0</v>
      </c>
      <c r="K193" s="729"/>
      <c r="L193" s="729">
        <f t="shared" si="10"/>
        <v>0</v>
      </c>
      <c r="M193" s="729">
        <f t="shared" si="11"/>
        <v>0</v>
      </c>
    </row>
    <row r="194" spans="1:13" s="968" customFormat="1" ht="27">
      <c r="A194" s="833">
        <v>11</v>
      </c>
      <c r="B194" s="837" t="s">
        <v>573</v>
      </c>
      <c r="C194" s="969" t="s">
        <v>949</v>
      </c>
      <c r="D194" s="696" t="s">
        <v>950</v>
      </c>
      <c r="E194" s="696"/>
      <c r="F194" s="946">
        <v>12</v>
      </c>
      <c r="G194" s="729"/>
      <c r="H194" s="729">
        <f t="shared" si="8"/>
        <v>0</v>
      </c>
      <c r="I194" s="729"/>
      <c r="J194" s="729">
        <f t="shared" si="9"/>
        <v>0</v>
      </c>
      <c r="K194" s="729"/>
      <c r="L194" s="729">
        <f t="shared" si="10"/>
        <v>0</v>
      </c>
      <c r="M194" s="729">
        <f t="shared" si="11"/>
        <v>0</v>
      </c>
    </row>
    <row r="195" spans="1:13" s="968" customFormat="1" ht="27">
      <c r="A195" s="33">
        <v>12</v>
      </c>
      <c r="B195" s="135" t="s">
        <v>951</v>
      </c>
      <c r="C195" s="202" t="s">
        <v>952</v>
      </c>
      <c r="D195" s="33" t="s">
        <v>950</v>
      </c>
      <c r="E195" s="33"/>
      <c r="F195" s="948">
        <v>15</v>
      </c>
      <c r="G195" s="589"/>
      <c r="H195" s="589">
        <f t="shared" si="8"/>
        <v>0</v>
      </c>
      <c r="I195" s="589"/>
      <c r="J195" s="589">
        <f t="shared" si="9"/>
        <v>0</v>
      </c>
      <c r="K195" s="589"/>
      <c r="L195" s="589">
        <f t="shared" si="10"/>
        <v>0</v>
      </c>
      <c r="M195" s="729">
        <f t="shared" si="11"/>
        <v>0</v>
      </c>
    </row>
    <row r="196" spans="1:13" s="968" customFormat="1" ht="40.5">
      <c r="A196" s="150"/>
      <c r="B196" s="970"/>
      <c r="C196" s="964" t="s">
        <v>1049</v>
      </c>
      <c r="D196" s="971"/>
      <c r="E196" s="971"/>
      <c r="F196" s="972"/>
      <c r="G196" s="973"/>
      <c r="H196" s="589">
        <f t="shared" si="8"/>
        <v>0</v>
      </c>
      <c r="I196" s="973"/>
      <c r="J196" s="589">
        <f t="shared" si="9"/>
        <v>0</v>
      </c>
      <c r="K196" s="973"/>
      <c r="L196" s="589">
        <f t="shared" si="10"/>
        <v>0</v>
      </c>
      <c r="M196" s="729">
        <f t="shared" si="11"/>
        <v>0</v>
      </c>
    </row>
    <row r="197" spans="1:13" s="968" customFormat="1" ht="67.5">
      <c r="A197" s="844">
        <v>1</v>
      </c>
      <c r="B197" s="629" t="s">
        <v>1050</v>
      </c>
      <c r="C197" s="623" t="s">
        <v>1051</v>
      </c>
      <c r="D197" s="132" t="s">
        <v>651</v>
      </c>
      <c r="E197" s="132"/>
      <c r="F197" s="946">
        <v>61</v>
      </c>
      <c r="G197" s="729"/>
      <c r="H197" s="729">
        <f t="shared" si="8"/>
        <v>0</v>
      </c>
      <c r="I197" s="729"/>
      <c r="J197" s="729">
        <f t="shared" si="9"/>
        <v>0</v>
      </c>
      <c r="K197" s="729"/>
      <c r="L197" s="729">
        <f t="shared" si="10"/>
        <v>0</v>
      </c>
      <c r="M197" s="729">
        <f t="shared" si="11"/>
        <v>0</v>
      </c>
    </row>
    <row r="198" spans="1:13" s="968" customFormat="1" ht="15.75">
      <c r="A198" s="844"/>
      <c r="B198" s="634"/>
      <c r="C198" s="634" t="s">
        <v>738</v>
      </c>
      <c r="D198" s="696" t="s">
        <v>15</v>
      </c>
      <c r="E198" s="634">
        <v>0.082</v>
      </c>
      <c r="F198" s="947">
        <f>F197*E198</f>
        <v>5.002</v>
      </c>
      <c r="G198" s="729"/>
      <c r="H198" s="729">
        <f t="shared" si="8"/>
        <v>0</v>
      </c>
      <c r="I198" s="729"/>
      <c r="J198" s="729">
        <f t="shared" si="9"/>
        <v>0</v>
      </c>
      <c r="K198" s="729"/>
      <c r="L198" s="729">
        <f t="shared" si="10"/>
        <v>0</v>
      </c>
      <c r="M198" s="729">
        <f t="shared" si="11"/>
        <v>0</v>
      </c>
    </row>
    <row r="199" spans="1:13" s="968" customFormat="1" ht="15.75">
      <c r="A199" s="844"/>
      <c r="B199" s="634"/>
      <c r="C199" s="634" t="s">
        <v>897</v>
      </c>
      <c r="D199" s="634" t="s">
        <v>45</v>
      </c>
      <c r="E199" s="634">
        <v>0.005</v>
      </c>
      <c r="F199" s="947">
        <f>F197*E199</f>
        <v>0.305</v>
      </c>
      <c r="G199" s="729"/>
      <c r="H199" s="729">
        <f t="shared" si="8"/>
        <v>0</v>
      </c>
      <c r="I199" s="729"/>
      <c r="J199" s="729">
        <f t="shared" si="9"/>
        <v>0</v>
      </c>
      <c r="K199" s="729"/>
      <c r="L199" s="729">
        <f t="shared" si="10"/>
        <v>0</v>
      </c>
      <c r="M199" s="729">
        <f t="shared" si="11"/>
        <v>0</v>
      </c>
    </row>
    <row r="200" spans="1:13" s="968" customFormat="1" ht="67.5">
      <c r="A200" s="844">
        <v>2</v>
      </c>
      <c r="B200" s="629" t="s">
        <v>1052</v>
      </c>
      <c r="C200" s="623" t="s">
        <v>1053</v>
      </c>
      <c r="D200" s="132" t="s">
        <v>651</v>
      </c>
      <c r="E200" s="132"/>
      <c r="F200" s="946">
        <v>61</v>
      </c>
      <c r="G200" s="729"/>
      <c r="H200" s="729">
        <f t="shared" si="8"/>
        <v>0</v>
      </c>
      <c r="I200" s="729"/>
      <c r="J200" s="729">
        <f t="shared" si="9"/>
        <v>0</v>
      </c>
      <c r="K200" s="729"/>
      <c r="L200" s="729">
        <f t="shared" si="10"/>
        <v>0</v>
      </c>
      <c r="M200" s="729">
        <f t="shared" si="11"/>
        <v>0</v>
      </c>
    </row>
    <row r="201" spans="1:13" s="968" customFormat="1" ht="15.75">
      <c r="A201" s="844"/>
      <c r="B201" s="634"/>
      <c r="C201" s="634" t="s">
        <v>738</v>
      </c>
      <c r="D201" s="696" t="s">
        <v>15</v>
      </c>
      <c r="E201" s="634">
        <v>0.516</v>
      </c>
      <c r="F201" s="947">
        <f>F200*E201</f>
        <v>31.476</v>
      </c>
      <c r="G201" s="729"/>
      <c r="H201" s="729">
        <f t="shared" si="8"/>
        <v>0</v>
      </c>
      <c r="I201" s="729"/>
      <c r="J201" s="729">
        <f t="shared" si="9"/>
        <v>0</v>
      </c>
      <c r="K201" s="729"/>
      <c r="L201" s="729">
        <f t="shared" si="10"/>
        <v>0</v>
      </c>
      <c r="M201" s="729">
        <f t="shared" si="11"/>
        <v>0</v>
      </c>
    </row>
    <row r="202" spans="1:13" s="968" customFormat="1" ht="15.75">
      <c r="A202" s="844"/>
      <c r="B202" s="634"/>
      <c r="C202" s="634" t="s">
        <v>897</v>
      </c>
      <c r="D202" s="634" t="s">
        <v>45</v>
      </c>
      <c r="E202" s="634">
        <v>0.104</v>
      </c>
      <c r="F202" s="947">
        <f>F200*E202</f>
        <v>6.343999999999999</v>
      </c>
      <c r="G202" s="729"/>
      <c r="H202" s="729">
        <f t="shared" si="8"/>
        <v>0</v>
      </c>
      <c r="I202" s="729"/>
      <c r="J202" s="729">
        <f t="shared" si="9"/>
        <v>0</v>
      </c>
      <c r="K202" s="729"/>
      <c r="L202" s="729">
        <f t="shared" si="10"/>
        <v>0</v>
      </c>
      <c r="M202" s="729">
        <f t="shared" si="11"/>
        <v>0</v>
      </c>
    </row>
    <row r="203" spans="1:13" s="968" customFormat="1" ht="67.5">
      <c r="A203" s="844">
        <v>3</v>
      </c>
      <c r="B203" s="629" t="s">
        <v>935</v>
      </c>
      <c r="C203" s="623" t="s">
        <v>936</v>
      </c>
      <c r="D203" s="132" t="s">
        <v>651</v>
      </c>
      <c r="E203" s="132"/>
      <c r="F203" s="946">
        <v>2</v>
      </c>
      <c r="G203" s="729"/>
      <c r="H203" s="729">
        <f aca="true" t="shared" si="12" ref="H203:H266">F203*G203</f>
        <v>0</v>
      </c>
      <c r="I203" s="729"/>
      <c r="J203" s="729">
        <f aca="true" t="shared" si="13" ref="J203:J266">F203*I203</f>
        <v>0</v>
      </c>
      <c r="K203" s="729"/>
      <c r="L203" s="729">
        <f aca="true" t="shared" si="14" ref="L203:L266">F203*K203</f>
        <v>0</v>
      </c>
      <c r="M203" s="729">
        <f aca="true" t="shared" si="15" ref="M203:M266">H203+J203+L203</f>
        <v>0</v>
      </c>
    </row>
    <row r="204" spans="1:13" s="968" customFormat="1" ht="15.75">
      <c r="A204" s="844"/>
      <c r="B204" s="634"/>
      <c r="C204" s="634" t="s">
        <v>738</v>
      </c>
      <c r="D204" s="696" t="s">
        <v>15</v>
      </c>
      <c r="E204" s="634">
        <v>0.887</v>
      </c>
      <c r="F204" s="947">
        <f>F203*E204</f>
        <v>1.774</v>
      </c>
      <c r="G204" s="729"/>
      <c r="H204" s="729">
        <f t="shared" si="12"/>
        <v>0</v>
      </c>
      <c r="I204" s="729"/>
      <c r="J204" s="729">
        <f t="shared" si="13"/>
        <v>0</v>
      </c>
      <c r="K204" s="729"/>
      <c r="L204" s="729">
        <f t="shared" si="14"/>
        <v>0</v>
      </c>
      <c r="M204" s="729">
        <f t="shared" si="15"/>
        <v>0</v>
      </c>
    </row>
    <row r="205" spans="1:13" s="968" customFormat="1" ht="15.75">
      <c r="A205" s="844"/>
      <c r="B205" s="634"/>
      <c r="C205" s="634" t="s">
        <v>897</v>
      </c>
      <c r="D205" s="634" t="s">
        <v>45</v>
      </c>
      <c r="E205" s="634">
        <v>0.0984</v>
      </c>
      <c r="F205" s="947">
        <f>F203*E205</f>
        <v>0.1968</v>
      </c>
      <c r="G205" s="729"/>
      <c r="H205" s="729">
        <f t="shared" si="12"/>
        <v>0</v>
      </c>
      <c r="I205" s="729"/>
      <c r="J205" s="729">
        <f t="shared" si="13"/>
        <v>0</v>
      </c>
      <c r="K205" s="729"/>
      <c r="L205" s="729">
        <f t="shared" si="14"/>
        <v>0</v>
      </c>
      <c r="M205" s="729">
        <f t="shared" si="15"/>
        <v>0</v>
      </c>
    </row>
    <row r="206" spans="1:13" s="968" customFormat="1" ht="67.5">
      <c r="A206" s="844">
        <v>4</v>
      </c>
      <c r="B206" s="629" t="s">
        <v>937</v>
      </c>
      <c r="C206" s="623" t="s">
        <v>1000</v>
      </c>
      <c r="D206" s="132" t="s">
        <v>651</v>
      </c>
      <c r="E206" s="132"/>
      <c r="F206" s="946">
        <v>6.67</v>
      </c>
      <c r="G206" s="729"/>
      <c r="H206" s="729">
        <f t="shared" si="12"/>
        <v>0</v>
      </c>
      <c r="I206" s="729"/>
      <c r="J206" s="729">
        <f t="shared" si="13"/>
        <v>0</v>
      </c>
      <c r="K206" s="729"/>
      <c r="L206" s="729">
        <f t="shared" si="14"/>
        <v>0</v>
      </c>
      <c r="M206" s="729">
        <f t="shared" si="15"/>
        <v>0</v>
      </c>
    </row>
    <row r="207" spans="1:13" s="968" customFormat="1" ht="15.75">
      <c r="A207" s="844"/>
      <c r="B207" s="634"/>
      <c r="C207" s="634" t="s">
        <v>738</v>
      </c>
      <c r="D207" s="696" t="s">
        <v>15</v>
      </c>
      <c r="E207" s="634">
        <v>1.7</v>
      </c>
      <c r="F207" s="947">
        <f>F206*E207</f>
        <v>11.339</v>
      </c>
      <c r="G207" s="729"/>
      <c r="H207" s="729">
        <f t="shared" si="12"/>
        <v>0</v>
      </c>
      <c r="I207" s="729"/>
      <c r="J207" s="729">
        <f t="shared" si="13"/>
        <v>0</v>
      </c>
      <c r="K207" s="729"/>
      <c r="L207" s="729">
        <f t="shared" si="14"/>
        <v>0</v>
      </c>
      <c r="M207" s="729">
        <f t="shared" si="15"/>
        <v>0</v>
      </c>
    </row>
    <row r="208" spans="1:13" s="968" customFormat="1" ht="15.75">
      <c r="A208" s="844"/>
      <c r="B208" s="634"/>
      <c r="C208" s="634" t="s">
        <v>897</v>
      </c>
      <c r="D208" s="634" t="s">
        <v>45</v>
      </c>
      <c r="E208" s="634">
        <v>0.0984</v>
      </c>
      <c r="F208" s="947">
        <f>F206*E208</f>
        <v>0.656328</v>
      </c>
      <c r="G208" s="729"/>
      <c r="H208" s="729">
        <f t="shared" si="12"/>
        <v>0</v>
      </c>
      <c r="I208" s="729"/>
      <c r="J208" s="729">
        <f t="shared" si="13"/>
        <v>0</v>
      </c>
      <c r="K208" s="729"/>
      <c r="L208" s="729">
        <f t="shared" si="14"/>
        <v>0</v>
      </c>
      <c r="M208" s="729">
        <f t="shared" si="15"/>
        <v>0</v>
      </c>
    </row>
    <row r="209" spans="1:13" s="968" customFormat="1" ht="54">
      <c r="A209" s="844">
        <v>5</v>
      </c>
      <c r="B209" s="629" t="s">
        <v>1004</v>
      </c>
      <c r="C209" s="623" t="s">
        <v>1054</v>
      </c>
      <c r="D209" s="132" t="s">
        <v>651</v>
      </c>
      <c r="E209" s="132"/>
      <c r="F209" s="946">
        <v>14</v>
      </c>
      <c r="G209" s="729"/>
      <c r="H209" s="729">
        <f t="shared" si="12"/>
        <v>0</v>
      </c>
      <c r="I209" s="729"/>
      <c r="J209" s="729">
        <f t="shared" si="13"/>
        <v>0</v>
      </c>
      <c r="K209" s="729"/>
      <c r="L209" s="729">
        <f t="shared" si="14"/>
        <v>0</v>
      </c>
      <c r="M209" s="729">
        <f t="shared" si="15"/>
        <v>0</v>
      </c>
    </row>
    <row r="210" spans="1:13" s="968" customFormat="1" ht="15.75">
      <c r="A210" s="844"/>
      <c r="B210" s="634"/>
      <c r="C210" s="634" t="s">
        <v>738</v>
      </c>
      <c r="D210" s="696" t="s">
        <v>15</v>
      </c>
      <c r="E210" s="634">
        <v>0.376</v>
      </c>
      <c r="F210" s="947">
        <f>F209*E210</f>
        <v>5.264</v>
      </c>
      <c r="G210" s="729"/>
      <c r="H210" s="729">
        <f t="shared" si="12"/>
        <v>0</v>
      </c>
      <c r="I210" s="729"/>
      <c r="J210" s="729">
        <f t="shared" si="13"/>
        <v>0</v>
      </c>
      <c r="K210" s="729"/>
      <c r="L210" s="729">
        <f t="shared" si="14"/>
        <v>0</v>
      </c>
      <c r="M210" s="729">
        <f t="shared" si="15"/>
        <v>0</v>
      </c>
    </row>
    <row r="211" spans="1:13" s="968" customFormat="1" ht="15.75">
      <c r="A211" s="844"/>
      <c r="B211" s="634"/>
      <c r="C211" s="634" t="s">
        <v>897</v>
      </c>
      <c r="D211" s="634" t="s">
        <v>45</v>
      </c>
      <c r="E211" s="634">
        <v>0.0515</v>
      </c>
      <c r="F211" s="947">
        <f>F209*E211</f>
        <v>0.721</v>
      </c>
      <c r="G211" s="729"/>
      <c r="H211" s="729">
        <f t="shared" si="12"/>
        <v>0</v>
      </c>
      <c r="I211" s="729"/>
      <c r="J211" s="729">
        <f t="shared" si="13"/>
        <v>0</v>
      </c>
      <c r="K211" s="729"/>
      <c r="L211" s="729">
        <f t="shared" si="14"/>
        <v>0</v>
      </c>
      <c r="M211" s="729">
        <f t="shared" si="15"/>
        <v>0</v>
      </c>
    </row>
    <row r="212" spans="1:13" s="968" customFormat="1" ht="67.5">
      <c r="A212" s="844">
        <v>6</v>
      </c>
      <c r="B212" s="629" t="s">
        <v>935</v>
      </c>
      <c r="C212" s="623" t="s">
        <v>1055</v>
      </c>
      <c r="D212" s="132" t="s">
        <v>651</v>
      </c>
      <c r="E212" s="132"/>
      <c r="F212" s="946">
        <v>12</v>
      </c>
      <c r="G212" s="729"/>
      <c r="H212" s="729">
        <f t="shared" si="12"/>
        <v>0</v>
      </c>
      <c r="I212" s="729"/>
      <c r="J212" s="729">
        <f t="shared" si="13"/>
        <v>0</v>
      </c>
      <c r="K212" s="729"/>
      <c r="L212" s="729">
        <f t="shared" si="14"/>
        <v>0</v>
      </c>
      <c r="M212" s="729">
        <f t="shared" si="15"/>
        <v>0</v>
      </c>
    </row>
    <row r="213" spans="1:13" s="968" customFormat="1" ht="15.75">
      <c r="A213" s="844"/>
      <c r="B213" s="634"/>
      <c r="C213" s="634" t="s">
        <v>738</v>
      </c>
      <c r="D213" s="696" t="s">
        <v>15</v>
      </c>
      <c r="E213" s="634">
        <v>0.082</v>
      </c>
      <c r="F213" s="947">
        <f>F212*E213</f>
        <v>0.984</v>
      </c>
      <c r="G213" s="729"/>
      <c r="H213" s="729">
        <f t="shared" si="12"/>
        <v>0</v>
      </c>
      <c r="I213" s="729"/>
      <c r="J213" s="729">
        <f t="shared" si="13"/>
        <v>0</v>
      </c>
      <c r="K213" s="729"/>
      <c r="L213" s="729">
        <f t="shared" si="14"/>
        <v>0</v>
      </c>
      <c r="M213" s="729">
        <f t="shared" si="15"/>
        <v>0</v>
      </c>
    </row>
    <row r="214" spans="1:13" s="968" customFormat="1" ht="15.75">
      <c r="A214" s="844"/>
      <c r="B214" s="634"/>
      <c r="C214" s="634" t="s">
        <v>897</v>
      </c>
      <c r="D214" s="634" t="s">
        <v>45</v>
      </c>
      <c r="E214" s="634">
        <v>0.005</v>
      </c>
      <c r="F214" s="947">
        <f>F212*E214</f>
        <v>0.06</v>
      </c>
      <c r="G214" s="729"/>
      <c r="H214" s="729">
        <f t="shared" si="12"/>
        <v>0</v>
      </c>
      <c r="I214" s="729"/>
      <c r="J214" s="729">
        <f t="shared" si="13"/>
        <v>0</v>
      </c>
      <c r="K214" s="729"/>
      <c r="L214" s="729">
        <f t="shared" si="14"/>
        <v>0</v>
      </c>
      <c r="M214" s="729">
        <f t="shared" si="15"/>
        <v>0</v>
      </c>
    </row>
    <row r="215" spans="1:13" s="968" customFormat="1" ht="27">
      <c r="A215" s="833">
        <v>7</v>
      </c>
      <c r="B215" s="837" t="s">
        <v>573</v>
      </c>
      <c r="C215" s="969" t="s">
        <v>949</v>
      </c>
      <c r="D215" s="696" t="s">
        <v>950</v>
      </c>
      <c r="E215" s="696"/>
      <c r="F215" s="946">
        <v>1.5</v>
      </c>
      <c r="G215" s="729"/>
      <c r="H215" s="729">
        <f t="shared" si="12"/>
        <v>0</v>
      </c>
      <c r="I215" s="729"/>
      <c r="J215" s="729">
        <f t="shared" si="13"/>
        <v>0</v>
      </c>
      <c r="K215" s="729"/>
      <c r="L215" s="729">
        <f t="shared" si="14"/>
        <v>0</v>
      </c>
      <c r="M215" s="729">
        <f t="shared" si="15"/>
        <v>0</v>
      </c>
    </row>
    <row r="216" spans="1:13" s="968" customFormat="1" ht="27">
      <c r="A216" s="942">
        <v>8</v>
      </c>
      <c r="B216" s="629" t="s">
        <v>951</v>
      </c>
      <c r="C216" s="969" t="s">
        <v>952</v>
      </c>
      <c r="D216" s="696" t="s">
        <v>950</v>
      </c>
      <c r="E216" s="696"/>
      <c r="F216" s="946">
        <v>1.5</v>
      </c>
      <c r="G216" s="729"/>
      <c r="H216" s="729">
        <f t="shared" si="12"/>
        <v>0</v>
      </c>
      <c r="I216" s="729"/>
      <c r="J216" s="729">
        <f t="shared" si="13"/>
        <v>0</v>
      </c>
      <c r="K216" s="729"/>
      <c r="L216" s="729">
        <f t="shared" si="14"/>
        <v>0</v>
      </c>
      <c r="M216" s="729">
        <f t="shared" si="15"/>
        <v>0</v>
      </c>
    </row>
    <row r="217" spans="1:13" s="968" customFormat="1" ht="54">
      <c r="A217" s="844">
        <v>9</v>
      </c>
      <c r="B217" s="629" t="s">
        <v>1056</v>
      </c>
      <c r="C217" s="623" t="s">
        <v>1057</v>
      </c>
      <c r="D217" s="132" t="s">
        <v>651</v>
      </c>
      <c r="E217" s="132"/>
      <c r="F217" s="946">
        <v>61</v>
      </c>
      <c r="G217" s="729"/>
      <c r="H217" s="729">
        <f t="shared" si="12"/>
        <v>0</v>
      </c>
      <c r="I217" s="729"/>
      <c r="J217" s="729">
        <f t="shared" si="13"/>
        <v>0</v>
      </c>
      <c r="K217" s="729"/>
      <c r="L217" s="729">
        <f t="shared" si="14"/>
        <v>0</v>
      </c>
      <c r="M217" s="729">
        <f t="shared" si="15"/>
        <v>0</v>
      </c>
    </row>
    <row r="218" spans="1:13" s="968" customFormat="1" ht="15.75">
      <c r="A218" s="844"/>
      <c r="B218" s="634"/>
      <c r="C218" s="634" t="s">
        <v>738</v>
      </c>
      <c r="D218" s="696" t="s">
        <v>15</v>
      </c>
      <c r="E218" s="634">
        <v>0.227</v>
      </c>
      <c r="F218" s="947">
        <f>F217*E218</f>
        <v>13.847000000000001</v>
      </c>
      <c r="G218" s="729"/>
      <c r="H218" s="729">
        <f t="shared" si="12"/>
        <v>0</v>
      </c>
      <c r="I218" s="729"/>
      <c r="J218" s="729">
        <f t="shared" si="13"/>
        <v>0</v>
      </c>
      <c r="K218" s="729"/>
      <c r="L218" s="729">
        <f t="shared" si="14"/>
        <v>0</v>
      </c>
      <c r="M218" s="729">
        <f t="shared" si="15"/>
        <v>0</v>
      </c>
    </row>
    <row r="219" spans="1:13" s="968" customFormat="1" ht="15.75">
      <c r="A219" s="844"/>
      <c r="B219" s="634"/>
      <c r="C219" s="634" t="s">
        <v>897</v>
      </c>
      <c r="D219" s="634" t="s">
        <v>45</v>
      </c>
      <c r="E219" s="634">
        <v>0.0276</v>
      </c>
      <c r="F219" s="947">
        <f>F217*E219</f>
        <v>1.6836</v>
      </c>
      <c r="G219" s="729"/>
      <c r="H219" s="729">
        <f t="shared" si="12"/>
        <v>0</v>
      </c>
      <c r="I219" s="729"/>
      <c r="J219" s="729">
        <f t="shared" si="13"/>
        <v>0</v>
      </c>
      <c r="K219" s="729"/>
      <c r="L219" s="729">
        <f t="shared" si="14"/>
        <v>0</v>
      </c>
      <c r="M219" s="729">
        <f t="shared" si="15"/>
        <v>0</v>
      </c>
    </row>
    <row r="220" spans="1:13" s="968" customFormat="1" ht="15.75">
      <c r="A220" s="844"/>
      <c r="B220" s="629"/>
      <c r="C220" s="623" t="s">
        <v>1058</v>
      </c>
      <c r="D220" s="132" t="s">
        <v>230</v>
      </c>
      <c r="E220" s="132">
        <v>0.03</v>
      </c>
      <c r="F220" s="946">
        <f>F217*E220</f>
        <v>1.8299999999999998</v>
      </c>
      <c r="G220" s="729"/>
      <c r="H220" s="729">
        <f t="shared" si="12"/>
        <v>0</v>
      </c>
      <c r="I220" s="729"/>
      <c r="J220" s="729">
        <f t="shared" si="13"/>
        <v>0</v>
      </c>
      <c r="K220" s="729"/>
      <c r="L220" s="729">
        <f t="shared" si="14"/>
        <v>0</v>
      </c>
      <c r="M220" s="729">
        <f t="shared" si="15"/>
        <v>0</v>
      </c>
    </row>
    <row r="221" spans="1:13" s="968" customFormat="1" ht="15.75">
      <c r="A221" s="844"/>
      <c r="B221" s="629"/>
      <c r="C221" s="623" t="s">
        <v>67</v>
      </c>
      <c r="D221" s="132" t="s">
        <v>49</v>
      </c>
      <c r="E221" s="132">
        <v>0.03</v>
      </c>
      <c r="F221" s="946">
        <f>F217*E221</f>
        <v>1.8299999999999998</v>
      </c>
      <c r="G221" s="729"/>
      <c r="H221" s="729">
        <f t="shared" si="12"/>
        <v>0</v>
      </c>
      <c r="I221" s="729"/>
      <c r="J221" s="729">
        <f t="shared" si="13"/>
        <v>0</v>
      </c>
      <c r="K221" s="729"/>
      <c r="L221" s="729">
        <f t="shared" si="14"/>
        <v>0</v>
      </c>
      <c r="M221" s="729">
        <f t="shared" si="15"/>
        <v>0</v>
      </c>
    </row>
    <row r="222" spans="1:13" s="968" customFormat="1" ht="15.75">
      <c r="A222" s="844"/>
      <c r="B222" s="629"/>
      <c r="C222" s="623" t="s">
        <v>965</v>
      </c>
      <c r="D222" s="132" t="s">
        <v>45</v>
      </c>
      <c r="E222" s="132">
        <v>0.0444</v>
      </c>
      <c r="F222" s="946">
        <f>F217*E222</f>
        <v>2.7084</v>
      </c>
      <c r="G222" s="729"/>
      <c r="H222" s="729">
        <f t="shared" si="12"/>
        <v>0</v>
      </c>
      <c r="I222" s="729"/>
      <c r="J222" s="729">
        <f t="shared" si="13"/>
        <v>0</v>
      </c>
      <c r="K222" s="729"/>
      <c r="L222" s="729">
        <f t="shared" si="14"/>
        <v>0</v>
      </c>
      <c r="M222" s="729">
        <f t="shared" si="15"/>
        <v>0</v>
      </c>
    </row>
    <row r="223" spans="1:13" s="968" customFormat="1" ht="54">
      <c r="A223" s="844">
        <v>10</v>
      </c>
      <c r="B223" s="629" t="s">
        <v>1056</v>
      </c>
      <c r="C223" s="623" t="s">
        <v>1059</v>
      </c>
      <c r="D223" s="132" t="s">
        <v>651</v>
      </c>
      <c r="E223" s="132"/>
      <c r="F223" s="946">
        <v>6.9</v>
      </c>
      <c r="G223" s="729"/>
      <c r="H223" s="729">
        <f t="shared" si="12"/>
        <v>0</v>
      </c>
      <c r="I223" s="729"/>
      <c r="J223" s="729">
        <f t="shared" si="13"/>
        <v>0</v>
      </c>
      <c r="K223" s="729"/>
      <c r="L223" s="729">
        <f t="shared" si="14"/>
        <v>0</v>
      </c>
      <c r="M223" s="729">
        <f t="shared" si="15"/>
        <v>0</v>
      </c>
    </row>
    <row r="224" spans="1:13" s="968" customFormat="1" ht="15.75">
      <c r="A224" s="844"/>
      <c r="B224" s="634"/>
      <c r="C224" s="634" t="s">
        <v>738</v>
      </c>
      <c r="D224" s="696" t="s">
        <v>15</v>
      </c>
      <c r="E224" s="634">
        <v>0.227</v>
      </c>
      <c r="F224" s="947">
        <f>F223*E224</f>
        <v>1.5663</v>
      </c>
      <c r="G224" s="729"/>
      <c r="H224" s="729">
        <f t="shared" si="12"/>
        <v>0</v>
      </c>
      <c r="I224" s="729"/>
      <c r="J224" s="729">
        <f t="shared" si="13"/>
        <v>0</v>
      </c>
      <c r="K224" s="729"/>
      <c r="L224" s="729">
        <f t="shared" si="14"/>
        <v>0</v>
      </c>
      <c r="M224" s="729">
        <f t="shared" si="15"/>
        <v>0</v>
      </c>
    </row>
    <row r="225" spans="1:13" s="968" customFormat="1" ht="15.75">
      <c r="A225" s="844"/>
      <c r="B225" s="634"/>
      <c r="C225" s="634" t="s">
        <v>897</v>
      </c>
      <c r="D225" s="634" t="s">
        <v>45</v>
      </c>
      <c r="E225" s="634">
        <v>0.0276</v>
      </c>
      <c r="F225" s="947">
        <f>F223*E225</f>
        <v>0.19044</v>
      </c>
      <c r="G225" s="729"/>
      <c r="H225" s="729">
        <f t="shared" si="12"/>
        <v>0</v>
      </c>
      <c r="I225" s="729"/>
      <c r="J225" s="729">
        <f t="shared" si="13"/>
        <v>0</v>
      </c>
      <c r="K225" s="729"/>
      <c r="L225" s="729">
        <f t="shared" si="14"/>
        <v>0</v>
      </c>
      <c r="M225" s="729">
        <f t="shared" si="15"/>
        <v>0</v>
      </c>
    </row>
    <row r="226" spans="1:13" s="968" customFormat="1" ht="15.75">
      <c r="A226" s="844"/>
      <c r="B226" s="629"/>
      <c r="C226" s="623" t="s">
        <v>1058</v>
      </c>
      <c r="D226" s="132" t="s">
        <v>230</v>
      </c>
      <c r="E226" s="132">
        <v>0.03</v>
      </c>
      <c r="F226" s="946">
        <f>F223*E226</f>
        <v>0.207</v>
      </c>
      <c r="G226" s="729"/>
      <c r="H226" s="729">
        <f t="shared" si="12"/>
        <v>0</v>
      </c>
      <c r="I226" s="729"/>
      <c r="J226" s="729">
        <f t="shared" si="13"/>
        <v>0</v>
      </c>
      <c r="K226" s="729"/>
      <c r="L226" s="729">
        <f t="shared" si="14"/>
        <v>0</v>
      </c>
      <c r="M226" s="729">
        <f t="shared" si="15"/>
        <v>0</v>
      </c>
    </row>
    <row r="227" spans="1:13" s="968" customFormat="1" ht="15.75">
      <c r="A227" s="844"/>
      <c r="B227" s="629"/>
      <c r="C227" s="623" t="s">
        <v>67</v>
      </c>
      <c r="D227" s="132" t="s">
        <v>49</v>
      </c>
      <c r="E227" s="132">
        <v>0.03</v>
      </c>
      <c r="F227" s="946">
        <f>F223*E227</f>
        <v>0.207</v>
      </c>
      <c r="G227" s="729"/>
      <c r="H227" s="729">
        <f t="shared" si="12"/>
        <v>0</v>
      </c>
      <c r="I227" s="729"/>
      <c r="J227" s="729">
        <f t="shared" si="13"/>
        <v>0</v>
      </c>
      <c r="K227" s="729"/>
      <c r="L227" s="729">
        <f t="shared" si="14"/>
        <v>0</v>
      </c>
      <c r="M227" s="729">
        <f t="shared" si="15"/>
        <v>0</v>
      </c>
    </row>
    <row r="228" spans="1:13" s="968" customFormat="1" ht="15.75">
      <c r="A228" s="844"/>
      <c r="B228" s="629"/>
      <c r="C228" s="623" t="s">
        <v>965</v>
      </c>
      <c r="D228" s="132" t="s">
        <v>45</v>
      </c>
      <c r="E228" s="132">
        <v>0.0444</v>
      </c>
      <c r="F228" s="946">
        <f>F223*E228</f>
        <v>0.30636</v>
      </c>
      <c r="G228" s="729"/>
      <c r="H228" s="729">
        <f t="shared" si="12"/>
        <v>0</v>
      </c>
      <c r="I228" s="729"/>
      <c r="J228" s="729">
        <f t="shared" si="13"/>
        <v>0</v>
      </c>
      <c r="K228" s="729"/>
      <c r="L228" s="729">
        <f t="shared" si="14"/>
        <v>0</v>
      </c>
      <c r="M228" s="729">
        <f t="shared" si="15"/>
        <v>0</v>
      </c>
    </row>
    <row r="229" spans="1:13" s="968" customFormat="1" ht="54">
      <c r="A229" s="844">
        <v>11</v>
      </c>
      <c r="B229" s="629" t="s">
        <v>1060</v>
      </c>
      <c r="C229" s="623" t="s">
        <v>1061</v>
      </c>
      <c r="D229" s="132" t="s">
        <v>651</v>
      </c>
      <c r="E229" s="132"/>
      <c r="F229" s="946">
        <v>61</v>
      </c>
      <c r="G229" s="729"/>
      <c r="H229" s="729">
        <f t="shared" si="12"/>
        <v>0</v>
      </c>
      <c r="I229" s="729"/>
      <c r="J229" s="729">
        <f t="shared" si="13"/>
        <v>0</v>
      </c>
      <c r="K229" s="729"/>
      <c r="L229" s="729">
        <f t="shared" si="14"/>
        <v>0</v>
      </c>
      <c r="M229" s="729">
        <f t="shared" si="15"/>
        <v>0</v>
      </c>
    </row>
    <row r="230" spans="1:13" s="968" customFormat="1" ht="15.75">
      <c r="A230" s="844"/>
      <c r="B230" s="634"/>
      <c r="C230" s="634" t="s">
        <v>738</v>
      </c>
      <c r="D230" s="696" t="s">
        <v>15</v>
      </c>
      <c r="E230" s="634">
        <v>0.83</v>
      </c>
      <c r="F230" s="947">
        <f>F229*E230</f>
        <v>50.629999999999995</v>
      </c>
      <c r="G230" s="729"/>
      <c r="H230" s="729">
        <f t="shared" si="12"/>
        <v>0</v>
      </c>
      <c r="I230" s="729"/>
      <c r="J230" s="729">
        <f t="shared" si="13"/>
        <v>0</v>
      </c>
      <c r="K230" s="729"/>
      <c r="L230" s="729">
        <f t="shared" si="14"/>
        <v>0</v>
      </c>
      <c r="M230" s="729">
        <f t="shared" si="15"/>
        <v>0</v>
      </c>
    </row>
    <row r="231" spans="1:13" s="968" customFormat="1" ht="15.75">
      <c r="A231" s="844"/>
      <c r="B231" s="634"/>
      <c r="C231" s="634" t="s">
        <v>897</v>
      </c>
      <c r="D231" s="634" t="s">
        <v>45</v>
      </c>
      <c r="E231" s="634">
        <v>0.0041</v>
      </c>
      <c r="F231" s="947">
        <f>F229*E231</f>
        <v>0.25010000000000004</v>
      </c>
      <c r="G231" s="729"/>
      <c r="H231" s="729">
        <f t="shared" si="12"/>
        <v>0</v>
      </c>
      <c r="I231" s="729"/>
      <c r="J231" s="729">
        <f t="shared" si="13"/>
        <v>0</v>
      </c>
      <c r="K231" s="729"/>
      <c r="L231" s="729">
        <f t="shared" si="14"/>
        <v>0</v>
      </c>
      <c r="M231" s="729">
        <f t="shared" si="15"/>
        <v>0</v>
      </c>
    </row>
    <row r="232" spans="1:13" s="968" customFormat="1" ht="15.75">
      <c r="A232" s="844"/>
      <c r="B232" s="629"/>
      <c r="C232" s="623" t="s">
        <v>1062</v>
      </c>
      <c r="D232" s="132" t="s">
        <v>651</v>
      </c>
      <c r="E232" s="132">
        <v>1.2</v>
      </c>
      <c r="F232" s="946">
        <f>F229*E232</f>
        <v>73.2</v>
      </c>
      <c r="G232" s="729"/>
      <c r="H232" s="729">
        <f t="shared" si="12"/>
        <v>0</v>
      </c>
      <c r="I232" s="729"/>
      <c r="J232" s="729">
        <f t="shared" si="13"/>
        <v>0</v>
      </c>
      <c r="K232" s="729"/>
      <c r="L232" s="729">
        <f t="shared" si="14"/>
        <v>0</v>
      </c>
      <c r="M232" s="729">
        <f t="shared" si="15"/>
        <v>0</v>
      </c>
    </row>
    <row r="233" spans="1:13" s="968" customFormat="1" ht="15.75">
      <c r="A233" s="844"/>
      <c r="B233" s="629"/>
      <c r="C233" s="623" t="s">
        <v>1063</v>
      </c>
      <c r="D233" s="132" t="s">
        <v>614</v>
      </c>
      <c r="E233" s="132">
        <v>6</v>
      </c>
      <c r="F233" s="946">
        <f>F229*E233</f>
        <v>366</v>
      </c>
      <c r="G233" s="729"/>
      <c r="H233" s="729">
        <f t="shared" si="12"/>
        <v>0</v>
      </c>
      <c r="I233" s="729"/>
      <c r="J233" s="729">
        <f t="shared" si="13"/>
        <v>0</v>
      </c>
      <c r="K233" s="729"/>
      <c r="L233" s="729">
        <f t="shared" si="14"/>
        <v>0</v>
      </c>
      <c r="M233" s="729">
        <f t="shared" si="15"/>
        <v>0</v>
      </c>
    </row>
    <row r="234" spans="1:13" s="968" customFormat="1" ht="15.75">
      <c r="A234" s="844"/>
      <c r="B234" s="629"/>
      <c r="C234" s="623" t="s">
        <v>965</v>
      </c>
      <c r="D234" s="132" t="s">
        <v>45</v>
      </c>
      <c r="E234" s="132">
        <v>0.078</v>
      </c>
      <c r="F234" s="946">
        <f>F229*E234</f>
        <v>4.758</v>
      </c>
      <c r="G234" s="729"/>
      <c r="H234" s="729">
        <f t="shared" si="12"/>
        <v>0</v>
      </c>
      <c r="I234" s="729"/>
      <c r="J234" s="729">
        <f t="shared" si="13"/>
        <v>0</v>
      </c>
      <c r="K234" s="729"/>
      <c r="L234" s="729">
        <f t="shared" si="14"/>
        <v>0</v>
      </c>
      <c r="M234" s="729">
        <f t="shared" si="15"/>
        <v>0</v>
      </c>
    </row>
    <row r="235" spans="1:13" s="968" customFormat="1" ht="54">
      <c r="A235" s="844">
        <v>12</v>
      </c>
      <c r="B235" s="629" t="s">
        <v>1064</v>
      </c>
      <c r="C235" s="623" t="s">
        <v>1065</v>
      </c>
      <c r="D235" s="132" t="s">
        <v>651</v>
      </c>
      <c r="E235" s="132"/>
      <c r="F235" s="946">
        <v>29.5</v>
      </c>
      <c r="G235" s="729"/>
      <c r="H235" s="729">
        <f t="shared" si="12"/>
        <v>0</v>
      </c>
      <c r="I235" s="729"/>
      <c r="J235" s="729">
        <f t="shared" si="13"/>
        <v>0</v>
      </c>
      <c r="K235" s="729"/>
      <c r="L235" s="729">
        <f t="shared" si="14"/>
        <v>0</v>
      </c>
      <c r="M235" s="729">
        <f t="shared" si="15"/>
        <v>0</v>
      </c>
    </row>
    <row r="236" spans="1:13" s="968" customFormat="1" ht="15.75">
      <c r="A236" s="844"/>
      <c r="B236" s="634"/>
      <c r="C236" s="634" t="s">
        <v>738</v>
      </c>
      <c r="D236" s="696" t="s">
        <v>15</v>
      </c>
      <c r="E236" s="634">
        <v>1</v>
      </c>
      <c r="F236" s="947">
        <f>F235*E236</f>
        <v>29.5</v>
      </c>
      <c r="G236" s="729"/>
      <c r="H236" s="729">
        <f t="shared" si="12"/>
        <v>0</v>
      </c>
      <c r="I236" s="729"/>
      <c r="J236" s="729">
        <f t="shared" si="13"/>
        <v>0</v>
      </c>
      <c r="K236" s="729"/>
      <c r="L236" s="729">
        <f t="shared" si="14"/>
        <v>0</v>
      </c>
      <c r="M236" s="729">
        <f t="shared" si="15"/>
        <v>0</v>
      </c>
    </row>
    <row r="237" spans="1:13" s="968" customFormat="1" ht="15.75">
      <c r="A237" s="844"/>
      <c r="B237" s="634"/>
      <c r="C237" s="634" t="s">
        <v>897</v>
      </c>
      <c r="D237" s="634" t="s">
        <v>45</v>
      </c>
      <c r="E237" s="634">
        <v>0.0644</v>
      </c>
      <c r="F237" s="947">
        <f>F235*E237</f>
        <v>1.8998</v>
      </c>
      <c r="G237" s="729"/>
      <c r="H237" s="729">
        <f t="shared" si="12"/>
        <v>0</v>
      </c>
      <c r="I237" s="729"/>
      <c r="J237" s="729">
        <f t="shared" si="13"/>
        <v>0</v>
      </c>
      <c r="K237" s="729"/>
      <c r="L237" s="729">
        <f t="shared" si="14"/>
        <v>0</v>
      </c>
      <c r="M237" s="729">
        <f t="shared" si="15"/>
        <v>0</v>
      </c>
    </row>
    <row r="238" spans="1:13" s="968" customFormat="1" ht="15.75">
      <c r="A238" s="844"/>
      <c r="B238" s="629"/>
      <c r="C238" s="623" t="s">
        <v>1066</v>
      </c>
      <c r="D238" s="132" t="s">
        <v>614</v>
      </c>
      <c r="E238" s="132">
        <v>12.5</v>
      </c>
      <c r="F238" s="946">
        <f>F235*E238</f>
        <v>368.75</v>
      </c>
      <c r="G238" s="729"/>
      <c r="H238" s="729">
        <f t="shared" si="12"/>
        <v>0</v>
      </c>
      <c r="I238" s="729"/>
      <c r="J238" s="729">
        <f t="shared" si="13"/>
        <v>0</v>
      </c>
      <c r="K238" s="729"/>
      <c r="L238" s="729">
        <f t="shared" si="14"/>
        <v>0</v>
      </c>
      <c r="M238" s="729">
        <f t="shared" si="15"/>
        <v>0</v>
      </c>
    </row>
    <row r="239" spans="1:13" s="968" customFormat="1" ht="15.75">
      <c r="A239" s="844"/>
      <c r="B239" s="629"/>
      <c r="C239" s="623" t="s">
        <v>1067</v>
      </c>
      <c r="D239" s="132" t="s">
        <v>230</v>
      </c>
      <c r="E239" s="132">
        <v>0.005</v>
      </c>
      <c r="F239" s="946">
        <f>F235*E239</f>
        <v>0.1475</v>
      </c>
      <c r="G239" s="729"/>
      <c r="H239" s="729">
        <f t="shared" si="12"/>
        <v>0</v>
      </c>
      <c r="I239" s="729"/>
      <c r="J239" s="729">
        <f t="shared" si="13"/>
        <v>0</v>
      </c>
      <c r="K239" s="729"/>
      <c r="L239" s="729">
        <f t="shared" si="14"/>
        <v>0</v>
      </c>
      <c r="M239" s="729">
        <f t="shared" si="15"/>
        <v>0</v>
      </c>
    </row>
    <row r="240" spans="1:13" s="968" customFormat="1" ht="15.75">
      <c r="A240" s="844"/>
      <c r="B240" s="629"/>
      <c r="C240" s="623" t="s">
        <v>965</v>
      </c>
      <c r="D240" s="132" t="s">
        <v>45</v>
      </c>
      <c r="E240" s="132">
        <v>0.0012</v>
      </c>
      <c r="F240" s="946">
        <f>F235*E240</f>
        <v>0.035399999999999994</v>
      </c>
      <c r="G240" s="729"/>
      <c r="H240" s="729">
        <f t="shared" si="12"/>
        <v>0</v>
      </c>
      <c r="I240" s="729"/>
      <c r="J240" s="729">
        <f t="shared" si="13"/>
        <v>0</v>
      </c>
      <c r="K240" s="729"/>
      <c r="L240" s="729">
        <f t="shared" si="14"/>
        <v>0</v>
      </c>
      <c r="M240" s="729">
        <f t="shared" si="15"/>
        <v>0</v>
      </c>
    </row>
    <row r="241" spans="1:13" s="968" customFormat="1" ht="67.5">
      <c r="A241" s="844">
        <v>13</v>
      </c>
      <c r="B241" s="629" t="s">
        <v>1068</v>
      </c>
      <c r="C241" s="623" t="s">
        <v>1069</v>
      </c>
      <c r="D241" s="132" t="s">
        <v>651</v>
      </c>
      <c r="E241" s="132"/>
      <c r="F241" s="946">
        <v>21.3</v>
      </c>
      <c r="G241" s="729"/>
      <c r="H241" s="729">
        <f t="shared" si="12"/>
        <v>0</v>
      </c>
      <c r="I241" s="729"/>
      <c r="J241" s="729">
        <f t="shared" si="13"/>
        <v>0</v>
      </c>
      <c r="K241" s="729"/>
      <c r="L241" s="729">
        <f t="shared" si="14"/>
        <v>0</v>
      </c>
      <c r="M241" s="729">
        <f t="shared" si="15"/>
        <v>0</v>
      </c>
    </row>
    <row r="242" spans="1:13" s="968" customFormat="1" ht="27">
      <c r="A242" s="844"/>
      <c r="B242" s="629" t="s">
        <v>573</v>
      </c>
      <c r="C242" s="634" t="s">
        <v>738</v>
      </c>
      <c r="D242" s="696" t="s">
        <v>15</v>
      </c>
      <c r="E242" s="634">
        <v>1</v>
      </c>
      <c r="F242" s="947">
        <f>F241*E242</f>
        <v>21.3</v>
      </c>
      <c r="G242" s="729"/>
      <c r="H242" s="729">
        <f t="shared" si="12"/>
        <v>0</v>
      </c>
      <c r="I242" s="729"/>
      <c r="J242" s="729">
        <f t="shared" si="13"/>
        <v>0</v>
      </c>
      <c r="K242" s="729"/>
      <c r="L242" s="729">
        <f t="shared" si="14"/>
        <v>0</v>
      </c>
      <c r="M242" s="729">
        <f t="shared" si="15"/>
        <v>0</v>
      </c>
    </row>
    <row r="243" spans="1:13" s="968" customFormat="1" ht="15.75">
      <c r="A243" s="844"/>
      <c r="B243" s="634"/>
      <c r="C243" s="634" t="s">
        <v>897</v>
      </c>
      <c r="D243" s="634" t="s">
        <v>45</v>
      </c>
      <c r="E243" s="634">
        <v>0.0144</v>
      </c>
      <c r="F243" s="947">
        <f>F241*E243</f>
        <v>0.30672</v>
      </c>
      <c r="G243" s="729"/>
      <c r="H243" s="729">
        <f t="shared" si="12"/>
        <v>0</v>
      </c>
      <c r="I243" s="729"/>
      <c r="J243" s="729">
        <f t="shared" si="13"/>
        <v>0</v>
      </c>
      <c r="K243" s="729"/>
      <c r="L243" s="729">
        <f t="shared" si="14"/>
        <v>0</v>
      </c>
      <c r="M243" s="729">
        <f t="shared" si="15"/>
        <v>0</v>
      </c>
    </row>
    <row r="244" spans="1:13" s="968" customFormat="1" ht="15.75">
      <c r="A244" s="844"/>
      <c r="B244" s="629"/>
      <c r="C244" s="623" t="s">
        <v>1067</v>
      </c>
      <c r="D244" s="132" t="s">
        <v>230</v>
      </c>
      <c r="E244" s="132">
        <v>0.03</v>
      </c>
      <c r="F244" s="946">
        <f>F241*E244</f>
        <v>0.639</v>
      </c>
      <c r="G244" s="729"/>
      <c r="H244" s="729">
        <f t="shared" si="12"/>
        <v>0</v>
      </c>
      <c r="I244" s="729"/>
      <c r="J244" s="729">
        <f t="shared" si="13"/>
        <v>0</v>
      </c>
      <c r="K244" s="729"/>
      <c r="L244" s="729">
        <f t="shared" si="14"/>
        <v>0</v>
      </c>
      <c r="M244" s="729">
        <f t="shared" si="15"/>
        <v>0</v>
      </c>
    </row>
    <row r="245" spans="1:13" s="968" customFormat="1" ht="15.75">
      <c r="A245" s="844"/>
      <c r="B245" s="629"/>
      <c r="C245" s="623" t="s">
        <v>965</v>
      </c>
      <c r="D245" s="132" t="s">
        <v>45</v>
      </c>
      <c r="E245" s="132">
        <v>0.0636</v>
      </c>
      <c r="F245" s="946">
        <f>F241*E245</f>
        <v>1.35468</v>
      </c>
      <c r="G245" s="729"/>
      <c r="H245" s="729">
        <f t="shared" si="12"/>
        <v>0</v>
      </c>
      <c r="I245" s="729"/>
      <c r="J245" s="729">
        <f t="shared" si="13"/>
        <v>0</v>
      </c>
      <c r="K245" s="729"/>
      <c r="L245" s="729">
        <f t="shared" si="14"/>
        <v>0</v>
      </c>
      <c r="M245" s="729">
        <f t="shared" si="15"/>
        <v>0</v>
      </c>
    </row>
    <row r="246" spans="1:13" s="968" customFormat="1" ht="54">
      <c r="A246" s="844">
        <v>14</v>
      </c>
      <c r="B246" s="629" t="s">
        <v>968</v>
      </c>
      <c r="C246" s="623" t="s">
        <v>969</v>
      </c>
      <c r="D246" s="132" t="s">
        <v>651</v>
      </c>
      <c r="E246" s="132"/>
      <c r="F246" s="946">
        <v>12</v>
      </c>
      <c r="G246" s="729"/>
      <c r="H246" s="729">
        <f t="shared" si="12"/>
        <v>0</v>
      </c>
      <c r="I246" s="729"/>
      <c r="J246" s="729">
        <f t="shared" si="13"/>
        <v>0</v>
      </c>
      <c r="K246" s="729"/>
      <c r="L246" s="729">
        <f t="shared" si="14"/>
        <v>0</v>
      </c>
      <c r="M246" s="729">
        <f t="shared" si="15"/>
        <v>0</v>
      </c>
    </row>
    <row r="247" spans="1:13" s="968" customFormat="1" ht="15.75">
      <c r="A247" s="844"/>
      <c r="B247" s="634"/>
      <c r="C247" s="634" t="s">
        <v>738</v>
      </c>
      <c r="D247" s="696" t="s">
        <v>15</v>
      </c>
      <c r="E247" s="634">
        <v>0.536</v>
      </c>
      <c r="F247" s="947">
        <f>F246*E247</f>
        <v>6.432</v>
      </c>
      <c r="G247" s="729"/>
      <c r="H247" s="729">
        <f t="shared" si="12"/>
        <v>0</v>
      </c>
      <c r="I247" s="729"/>
      <c r="J247" s="729">
        <f t="shared" si="13"/>
        <v>0</v>
      </c>
      <c r="K247" s="729"/>
      <c r="L247" s="729">
        <f t="shared" si="14"/>
        <v>0</v>
      </c>
      <c r="M247" s="729">
        <f t="shared" si="15"/>
        <v>0</v>
      </c>
    </row>
    <row r="248" spans="1:13" s="968" customFormat="1" ht="15.75">
      <c r="A248" s="844"/>
      <c r="B248" s="634"/>
      <c r="C248" s="634" t="s">
        <v>897</v>
      </c>
      <c r="D248" s="634" t="s">
        <v>45</v>
      </c>
      <c r="E248" s="634">
        <v>0.0365</v>
      </c>
      <c r="F248" s="947">
        <f>F246*E248</f>
        <v>0.43799999999999994</v>
      </c>
      <c r="G248" s="729"/>
      <c r="H248" s="729">
        <f t="shared" si="12"/>
        <v>0</v>
      </c>
      <c r="I248" s="729"/>
      <c r="J248" s="729">
        <f t="shared" si="13"/>
        <v>0</v>
      </c>
      <c r="K248" s="729"/>
      <c r="L248" s="729">
        <f t="shared" si="14"/>
        <v>0</v>
      </c>
      <c r="M248" s="729">
        <f t="shared" si="15"/>
        <v>0</v>
      </c>
    </row>
    <row r="249" spans="1:13" s="968" customFormat="1" ht="15.75">
      <c r="A249" s="844"/>
      <c r="B249" s="629"/>
      <c r="C249" s="623" t="s">
        <v>970</v>
      </c>
      <c r="D249" s="132" t="s">
        <v>651</v>
      </c>
      <c r="E249" s="132">
        <v>1.05</v>
      </c>
      <c r="F249" s="946">
        <f>F246*E249</f>
        <v>12.600000000000001</v>
      </c>
      <c r="G249" s="729"/>
      <c r="H249" s="729">
        <f t="shared" si="12"/>
        <v>0</v>
      </c>
      <c r="I249" s="729"/>
      <c r="J249" s="729">
        <f t="shared" si="13"/>
        <v>0</v>
      </c>
      <c r="K249" s="729"/>
      <c r="L249" s="729">
        <f t="shared" si="14"/>
        <v>0</v>
      </c>
      <c r="M249" s="729">
        <f t="shared" si="15"/>
        <v>0</v>
      </c>
    </row>
    <row r="250" spans="1:13" s="968" customFormat="1" ht="15.75">
      <c r="A250" s="844"/>
      <c r="B250" s="629"/>
      <c r="C250" s="623" t="s">
        <v>971</v>
      </c>
      <c r="D250" s="132" t="s">
        <v>972</v>
      </c>
      <c r="E250" s="132">
        <v>1.07</v>
      </c>
      <c r="F250" s="946">
        <f>F246*E250</f>
        <v>12.84</v>
      </c>
      <c r="G250" s="729"/>
      <c r="H250" s="729">
        <f t="shared" si="12"/>
        <v>0</v>
      </c>
      <c r="I250" s="729"/>
      <c r="J250" s="729">
        <f t="shared" si="13"/>
        <v>0</v>
      </c>
      <c r="K250" s="729"/>
      <c r="L250" s="729">
        <f t="shared" si="14"/>
        <v>0</v>
      </c>
      <c r="M250" s="729">
        <f t="shared" si="15"/>
        <v>0</v>
      </c>
    </row>
    <row r="251" spans="1:13" s="968" customFormat="1" ht="15.75">
      <c r="A251" s="844"/>
      <c r="B251" s="629"/>
      <c r="C251" s="623" t="s">
        <v>67</v>
      </c>
      <c r="D251" s="132" t="s">
        <v>49</v>
      </c>
      <c r="E251" s="132">
        <v>0.138</v>
      </c>
      <c r="F251" s="946">
        <f>F246*E251</f>
        <v>1.6560000000000001</v>
      </c>
      <c r="G251" s="729"/>
      <c r="H251" s="729">
        <f t="shared" si="12"/>
        <v>0</v>
      </c>
      <c r="I251" s="729"/>
      <c r="J251" s="729">
        <f t="shared" si="13"/>
        <v>0</v>
      </c>
      <c r="K251" s="729"/>
      <c r="L251" s="729">
        <f t="shared" si="14"/>
        <v>0</v>
      </c>
      <c r="M251" s="729">
        <f t="shared" si="15"/>
        <v>0</v>
      </c>
    </row>
    <row r="252" spans="1:13" s="968" customFormat="1" ht="15.75">
      <c r="A252" s="844"/>
      <c r="B252" s="629"/>
      <c r="C252" s="623" t="s">
        <v>965</v>
      </c>
      <c r="D252" s="132" t="s">
        <v>45</v>
      </c>
      <c r="E252" s="132">
        <v>0.107</v>
      </c>
      <c r="F252" s="946">
        <f>F246*E252</f>
        <v>1.284</v>
      </c>
      <c r="G252" s="729"/>
      <c r="H252" s="729">
        <f t="shared" si="12"/>
        <v>0</v>
      </c>
      <c r="I252" s="729"/>
      <c r="J252" s="729">
        <f t="shared" si="13"/>
        <v>0</v>
      </c>
      <c r="K252" s="729"/>
      <c r="L252" s="729">
        <f t="shared" si="14"/>
        <v>0</v>
      </c>
      <c r="M252" s="729">
        <f t="shared" si="15"/>
        <v>0</v>
      </c>
    </row>
    <row r="253" spans="1:13" s="968" customFormat="1" ht="54">
      <c r="A253" s="844">
        <v>15</v>
      </c>
      <c r="B253" s="629" t="s">
        <v>1070</v>
      </c>
      <c r="C253" s="623" t="s">
        <v>1071</v>
      </c>
      <c r="D253" s="132" t="s">
        <v>651</v>
      </c>
      <c r="E253" s="132"/>
      <c r="F253" s="946">
        <v>9.3</v>
      </c>
      <c r="G253" s="729"/>
      <c r="H253" s="729">
        <f t="shared" si="12"/>
        <v>0</v>
      </c>
      <c r="I253" s="729"/>
      <c r="J253" s="729">
        <f t="shared" si="13"/>
        <v>0</v>
      </c>
      <c r="K253" s="729"/>
      <c r="L253" s="729">
        <f t="shared" si="14"/>
        <v>0</v>
      </c>
      <c r="M253" s="729">
        <f t="shared" si="15"/>
        <v>0</v>
      </c>
    </row>
    <row r="254" spans="1:13" s="968" customFormat="1" ht="15.75">
      <c r="A254" s="844"/>
      <c r="B254" s="634"/>
      <c r="C254" s="634" t="s">
        <v>738</v>
      </c>
      <c r="D254" s="696" t="s">
        <v>15</v>
      </c>
      <c r="E254" s="634">
        <v>1.02</v>
      </c>
      <c r="F254" s="947">
        <f>F253*E254</f>
        <v>9.486</v>
      </c>
      <c r="G254" s="729"/>
      <c r="H254" s="729">
        <f t="shared" si="12"/>
        <v>0</v>
      </c>
      <c r="I254" s="729"/>
      <c r="J254" s="729">
        <f t="shared" si="13"/>
        <v>0</v>
      </c>
      <c r="K254" s="729"/>
      <c r="L254" s="729">
        <f t="shared" si="14"/>
        <v>0</v>
      </c>
      <c r="M254" s="729">
        <f t="shared" si="15"/>
        <v>0</v>
      </c>
    </row>
    <row r="255" spans="1:13" s="968" customFormat="1" ht="15.75">
      <c r="A255" s="844"/>
      <c r="B255" s="634"/>
      <c r="C255" s="634" t="s">
        <v>897</v>
      </c>
      <c r="D255" s="634" t="s">
        <v>45</v>
      </c>
      <c r="E255" s="634">
        <v>0.0369</v>
      </c>
      <c r="F255" s="947">
        <f>F253*E255</f>
        <v>0.34317000000000003</v>
      </c>
      <c r="G255" s="729"/>
      <c r="H255" s="729">
        <f t="shared" si="12"/>
        <v>0</v>
      </c>
      <c r="I255" s="729"/>
      <c r="J255" s="729">
        <f t="shared" si="13"/>
        <v>0</v>
      </c>
      <c r="K255" s="729"/>
      <c r="L255" s="729">
        <f t="shared" si="14"/>
        <v>0</v>
      </c>
      <c r="M255" s="729">
        <f t="shared" si="15"/>
        <v>0</v>
      </c>
    </row>
    <row r="256" spans="1:13" s="968" customFormat="1" ht="15.75">
      <c r="A256" s="844"/>
      <c r="B256" s="629"/>
      <c r="C256" s="623" t="s">
        <v>1072</v>
      </c>
      <c r="D256" s="132" t="s">
        <v>651</v>
      </c>
      <c r="E256" s="132">
        <v>1.01</v>
      </c>
      <c r="F256" s="946">
        <f>F253*E256</f>
        <v>9.393</v>
      </c>
      <c r="G256" s="729"/>
      <c r="H256" s="729">
        <f t="shared" si="12"/>
        <v>0</v>
      </c>
      <c r="I256" s="729"/>
      <c r="J256" s="729">
        <f t="shared" si="13"/>
        <v>0</v>
      </c>
      <c r="K256" s="729"/>
      <c r="L256" s="729">
        <f t="shared" si="14"/>
        <v>0</v>
      </c>
      <c r="M256" s="729">
        <f t="shared" si="15"/>
        <v>0</v>
      </c>
    </row>
    <row r="257" spans="1:13" s="968" customFormat="1" ht="15.75">
      <c r="A257" s="844"/>
      <c r="B257" s="629"/>
      <c r="C257" s="623" t="s">
        <v>884</v>
      </c>
      <c r="D257" s="132" t="s">
        <v>972</v>
      </c>
      <c r="E257" s="132">
        <v>6</v>
      </c>
      <c r="F257" s="946">
        <f>F253*E257</f>
        <v>55.800000000000004</v>
      </c>
      <c r="G257" s="729"/>
      <c r="H257" s="729">
        <f t="shared" si="12"/>
        <v>0</v>
      </c>
      <c r="I257" s="729"/>
      <c r="J257" s="729">
        <f t="shared" si="13"/>
        <v>0</v>
      </c>
      <c r="K257" s="729"/>
      <c r="L257" s="729">
        <f t="shared" si="14"/>
        <v>0</v>
      </c>
      <c r="M257" s="729">
        <f t="shared" si="15"/>
        <v>0</v>
      </c>
    </row>
    <row r="258" spans="1:13" s="968" customFormat="1" ht="54">
      <c r="A258" s="844">
        <v>16</v>
      </c>
      <c r="B258" s="629" t="s">
        <v>1073</v>
      </c>
      <c r="C258" s="623" t="s">
        <v>1074</v>
      </c>
      <c r="D258" s="132" t="s">
        <v>651</v>
      </c>
      <c r="E258" s="132"/>
      <c r="F258" s="946">
        <v>6.6</v>
      </c>
      <c r="G258" s="729"/>
      <c r="H258" s="729">
        <f t="shared" si="12"/>
        <v>0</v>
      </c>
      <c r="I258" s="729"/>
      <c r="J258" s="729">
        <f t="shared" si="13"/>
        <v>0</v>
      </c>
      <c r="K258" s="729"/>
      <c r="L258" s="729">
        <f t="shared" si="14"/>
        <v>0</v>
      </c>
      <c r="M258" s="729">
        <f t="shared" si="15"/>
        <v>0</v>
      </c>
    </row>
    <row r="259" spans="1:13" s="968" customFormat="1" ht="15.75">
      <c r="A259" s="844"/>
      <c r="B259" s="634"/>
      <c r="C259" s="634" t="s">
        <v>738</v>
      </c>
      <c r="D259" s="696" t="s">
        <v>15</v>
      </c>
      <c r="E259" s="634">
        <v>1.11</v>
      </c>
      <c r="F259" s="947">
        <f>F258*E259</f>
        <v>7.3260000000000005</v>
      </c>
      <c r="G259" s="729"/>
      <c r="H259" s="729">
        <f t="shared" si="12"/>
        <v>0</v>
      </c>
      <c r="I259" s="729"/>
      <c r="J259" s="729">
        <f t="shared" si="13"/>
        <v>0</v>
      </c>
      <c r="K259" s="729"/>
      <c r="L259" s="729">
        <f t="shared" si="14"/>
        <v>0</v>
      </c>
      <c r="M259" s="729">
        <f t="shared" si="15"/>
        <v>0</v>
      </c>
    </row>
    <row r="260" spans="1:13" s="968" customFormat="1" ht="15.75">
      <c r="A260" s="844"/>
      <c r="B260" s="634"/>
      <c r="C260" s="634" t="s">
        <v>897</v>
      </c>
      <c r="D260" s="634" t="s">
        <v>45</v>
      </c>
      <c r="E260" s="634">
        <v>0.516</v>
      </c>
      <c r="F260" s="947">
        <f>F258*E260</f>
        <v>3.4055999999999997</v>
      </c>
      <c r="G260" s="729"/>
      <c r="H260" s="729">
        <f t="shared" si="12"/>
        <v>0</v>
      </c>
      <c r="I260" s="729"/>
      <c r="J260" s="729">
        <f t="shared" si="13"/>
        <v>0</v>
      </c>
      <c r="K260" s="729"/>
      <c r="L260" s="729">
        <f t="shared" si="14"/>
        <v>0</v>
      </c>
      <c r="M260" s="729">
        <f t="shared" si="15"/>
        <v>0</v>
      </c>
    </row>
    <row r="261" spans="1:13" s="968" customFormat="1" ht="15.75">
      <c r="A261" s="844"/>
      <c r="B261" s="629"/>
      <c r="C261" s="623" t="s">
        <v>1075</v>
      </c>
      <c r="D261" s="132" t="s">
        <v>651</v>
      </c>
      <c r="E261" s="132">
        <v>1</v>
      </c>
      <c r="F261" s="946">
        <f>F258*E261</f>
        <v>6.6</v>
      </c>
      <c r="G261" s="729"/>
      <c r="H261" s="729">
        <f t="shared" si="12"/>
        <v>0</v>
      </c>
      <c r="I261" s="729"/>
      <c r="J261" s="729">
        <f t="shared" si="13"/>
        <v>0</v>
      </c>
      <c r="K261" s="729"/>
      <c r="L261" s="729">
        <f t="shared" si="14"/>
        <v>0</v>
      </c>
      <c r="M261" s="729">
        <f t="shared" si="15"/>
        <v>0</v>
      </c>
    </row>
    <row r="262" spans="1:13" s="968" customFormat="1" ht="15.75">
      <c r="A262" s="844"/>
      <c r="B262" s="629"/>
      <c r="C262" s="623" t="s">
        <v>965</v>
      </c>
      <c r="D262" s="132" t="s">
        <v>45</v>
      </c>
      <c r="E262" s="132">
        <v>0.054</v>
      </c>
      <c r="F262" s="946">
        <f>F258*E262</f>
        <v>0.3564</v>
      </c>
      <c r="G262" s="729"/>
      <c r="H262" s="729">
        <f t="shared" si="12"/>
        <v>0</v>
      </c>
      <c r="I262" s="729"/>
      <c r="J262" s="729">
        <f t="shared" si="13"/>
        <v>0</v>
      </c>
      <c r="K262" s="729"/>
      <c r="L262" s="729">
        <f t="shared" si="14"/>
        <v>0</v>
      </c>
      <c r="M262" s="729">
        <f t="shared" si="15"/>
        <v>0</v>
      </c>
    </row>
    <row r="263" spans="1:13" s="968" customFormat="1" ht="54">
      <c r="A263" s="844">
        <v>17</v>
      </c>
      <c r="B263" s="629" t="s">
        <v>1073</v>
      </c>
      <c r="C263" s="623" t="s">
        <v>1019</v>
      </c>
      <c r="D263" s="132" t="s">
        <v>651</v>
      </c>
      <c r="E263" s="132"/>
      <c r="F263" s="946">
        <v>6.67</v>
      </c>
      <c r="G263" s="729"/>
      <c r="H263" s="729">
        <f t="shared" si="12"/>
        <v>0</v>
      </c>
      <c r="I263" s="729"/>
      <c r="J263" s="729">
        <f t="shared" si="13"/>
        <v>0</v>
      </c>
      <c r="K263" s="729"/>
      <c r="L263" s="729">
        <f t="shared" si="14"/>
        <v>0</v>
      </c>
      <c r="M263" s="729">
        <f t="shared" si="15"/>
        <v>0</v>
      </c>
    </row>
    <row r="264" spans="1:13" s="968" customFormat="1" ht="15.75">
      <c r="A264" s="844"/>
      <c r="B264" s="634"/>
      <c r="C264" s="634" t="s">
        <v>738</v>
      </c>
      <c r="D264" s="696" t="s">
        <v>15</v>
      </c>
      <c r="E264" s="634">
        <v>1.11</v>
      </c>
      <c r="F264" s="947">
        <f>F263*E264</f>
        <v>7.403700000000001</v>
      </c>
      <c r="G264" s="729"/>
      <c r="H264" s="729">
        <f t="shared" si="12"/>
        <v>0</v>
      </c>
      <c r="I264" s="729"/>
      <c r="J264" s="729">
        <f t="shared" si="13"/>
        <v>0</v>
      </c>
      <c r="K264" s="729"/>
      <c r="L264" s="729">
        <f t="shared" si="14"/>
        <v>0</v>
      </c>
      <c r="M264" s="729">
        <f t="shared" si="15"/>
        <v>0</v>
      </c>
    </row>
    <row r="265" spans="1:13" s="968" customFormat="1" ht="15.75">
      <c r="A265" s="844"/>
      <c r="B265" s="634"/>
      <c r="C265" s="634" t="s">
        <v>897</v>
      </c>
      <c r="D265" s="634" t="s">
        <v>45</v>
      </c>
      <c r="E265" s="634">
        <v>0.516</v>
      </c>
      <c r="F265" s="947">
        <f>F263*E265</f>
        <v>3.44172</v>
      </c>
      <c r="G265" s="729"/>
      <c r="H265" s="729">
        <f t="shared" si="12"/>
        <v>0</v>
      </c>
      <c r="I265" s="729"/>
      <c r="J265" s="729">
        <f t="shared" si="13"/>
        <v>0</v>
      </c>
      <c r="K265" s="729"/>
      <c r="L265" s="729">
        <f t="shared" si="14"/>
        <v>0</v>
      </c>
      <c r="M265" s="729">
        <f t="shared" si="15"/>
        <v>0</v>
      </c>
    </row>
    <row r="266" spans="1:13" s="968" customFormat="1" ht="15.75">
      <c r="A266" s="844"/>
      <c r="B266" s="629"/>
      <c r="C266" s="623" t="s">
        <v>1020</v>
      </c>
      <c r="D266" s="132" t="s">
        <v>651</v>
      </c>
      <c r="E266" s="132">
        <v>1</v>
      </c>
      <c r="F266" s="946">
        <f>F263*E266</f>
        <v>6.67</v>
      </c>
      <c r="G266" s="729"/>
      <c r="H266" s="729">
        <f t="shared" si="12"/>
        <v>0</v>
      </c>
      <c r="I266" s="729"/>
      <c r="J266" s="729">
        <f t="shared" si="13"/>
        <v>0</v>
      </c>
      <c r="K266" s="729"/>
      <c r="L266" s="729">
        <f t="shared" si="14"/>
        <v>0</v>
      </c>
      <c r="M266" s="729">
        <f t="shared" si="15"/>
        <v>0</v>
      </c>
    </row>
    <row r="267" spans="1:13" s="968" customFormat="1" ht="15.75">
      <c r="A267" s="844"/>
      <c r="B267" s="629"/>
      <c r="C267" s="623" t="s">
        <v>965</v>
      </c>
      <c r="D267" s="132" t="s">
        <v>45</v>
      </c>
      <c r="E267" s="132">
        <v>0.054</v>
      </c>
      <c r="F267" s="946">
        <f>F263*E267</f>
        <v>0.36018</v>
      </c>
      <c r="G267" s="729"/>
      <c r="H267" s="729">
        <f aca="true" t="shared" si="16" ref="H267:H315">F267*G267</f>
        <v>0</v>
      </c>
      <c r="I267" s="729"/>
      <c r="J267" s="729">
        <f aca="true" t="shared" si="17" ref="J267:J315">F267*I267</f>
        <v>0</v>
      </c>
      <c r="K267" s="729"/>
      <c r="L267" s="729">
        <f aca="true" t="shared" si="18" ref="L267:L315">F267*K267</f>
        <v>0</v>
      </c>
      <c r="M267" s="729">
        <f aca="true" t="shared" si="19" ref="M267:M315">H267+J267+L267</f>
        <v>0</v>
      </c>
    </row>
    <row r="268" spans="1:13" s="968" customFormat="1" ht="54">
      <c r="A268" s="844">
        <v>18</v>
      </c>
      <c r="B268" s="629" t="s">
        <v>1076</v>
      </c>
      <c r="C268" s="623" t="s">
        <v>1077</v>
      </c>
      <c r="D268" s="132" t="s">
        <v>651</v>
      </c>
      <c r="E268" s="132"/>
      <c r="F268" s="946">
        <v>47.7</v>
      </c>
      <c r="G268" s="729"/>
      <c r="H268" s="729">
        <f t="shared" si="16"/>
        <v>0</v>
      </c>
      <c r="I268" s="729"/>
      <c r="J268" s="729">
        <f t="shared" si="17"/>
        <v>0</v>
      </c>
      <c r="K268" s="729"/>
      <c r="L268" s="729">
        <f t="shared" si="18"/>
        <v>0</v>
      </c>
      <c r="M268" s="729">
        <f t="shared" si="19"/>
        <v>0</v>
      </c>
    </row>
    <row r="269" spans="1:13" s="968" customFormat="1" ht="15.75">
      <c r="A269" s="844"/>
      <c r="B269" s="634"/>
      <c r="C269" s="634" t="s">
        <v>738</v>
      </c>
      <c r="D269" s="696" t="s">
        <v>15</v>
      </c>
      <c r="E269" s="634">
        <v>1.14</v>
      </c>
      <c r="F269" s="947">
        <f>F268*E269</f>
        <v>54.378</v>
      </c>
      <c r="G269" s="729"/>
      <c r="H269" s="729">
        <f t="shared" si="16"/>
        <v>0</v>
      </c>
      <c r="I269" s="729"/>
      <c r="J269" s="729">
        <f t="shared" si="17"/>
        <v>0</v>
      </c>
      <c r="K269" s="729"/>
      <c r="L269" s="729">
        <f t="shared" si="18"/>
        <v>0</v>
      </c>
      <c r="M269" s="729">
        <f t="shared" si="19"/>
        <v>0</v>
      </c>
    </row>
    <row r="270" spans="1:13" s="968" customFormat="1" ht="15.75">
      <c r="A270" s="844"/>
      <c r="B270" s="634"/>
      <c r="C270" s="634" t="s">
        <v>897</v>
      </c>
      <c r="D270" s="634" t="s">
        <v>45</v>
      </c>
      <c r="E270" s="634">
        <v>0.124</v>
      </c>
      <c r="F270" s="947">
        <f>F268*E270</f>
        <v>5.9148000000000005</v>
      </c>
      <c r="G270" s="729"/>
      <c r="H270" s="729">
        <f t="shared" si="16"/>
        <v>0</v>
      </c>
      <c r="I270" s="729"/>
      <c r="J270" s="729">
        <f t="shared" si="17"/>
        <v>0</v>
      </c>
      <c r="K270" s="729"/>
      <c r="L270" s="729">
        <f t="shared" si="18"/>
        <v>0</v>
      </c>
      <c r="M270" s="729">
        <f t="shared" si="19"/>
        <v>0</v>
      </c>
    </row>
    <row r="271" spans="1:13" s="968" customFormat="1" ht="31.5">
      <c r="A271" s="844"/>
      <c r="B271" s="629"/>
      <c r="C271" s="623" t="s">
        <v>1078</v>
      </c>
      <c r="D271" s="132" t="s">
        <v>651</v>
      </c>
      <c r="E271" s="132">
        <v>1.02</v>
      </c>
      <c r="F271" s="946">
        <f>F268*E271</f>
        <v>48.654</v>
      </c>
      <c r="G271" s="729"/>
      <c r="H271" s="729">
        <f t="shared" si="16"/>
        <v>0</v>
      </c>
      <c r="I271" s="729"/>
      <c r="J271" s="729">
        <f t="shared" si="17"/>
        <v>0</v>
      </c>
      <c r="K271" s="729"/>
      <c r="L271" s="729">
        <f t="shared" si="18"/>
        <v>0</v>
      </c>
      <c r="M271" s="729">
        <f t="shared" si="19"/>
        <v>0</v>
      </c>
    </row>
    <row r="272" spans="1:13" s="968" customFormat="1" ht="15.75">
      <c r="A272" s="844"/>
      <c r="B272" s="629"/>
      <c r="C272" s="623" t="s">
        <v>1079</v>
      </c>
      <c r="D272" s="132" t="s">
        <v>651</v>
      </c>
      <c r="E272" s="132">
        <v>1</v>
      </c>
      <c r="F272" s="946">
        <f>F268*E272</f>
        <v>47.7</v>
      </c>
      <c r="G272" s="729"/>
      <c r="H272" s="729">
        <f t="shared" si="16"/>
        <v>0</v>
      </c>
      <c r="I272" s="729"/>
      <c r="J272" s="729">
        <f t="shared" si="17"/>
        <v>0</v>
      </c>
      <c r="K272" s="729"/>
      <c r="L272" s="729">
        <f t="shared" si="18"/>
        <v>0</v>
      </c>
      <c r="M272" s="729">
        <f t="shared" si="19"/>
        <v>0</v>
      </c>
    </row>
    <row r="273" spans="1:13" ht="15.75">
      <c r="A273" s="844"/>
      <c r="B273" s="629"/>
      <c r="C273" s="623" t="s">
        <v>965</v>
      </c>
      <c r="D273" s="132" t="s">
        <v>45</v>
      </c>
      <c r="E273" s="132">
        <v>0.0924</v>
      </c>
      <c r="F273" s="946">
        <f>F268*E273</f>
        <v>4.4074800000000005</v>
      </c>
      <c r="G273" s="729"/>
      <c r="H273" s="729">
        <f t="shared" si="16"/>
        <v>0</v>
      </c>
      <c r="I273" s="729"/>
      <c r="J273" s="729">
        <f t="shared" si="17"/>
        <v>0</v>
      </c>
      <c r="K273" s="729"/>
      <c r="L273" s="729">
        <f t="shared" si="18"/>
        <v>0</v>
      </c>
      <c r="M273" s="729">
        <f t="shared" si="19"/>
        <v>0</v>
      </c>
    </row>
    <row r="274" spans="1:13" ht="63.75">
      <c r="A274" s="844">
        <v>19</v>
      </c>
      <c r="B274" s="629" t="s">
        <v>984</v>
      </c>
      <c r="C274" s="623" t="s">
        <v>1080</v>
      </c>
      <c r="D274" s="132" t="s">
        <v>651</v>
      </c>
      <c r="E274" s="132"/>
      <c r="F274" s="946">
        <v>24</v>
      </c>
      <c r="G274" s="729"/>
      <c r="H274" s="729">
        <f t="shared" si="16"/>
        <v>0</v>
      </c>
      <c r="I274" s="729"/>
      <c r="J274" s="729">
        <f t="shared" si="17"/>
        <v>0</v>
      </c>
      <c r="K274" s="729"/>
      <c r="L274" s="729">
        <f t="shared" si="18"/>
        <v>0</v>
      </c>
      <c r="M274" s="729">
        <f t="shared" si="19"/>
        <v>0</v>
      </c>
    </row>
    <row r="275" spans="1:13" ht="15.75">
      <c r="A275" s="844"/>
      <c r="B275" s="634"/>
      <c r="C275" s="634" t="s">
        <v>738</v>
      </c>
      <c r="D275" s="696" t="s">
        <v>15</v>
      </c>
      <c r="E275" s="634">
        <v>1.01</v>
      </c>
      <c r="F275" s="947">
        <f>F274*E275</f>
        <v>24.240000000000002</v>
      </c>
      <c r="G275" s="729"/>
      <c r="H275" s="729">
        <f t="shared" si="16"/>
        <v>0</v>
      </c>
      <c r="I275" s="729"/>
      <c r="J275" s="729">
        <f t="shared" si="17"/>
        <v>0</v>
      </c>
      <c r="K275" s="729"/>
      <c r="L275" s="729">
        <f t="shared" si="18"/>
        <v>0</v>
      </c>
      <c r="M275" s="729">
        <f t="shared" si="19"/>
        <v>0</v>
      </c>
    </row>
    <row r="276" spans="1:13" ht="15.75">
      <c r="A276" s="844"/>
      <c r="B276" s="634"/>
      <c r="C276" s="634" t="s">
        <v>897</v>
      </c>
      <c r="D276" s="634" t="s">
        <v>45</v>
      </c>
      <c r="E276" s="634">
        <v>0.027</v>
      </c>
      <c r="F276" s="947">
        <f>F274*E276</f>
        <v>0.648</v>
      </c>
      <c r="G276" s="729"/>
      <c r="H276" s="729">
        <f t="shared" si="16"/>
        <v>0</v>
      </c>
      <c r="I276" s="729"/>
      <c r="J276" s="729">
        <f t="shared" si="17"/>
        <v>0</v>
      </c>
      <c r="K276" s="729"/>
      <c r="L276" s="729">
        <f t="shared" si="18"/>
        <v>0</v>
      </c>
      <c r="M276" s="729">
        <f t="shared" si="19"/>
        <v>0</v>
      </c>
    </row>
    <row r="277" spans="1:13" ht="15.75">
      <c r="A277" s="844"/>
      <c r="B277" s="629"/>
      <c r="C277" s="623" t="s">
        <v>1067</v>
      </c>
      <c r="D277" s="132" t="s">
        <v>230</v>
      </c>
      <c r="E277" s="132">
        <v>0.03</v>
      </c>
      <c r="F277" s="946">
        <f>F274*E277</f>
        <v>0.72</v>
      </c>
      <c r="G277" s="729"/>
      <c r="H277" s="729">
        <f t="shared" si="16"/>
        <v>0</v>
      </c>
      <c r="I277" s="729"/>
      <c r="J277" s="729">
        <f t="shared" si="17"/>
        <v>0</v>
      </c>
      <c r="K277" s="729"/>
      <c r="L277" s="729">
        <f t="shared" si="18"/>
        <v>0</v>
      </c>
      <c r="M277" s="729">
        <f t="shared" si="19"/>
        <v>0</v>
      </c>
    </row>
    <row r="278" spans="1:13" ht="15.75">
      <c r="A278" s="844"/>
      <c r="B278" s="629"/>
      <c r="C278" s="623" t="s">
        <v>965</v>
      </c>
      <c r="D278" s="132" t="s">
        <v>45</v>
      </c>
      <c r="E278" s="132">
        <v>0.003</v>
      </c>
      <c r="F278" s="946">
        <f>F274*E278</f>
        <v>0.07200000000000001</v>
      </c>
      <c r="G278" s="729"/>
      <c r="H278" s="729">
        <f t="shared" si="16"/>
        <v>0</v>
      </c>
      <c r="I278" s="729"/>
      <c r="J278" s="729">
        <f t="shared" si="17"/>
        <v>0</v>
      </c>
      <c r="K278" s="729"/>
      <c r="L278" s="729">
        <f t="shared" si="18"/>
        <v>0</v>
      </c>
      <c r="M278" s="729">
        <f t="shared" si="19"/>
        <v>0</v>
      </c>
    </row>
    <row r="279" spans="1:13" ht="54">
      <c r="A279" s="844">
        <v>20</v>
      </c>
      <c r="B279" s="629" t="s">
        <v>1081</v>
      </c>
      <c r="C279" s="623" t="s">
        <v>1082</v>
      </c>
      <c r="D279" s="132" t="s">
        <v>651</v>
      </c>
      <c r="E279" s="132"/>
      <c r="F279" s="946">
        <v>16</v>
      </c>
      <c r="G279" s="729"/>
      <c r="H279" s="729">
        <f t="shared" si="16"/>
        <v>0</v>
      </c>
      <c r="I279" s="729"/>
      <c r="J279" s="729">
        <f t="shared" si="17"/>
        <v>0</v>
      </c>
      <c r="K279" s="729"/>
      <c r="L279" s="729">
        <f t="shared" si="18"/>
        <v>0</v>
      </c>
      <c r="M279" s="729">
        <f t="shared" si="19"/>
        <v>0</v>
      </c>
    </row>
    <row r="280" spans="1:13" ht="15.75">
      <c r="A280" s="844"/>
      <c r="B280" s="634"/>
      <c r="C280" s="634" t="s">
        <v>738</v>
      </c>
      <c r="D280" s="696" t="s">
        <v>15</v>
      </c>
      <c r="E280" s="634">
        <v>1.7</v>
      </c>
      <c r="F280" s="947">
        <f>F279*E280</f>
        <v>27.2</v>
      </c>
      <c r="G280" s="729"/>
      <c r="H280" s="729">
        <f t="shared" si="16"/>
        <v>0</v>
      </c>
      <c r="I280" s="729"/>
      <c r="J280" s="729">
        <f t="shared" si="17"/>
        <v>0</v>
      </c>
      <c r="K280" s="729"/>
      <c r="L280" s="729">
        <f t="shared" si="18"/>
        <v>0</v>
      </c>
      <c r="M280" s="729">
        <f t="shared" si="19"/>
        <v>0</v>
      </c>
    </row>
    <row r="281" spans="1:13" ht="15.75">
      <c r="A281" s="844"/>
      <c r="B281" s="634"/>
      <c r="C281" s="634" t="s">
        <v>897</v>
      </c>
      <c r="D281" s="634" t="s">
        <v>45</v>
      </c>
      <c r="E281" s="634">
        <v>0.02</v>
      </c>
      <c r="F281" s="947">
        <f>F279*E281</f>
        <v>0.32</v>
      </c>
      <c r="G281" s="729"/>
      <c r="H281" s="729">
        <f t="shared" si="16"/>
        <v>0</v>
      </c>
      <c r="I281" s="729"/>
      <c r="J281" s="729">
        <f t="shared" si="17"/>
        <v>0</v>
      </c>
      <c r="K281" s="729"/>
      <c r="L281" s="729">
        <f t="shared" si="18"/>
        <v>0</v>
      </c>
      <c r="M281" s="729">
        <f t="shared" si="19"/>
        <v>0</v>
      </c>
    </row>
    <row r="282" spans="1:13" ht="15.75">
      <c r="A282" s="844"/>
      <c r="B282" s="629"/>
      <c r="C282" s="623" t="s">
        <v>1083</v>
      </c>
      <c r="D282" s="132" t="s">
        <v>651</v>
      </c>
      <c r="E282" s="132">
        <v>1.02</v>
      </c>
      <c r="F282" s="946">
        <f>F279*E282</f>
        <v>16.32</v>
      </c>
      <c r="G282" s="729"/>
      <c r="H282" s="729">
        <f t="shared" si="16"/>
        <v>0</v>
      </c>
      <c r="I282" s="729"/>
      <c r="J282" s="729">
        <f t="shared" si="17"/>
        <v>0</v>
      </c>
      <c r="K282" s="729"/>
      <c r="L282" s="729">
        <f t="shared" si="18"/>
        <v>0</v>
      </c>
      <c r="M282" s="729">
        <f t="shared" si="19"/>
        <v>0</v>
      </c>
    </row>
    <row r="283" spans="1:13" ht="15.75">
      <c r="A283" s="844"/>
      <c r="B283" s="629"/>
      <c r="C283" s="623" t="s">
        <v>884</v>
      </c>
      <c r="D283" s="132" t="s">
        <v>972</v>
      </c>
      <c r="E283" s="132">
        <v>6</v>
      </c>
      <c r="F283" s="946">
        <f>F279*E283</f>
        <v>96</v>
      </c>
      <c r="G283" s="729"/>
      <c r="H283" s="729">
        <f t="shared" si="16"/>
        <v>0</v>
      </c>
      <c r="I283" s="729"/>
      <c r="J283" s="729">
        <f t="shared" si="17"/>
        <v>0</v>
      </c>
      <c r="K283" s="729"/>
      <c r="L283" s="729">
        <f t="shared" si="18"/>
        <v>0</v>
      </c>
      <c r="M283" s="729">
        <f t="shared" si="19"/>
        <v>0</v>
      </c>
    </row>
    <row r="284" spans="1:13" ht="15.75">
      <c r="A284" s="844"/>
      <c r="B284" s="629"/>
      <c r="C284" s="623" t="s">
        <v>965</v>
      </c>
      <c r="D284" s="132" t="s">
        <v>45</v>
      </c>
      <c r="E284" s="132">
        <v>0.007</v>
      </c>
      <c r="F284" s="946">
        <f>F279*E284</f>
        <v>0.112</v>
      </c>
      <c r="G284" s="729"/>
      <c r="H284" s="729">
        <f t="shared" si="16"/>
        <v>0</v>
      </c>
      <c r="I284" s="729"/>
      <c r="J284" s="729">
        <f t="shared" si="17"/>
        <v>0</v>
      </c>
      <c r="K284" s="729"/>
      <c r="L284" s="729">
        <f t="shared" si="18"/>
        <v>0</v>
      </c>
      <c r="M284" s="729">
        <f t="shared" si="19"/>
        <v>0</v>
      </c>
    </row>
    <row r="285" spans="1:13" ht="67.5">
      <c r="A285" s="844">
        <v>21</v>
      </c>
      <c r="B285" s="629" t="s">
        <v>994</v>
      </c>
      <c r="C285" s="623" t="s">
        <v>1022</v>
      </c>
      <c r="D285" s="132" t="s">
        <v>651</v>
      </c>
      <c r="E285" s="132"/>
      <c r="F285" s="946">
        <v>205.7</v>
      </c>
      <c r="G285" s="729"/>
      <c r="H285" s="729">
        <f t="shared" si="16"/>
        <v>0</v>
      </c>
      <c r="I285" s="729"/>
      <c r="J285" s="729">
        <f t="shared" si="17"/>
        <v>0</v>
      </c>
      <c r="K285" s="729"/>
      <c r="L285" s="729">
        <f t="shared" si="18"/>
        <v>0</v>
      </c>
      <c r="M285" s="729">
        <f t="shared" si="19"/>
        <v>0</v>
      </c>
    </row>
    <row r="286" spans="1:13" ht="15.75">
      <c r="A286" s="844"/>
      <c r="B286" s="634"/>
      <c r="C286" s="634" t="s">
        <v>738</v>
      </c>
      <c r="D286" s="696" t="s">
        <v>15</v>
      </c>
      <c r="E286" s="634">
        <v>0.856</v>
      </c>
      <c r="F286" s="947">
        <f>F285*E286</f>
        <v>176.0792</v>
      </c>
      <c r="G286" s="729"/>
      <c r="H286" s="729">
        <f t="shared" si="16"/>
        <v>0</v>
      </c>
      <c r="I286" s="729"/>
      <c r="J286" s="729">
        <f t="shared" si="17"/>
        <v>0</v>
      </c>
      <c r="K286" s="729"/>
      <c r="L286" s="729">
        <f t="shared" si="18"/>
        <v>0</v>
      </c>
      <c r="M286" s="729">
        <f t="shared" si="19"/>
        <v>0</v>
      </c>
    </row>
    <row r="287" spans="1:13" ht="15.75">
      <c r="A287" s="844"/>
      <c r="B287" s="634"/>
      <c r="C287" s="634" t="s">
        <v>897</v>
      </c>
      <c r="D287" s="634" t="s">
        <v>45</v>
      </c>
      <c r="E287" s="634">
        <v>0.012</v>
      </c>
      <c r="F287" s="947">
        <f>F285*E287</f>
        <v>2.4684</v>
      </c>
      <c r="G287" s="729"/>
      <c r="H287" s="729">
        <f t="shared" si="16"/>
        <v>0</v>
      </c>
      <c r="I287" s="729"/>
      <c r="J287" s="729">
        <f t="shared" si="17"/>
        <v>0</v>
      </c>
      <c r="K287" s="729"/>
      <c r="L287" s="729">
        <f t="shared" si="18"/>
        <v>0</v>
      </c>
      <c r="M287" s="729">
        <f t="shared" si="19"/>
        <v>0</v>
      </c>
    </row>
    <row r="288" spans="1:13" ht="15.75">
      <c r="A288" s="844"/>
      <c r="B288" s="629"/>
      <c r="C288" s="623" t="s">
        <v>996</v>
      </c>
      <c r="D288" s="132" t="s">
        <v>49</v>
      </c>
      <c r="E288" s="132">
        <v>0.63</v>
      </c>
      <c r="F288" s="946">
        <f>F285*E288</f>
        <v>129.59099999999998</v>
      </c>
      <c r="G288" s="729"/>
      <c r="H288" s="729">
        <f t="shared" si="16"/>
        <v>0</v>
      </c>
      <c r="I288" s="729"/>
      <c r="J288" s="729">
        <f t="shared" si="17"/>
        <v>0</v>
      </c>
      <c r="K288" s="729"/>
      <c r="L288" s="729">
        <f t="shared" si="18"/>
        <v>0</v>
      </c>
      <c r="M288" s="729">
        <f t="shared" si="19"/>
        <v>0</v>
      </c>
    </row>
    <row r="289" spans="1:13" ht="15.75">
      <c r="A289" s="844"/>
      <c r="B289" s="629"/>
      <c r="C289" s="623" t="s">
        <v>997</v>
      </c>
      <c r="D289" s="132" t="s">
        <v>49</v>
      </c>
      <c r="E289" s="132">
        <v>0.92</v>
      </c>
      <c r="F289" s="946">
        <f>F285*E289</f>
        <v>189.244</v>
      </c>
      <c r="G289" s="729"/>
      <c r="H289" s="729">
        <f t="shared" si="16"/>
        <v>0</v>
      </c>
      <c r="I289" s="729"/>
      <c r="J289" s="729">
        <f t="shared" si="17"/>
        <v>0</v>
      </c>
      <c r="K289" s="729"/>
      <c r="L289" s="729">
        <f t="shared" si="18"/>
        <v>0</v>
      </c>
      <c r="M289" s="729">
        <f t="shared" si="19"/>
        <v>0</v>
      </c>
    </row>
    <row r="290" spans="1:13" ht="15.75">
      <c r="A290" s="844"/>
      <c r="B290" s="629"/>
      <c r="C290" s="623" t="s">
        <v>965</v>
      </c>
      <c r="D290" s="132" t="s">
        <v>45</v>
      </c>
      <c r="E290" s="132">
        <v>0.018</v>
      </c>
      <c r="F290" s="946">
        <f>F285*E290</f>
        <v>3.7025999999999994</v>
      </c>
      <c r="G290" s="729"/>
      <c r="H290" s="729">
        <f t="shared" si="16"/>
        <v>0</v>
      </c>
      <c r="I290" s="729"/>
      <c r="J290" s="729">
        <f t="shared" si="17"/>
        <v>0</v>
      </c>
      <c r="K290" s="729"/>
      <c r="L290" s="729">
        <f t="shared" si="18"/>
        <v>0</v>
      </c>
      <c r="M290" s="729">
        <f t="shared" si="19"/>
        <v>0</v>
      </c>
    </row>
    <row r="291" spans="1:13" ht="54">
      <c r="A291" s="844">
        <v>22</v>
      </c>
      <c r="B291" s="629" t="s">
        <v>1084</v>
      </c>
      <c r="C291" s="623" t="s">
        <v>1085</v>
      </c>
      <c r="D291" s="132" t="s">
        <v>651</v>
      </c>
      <c r="E291" s="132"/>
      <c r="F291" s="946">
        <v>94</v>
      </c>
      <c r="G291" s="729"/>
      <c r="H291" s="729">
        <f t="shared" si="16"/>
        <v>0</v>
      </c>
      <c r="I291" s="729"/>
      <c r="J291" s="729">
        <f t="shared" si="17"/>
        <v>0</v>
      </c>
      <c r="K291" s="729"/>
      <c r="L291" s="729">
        <f t="shared" si="18"/>
        <v>0</v>
      </c>
      <c r="M291" s="729">
        <f t="shared" si="19"/>
        <v>0</v>
      </c>
    </row>
    <row r="292" spans="1:13" ht="15.75">
      <c r="A292" s="844"/>
      <c r="B292" s="634"/>
      <c r="C292" s="634" t="s">
        <v>738</v>
      </c>
      <c r="D292" s="696" t="s">
        <v>15</v>
      </c>
      <c r="E292" s="634">
        <v>0.93</v>
      </c>
      <c r="F292" s="947">
        <f>F291*E292</f>
        <v>87.42</v>
      </c>
      <c r="G292" s="729"/>
      <c r="H292" s="729">
        <f t="shared" si="16"/>
        <v>0</v>
      </c>
      <c r="I292" s="729"/>
      <c r="J292" s="729">
        <f t="shared" si="17"/>
        <v>0</v>
      </c>
      <c r="K292" s="729"/>
      <c r="L292" s="729">
        <f t="shared" si="18"/>
        <v>0</v>
      </c>
      <c r="M292" s="729">
        <f t="shared" si="19"/>
        <v>0</v>
      </c>
    </row>
    <row r="293" spans="1:13" ht="15.75">
      <c r="A293" s="844"/>
      <c r="B293" s="634"/>
      <c r="C293" s="634" t="s">
        <v>897</v>
      </c>
      <c r="D293" s="634" t="s">
        <v>45</v>
      </c>
      <c r="E293" s="634">
        <v>0.026</v>
      </c>
      <c r="F293" s="947">
        <f>F291*E293</f>
        <v>2.444</v>
      </c>
      <c r="G293" s="729"/>
      <c r="H293" s="729">
        <f t="shared" si="16"/>
        <v>0</v>
      </c>
      <c r="I293" s="729"/>
      <c r="J293" s="729">
        <f t="shared" si="17"/>
        <v>0</v>
      </c>
      <c r="K293" s="729"/>
      <c r="L293" s="729">
        <f t="shared" si="18"/>
        <v>0</v>
      </c>
      <c r="M293" s="729">
        <f t="shared" si="19"/>
        <v>0</v>
      </c>
    </row>
    <row r="294" spans="1:13" ht="15.75">
      <c r="A294" s="844"/>
      <c r="B294" s="629"/>
      <c r="C294" s="623" t="s">
        <v>1067</v>
      </c>
      <c r="D294" s="132" t="s">
        <v>230</v>
      </c>
      <c r="E294" s="132">
        <v>0.03</v>
      </c>
      <c r="F294" s="946">
        <f>F291*E294</f>
        <v>2.82</v>
      </c>
      <c r="G294" s="729"/>
      <c r="H294" s="729">
        <f t="shared" si="16"/>
        <v>0</v>
      </c>
      <c r="I294" s="729"/>
      <c r="J294" s="729">
        <f t="shared" si="17"/>
        <v>0</v>
      </c>
      <c r="K294" s="729"/>
      <c r="L294" s="729">
        <f t="shared" si="18"/>
        <v>0</v>
      </c>
      <c r="M294" s="729">
        <f t="shared" si="19"/>
        <v>0</v>
      </c>
    </row>
    <row r="295" spans="1:13" ht="67.5">
      <c r="A295" s="844">
        <v>23</v>
      </c>
      <c r="B295" s="629" t="s">
        <v>1086</v>
      </c>
      <c r="C295" s="623" t="s">
        <v>1087</v>
      </c>
      <c r="D295" s="132" t="s">
        <v>651</v>
      </c>
      <c r="E295" s="132"/>
      <c r="F295" s="946">
        <v>94</v>
      </c>
      <c r="G295" s="729"/>
      <c r="H295" s="729">
        <f t="shared" si="16"/>
        <v>0</v>
      </c>
      <c r="I295" s="729"/>
      <c r="J295" s="729">
        <f t="shared" si="17"/>
        <v>0</v>
      </c>
      <c r="K295" s="729"/>
      <c r="L295" s="729">
        <f t="shared" si="18"/>
        <v>0</v>
      </c>
      <c r="M295" s="729">
        <f t="shared" si="19"/>
        <v>0</v>
      </c>
    </row>
    <row r="296" spans="1:13" ht="15.75">
      <c r="A296" s="844"/>
      <c r="B296" s="634"/>
      <c r="C296" s="634" t="s">
        <v>738</v>
      </c>
      <c r="D296" s="696" t="s">
        <v>15</v>
      </c>
      <c r="E296" s="634">
        <v>0.658</v>
      </c>
      <c r="F296" s="947">
        <f>F295*E296</f>
        <v>61.852000000000004</v>
      </c>
      <c r="G296" s="729"/>
      <c r="H296" s="729">
        <f t="shared" si="16"/>
        <v>0</v>
      </c>
      <c r="I296" s="729"/>
      <c r="J296" s="729">
        <f t="shared" si="17"/>
        <v>0</v>
      </c>
      <c r="K296" s="729"/>
      <c r="L296" s="729">
        <f t="shared" si="18"/>
        <v>0</v>
      </c>
      <c r="M296" s="729">
        <f t="shared" si="19"/>
        <v>0</v>
      </c>
    </row>
    <row r="297" spans="1:13" ht="15.75">
      <c r="A297" s="844"/>
      <c r="B297" s="634"/>
      <c r="C297" s="634" t="s">
        <v>897</v>
      </c>
      <c r="D297" s="634" t="s">
        <v>45</v>
      </c>
      <c r="E297" s="634">
        <v>0.01</v>
      </c>
      <c r="F297" s="947">
        <f>F295*E297</f>
        <v>0.9400000000000001</v>
      </c>
      <c r="G297" s="729"/>
      <c r="H297" s="729">
        <f t="shared" si="16"/>
        <v>0</v>
      </c>
      <c r="I297" s="729"/>
      <c r="J297" s="729">
        <f t="shared" si="17"/>
        <v>0</v>
      </c>
      <c r="K297" s="729"/>
      <c r="L297" s="729">
        <f t="shared" si="18"/>
        <v>0</v>
      </c>
      <c r="M297" s="729">
        <f t="shared" si="19"/>
        <v>0</v>
      </c>
    </row>
    <row r="298" spans="1:13" ht="15.75">
      <c r="A298" s="844"/>
      <c r="B298" s="629"/>
      <c r="C298" s="623" t="s">
        <v>1088</v>
      </c>
      <c r="D298" s="132" t="s">
        <v>49</v>
      </c>
      <c r="E298" s="132">
        <v>0.63</v>
      </c>
      <c r="F298" s="946">
        <f>F295*E298</f>
        <v>59.22</v>
      </c>
      <c r="G298" s="729"/>
      <c r="H298" s="729">
        <f t="shared" si="16"/>
        <v>0</v>
      </c>
      <c r="I298" s="729"/>
      <c r="J298" s="729">
        <f t="shared" si="17"/>
        <v>0</v>
      </c>
      <c r="K298" s="729"/>
      <c r="L298" s="729">
        <f t="shared" si="18"/>
        <v>0</v>
      </c>
      <c r="M298" s="729">
        <f t="shared" si="19"/>
        <v>0</v>
      </c>
    </row>
    <row r="299" spans="1:13" ht="15.75">
      <c r="A299" s="844"/>
      <c r="B299" s="629"/>
      <c r="C299" s="623" t="s">
        <v>997</v>
      </c>
      <c r="D299" s="132" t="s">
        <v>49</v>
      </c>
      <c r="E299" s="132">
        <v>0.79</v>
      </c>
      <c r="F299" s="946">
        <f>F295*E299</f>
        <v>74.26</v>
      </c>
      <c r="G299" s="729"/>
      <c r="H299" s="729">
        <f t="shared" si="16"/>
        <v>0</v>
      </c>
      <c r="I299" s="729"/>
      <c r="J299" s="729">
        <f t="shared" si="17"/>
        <v>0</v>
      </c>
      <c r="K299" s="729"/>
      <c r="L299" s="729">
        <f t="shared" si="18"/>
        <v>0</v>
      </c>
      <c r="M299" s="729">
        <f t="shared" si="19"/>
        <v>0</v>
      </c>
    </row>
    <row r="300" spans="1:13" ht="15.75">
      <c r="A300" s="844"/>
      <c r="B300" s="629"/>
      <c r="C300" s="623" t="s">
        <v>965</v>
      </c>
      <c r="D300" s="132" t="s">
        <v>45</v>
      </c>
      <c r="E300" s="132">
        <v>0.016</v>
      </c>
      <c r="F300" s="946">
        <f>F295*E300</f>
        <v>1.504</v>
      </c>
      <c r="G300" s="729"/>
      <c r="H300" s="729">
        <f t="shared" si="16"/>
        <v>0</v>
      </c>
      <c r="I300" s="729"/>
      <c r="J300" s="729">
        <f t="shared" si="17"/>
        <v>0</v>
      </c>
      <c r="K300" s="729"/>
      <c r="L300" s="729">
        <f t="shared" si="18"/>
        <v>0</v>
      </c>
      <c r="M300" s="729">
        <f t="shared" si="19"/>
        <v>0</v>
      </c>
    </row>
    <row r="301" spans="1:13" ht="54">
      <c r="A301" s="844">
        <v>24</v>
      </c>
      <c r="B301" s="629" t="s">
        <v>1089</v>
      </c>
      <c r="C301" s="623" t="s">
        <v>1090</v>
      </c>
      <c r="D301" s="132" t="s">
        <v>230</v>
      </c>
      <c r="E301" s="132"/>
      <c r="F301" s="946">
        <v>4.4</v>
      </c>
      <c r="G301" s="729"/>
      <c r="H301" s="729">
        <f t="shared" si="16"/>
        <v>0</v>
      </c>
      <c r="I301" s="729"/>
      <c r="J301" s="729">
        <f t="shared" si="17"/>
        <v>0</v>
      </c>
      <c r="K301" s="729"/>
      <c r="L301" s="729">
        <f t="shared" si="18"/>
        <v>0</v>
      </c>
      <c r="M301" s="729">
        <f t="shared" si="19"/>
        <v>0</v>
      </c>
    </row>
    <row r="302" spans="1:13" ht="15.75">
      <c r="A302" s="844"/>
      <c r="B302" s="634"/>
      <c r="C302" s="634" t="s">
        <v>738</v>
      </c>
      <c r="D302" s="696" t="s">
        <v>15</v>
      </c>
      <c r="E302" s="634">
        <v>3.52</v>
      </c>
      <c r="F302" s="947">
        <f>F301*E302</f>
        <v>15.488000000000001</v>
      </c>
      <c r="G302" s="729"/>
      <c r="H302" s="729">
        <f t="shared" si="16"/>
        <v>0</v>
      </c>
      <c r="I302" s="729"/>
      <c r="J302" s="729">
        <f t="shared" si="17"/>
        <v>0</v>
      </c>
      <c r="K302" s="729"/>
      <c r="L302" s="729">
        <f t="shared" si="18"/>
        <v>0</v>
      </c>
      <c r="M302" s="729">
        <f t="shared" si="19"/>
        <v>0</v>
      </c>
    </row>
    <row r="303" spans="1:13" ht="15.75">
      <c r="A303" s="844"/>
      <c r="B303" s="634"/>
      <c r="C303" s="634" t="s">
        <v>897</v>
      </c>
      <c r="D303" s="634" t="s">
        <v>45</v>
      </c>
      <c r="E303" s="634">
        <v>1.05</v>
      </c>
      <c r="F303" s="947">
        <f>F301*E303</f>
        <v>4.620000000000001</v>
      </c>
      <c r="G303" s="729"/>
      <c r="H303" s="729">
        <f t="shared" si="16"/>
        <v>0</v>
      </c>
      <c r="I303" s="729"/>
      <c r="J303" s="729">
        <f t="shared" si="17"/>
        <v>0</v>
      </c>
      <c r="K303" s="729"/>
      <c r="L303" s="729">
        <f t="shared" si="18"/>
        <v>0</v>
      </c>
      <c r="M303" s="729">
        <f t="shared" si="19"/>
        <v>0</v>
      </c>
    </row>
    <row r="304" spans="1:13" ht="15.75">
      <c r="A304" s="844"/>
      <c r="B304" s="629"/>
      <c r="C304" s="623" t="s">
        <v>1091</v>
      </c>
      <c r="D304" s="132" t="s">
        <v>230</v>
      </c>
      <c r="E304" s="132">
        <v>1.15</v>
      </c>
      <c r="F304" s="946">
        <f>F301*E304</f>
        <v>5.06</v>
      </c>
      <c r="G304" s="729"/>
      <c r="H304" s="729">
        <f t="shared" si="16"/>
        <v>0</v>
      </c>
      <c r="I304" s="729"/>
      <c r="J304" s="729">
        <f t="shared" si="17"/>
        <v>0</v>
      </c>
      <c r="K304" s="729"/>
      <c r="L304" s="729">
        <f t="shared" si="18"/>
        <v>0</v>
      </c>
      <c r="M304" s="729">
        <f t="shared" si="19"/>
        <v>0</v>
      </c>
    </row>
    <row r="305" spans="1:13" ht="15.75">
      <c r="A305" s="844"/>
      <c r="B305" s="629"/>
      <c r="C305" s="623" t="s">
        <v>965</v>
      </c>
      <c r="D305" s="132" t="s">
        <v>45</v>
      </c>
      <c r="E305" s="132">
        <v>0.02</v>
      </c>
      <c r="F305" s="946">
        <f>F301*E305</f>
        <v>0.08800000000000001</v>
      </c>
      <c r="G305" s="729"/>
      <c r="H305" s="729">
        <f t="shared" si="16"/>
        <v>0</v>
      </c>
      <c r="I305" s="729"/>
      <c r="J305" s="729">
        <f t="shared" si="17"/>
        <v>0</v>
      </c>
      <c r="K305" s="729"/>
      <c r="L305" s="729">
        <f t="shared" si="18"/>
        <v>0</v>
      </c>
      <c r="M305" s="729">
        <f t="shared" si="19"/>
        <v>0</v>
      </c>
    </row>
    <row r="306" spans="1:13" ht="54">
      <c r="A306" s="844">
        <v>25</v>
      </c>
      <c r="B306" s="629" t="s">
        <v>1092</v>
      </c>
      <c r="C306" s="623" t="s">
        <v>1093</v>
      </c>
      <c r="D306" s="132" t="s">
        <v>230</v>
      </c>
      <c r="E306" s="132"/>
      <c r="F306" s="946">
        <v>2.95</v>
      </c>
      <c r="G306" s="729"/>
      <c r="H306" s="729">
        <f t="shared" si="16"/>
        <v>0</v>
      </c>
      <c r="I306" s="729"/>
      <c r="J306" s="729">
        <f t="shared" si="17"/>
        <v>0</v>
      </c>
      <c r="K306" s="729"/>
      <c r="L306" s="729">
        <f t="shared" si="18"/>
        <v>0</v>
      </c>
      <c r="M306" s="729">
        <f t="shared" si="19"/>
        <v>0</v>
      </c>
    </row>
    <row r="307" spans="1:13" ht="15.75">
      <c r="A307" s="844"/>
      <c r="B307" s="634"/>
      <c r="C307" s="634" t="s">
        <v>738</v>
      </c>
      <c r="D307" s="696" t="s">
        <v>15</v>
      </c>
      <c r="E307" s="634">
        <v>2.9</v>
      </c>
      <c r="F307" s="947">
        <f>F306*E307</f>
        <v>8.555</v>
      </c>
      <c r="G307" s="729"/>
      <c r="H307" s="729">
        <f t="shared" si="16"/>
        <v>0</v>
      </c>
      <c r="I307" s="729"/>
      <c r="J307" s="729">
        <f t="shared" si="17"/>
        <v>0</v>
      </c>
      <c r="K307" s="729"/>
      <c r="L307" s="729">
        <f t="shared" si="18"/>
        <v>0</v>
      </c>
      <c r="M307" s="729">
        <f t="shared" si="19"/>
        <v>0</v>
      </c>
    </row>
    <row r="308" spans="1:13" ht="15.75">
      <c r="A308" s="844"/>
      <c r="B308" s="629"/>
      <c r="C308" s="623" t="s">
        <v>1094</v>
      </c>
      <c r="D308" s="132" t="s">
        <v>230</v>
      </c>
      <c r="E308" s="132">
        <v>1.02</v>
      </c>
      <c r="F308" s="946">
        <f>F306*E308</f>
        <v>3.0090000000000003</v>
      </c>
      <c r="G308" s="729"/>
      <c r="H308" s="729">
        <f t="shared" si="16"/>
        <v>0</v>
      </c>
      <c r="I308" s="729"/>
      <c r="J308" s="729">
        <f t="shared" si="17"/>
        <v>0</v>
      </c>
      <c r="K308" s="729"/>
      <c r="L308" s="729">
        <f t="shared" si="18"/>
        <v>0</v>
      </c>
      <c r="M308" s="729">
        <f t="shared" si="19"/>
        <v>0</v>
      </c>
    </row>
    <row r="309" spans="1:13" ht="15.75">
      <c r="A309" s="844"/>
      <c r="B309" s="629"/>
      <c r="C309" s="623" t="s">
        <v>965</v>
      </c>
      <c r="D309" s="132" t="s">
        <v>45</v>
      </c>
      <c r="E309" s="132">
        <v>0.88</v>
      </c>
      <c r="F309" s="946">
        <f>F306*E309</f>
        <v>2.596</v>
      </c>
      <c r="G309" s="729"/>
      <c r="H309" s="729">
        <f t="shared" si="16"/>
        <v>0</v>
      </c>
      <c r="I309" s="729"/>
      <c r="J309" s="729">
        <f t="shared" si="17"/>
        <v>0</v>
      </c>
      <c r="K309" s="729"/>
      <c r="L309" s="729">
        <f t="shared" si="18"/>
        <v>0</v>
      </c>
      <c r="M309" s="729">
        <f t="shared" si="19"/>
        <v>0</v>
      </c>
    </row>
    <row r="310" spans="1:13" ht="67.5">
      <c r="A310" s="844">
        <v>26</v>
      </c>
      <c r="B310" s="629" t="s">
        <v>1095</v>
      </c>
      <c r="C310" s="623" t="s">
        <v>1096</v>
      </c>
      <c r="D310" s="132" t="s">
        <v>651</v>
      </c>
      <c r="E310" s="132"/>
      <c r="F310" s="946">
        <v>6.9</v>
      </c>
      <c r="G310" s="729"/>
      <c r="H310" s="729">
        <f t="shared" si="16"/>
        <v>0</v>
      </c>
      <c r="I310" s="729"/>
      <c r="J310" s="729">
        <f t="shared" si="17"/>
        <v>0</v>
      </c>
      <c r="K310" s="729"/>
      <c r="L310" s="729">
        <f t="shared" si="18"/>
        <v>0</v>
      </c>
      <c r="M310" s="729">
        <f t="shared" si="19"/>
        <v>0</v>
      </c>
    </row>
    <row r="311" spans="1:13" ht="15.75">
      <c r="A311" s="844"/>
      <c r="B311" s="634"/>
      <c r="C311" s="634" t="s">
        <v>738</v>
      </c>
      <c r="D311" s="696" t="s">
        <v>15</v>
      </c>
      <c r="E311" s="634">
        <v>0.817</v>
      </c>
      <c r="F311" s="947">
        <f>F310*E311</f>
        <v>5.6373</v>
      </c>
      <c r="G311" s="729"/>
      <c r="H311" s="729">
        <f t="shared" si="16"/>
        <v>0</v>
      </c>
      <c r="I311" s="729"/>
      <c r="J311" s="729">
        <f t="shared" si="17"/>
        <v>0</v>
      </c>
      <c r="K311" s="729"/>
      <c r="L311" s="729">
        <f t="shared" si="18"/>
        <v>0</v>
      </c>
      <c r="M311" s="729">
        <f t="shared" si="19"/>
        <v>0</v>
      </c>
    </row>
    <row r="312" spans="1:13" ht="15.75">
      <c r="A312" s="844"/>
      <c r="B312" s="634"/>
      <c r="C312" s="634" t="s">
        <v>897</v>
      </c>
      <c r="D312" s="634" t="s">
        <v>45</v>
      </c>
      <c r="E312" s="634">
        <v>0.009</v>
      </c>
      <c r="F312" s="947">
        <f>F310*E312</f>
        <v>0.062099999999999995</v>
      </c>
      <c r="G312" s="729"/>
      <c r="H312" s="729">
        <f t="shared" si="16"/>
        <v>0</v>
      </c>
      <c r="I312" s="729"/>
      <c r="J312" s="729">
        <f t="shared" si="17"/>
        <v>0</v>
      </c>
      <c r="K312" s="729"/>
      <c r="L312" s="729">
        <f t="shared" si="18"/>
        <v>0</v>
      </c>
      <c r="M312" s="729">
        <f t="shared" si="19"/>
        <v>0</v>
      </c>
    </row>
    <row r="313" spans="1:13" ht="15.75">
      <c r="A313" s="844"/>
      <c r="B313" s="629"/>
      <c r="C313" s="623" t="s">
        <v>1097</v>
      </c>
      <c r="D313" s="132" t="s">
        <v>49</v>
      </c>
      <c r="E313" s="132">
        <v>0.258</v>
      </c>
      <c r="F313" s="946">
        <f>F310*E313</f>
        <v>1.7802000000000002</v>
      </c>
      <c r="G313" s="729"/>
      <c r="H313" s="729">
        <f t="shared" si="16"/>
        <v>0</v>
      </c>
      <c r="I313" s="729"/>
      <c r="J313" s="729">
        <f t="shared" si="17"/>
        <v>0</v>
      </c>
      <c r="K313" s="729"/>
      <c r="L313" s="729">
        <f t="shared" si="18"/>
        <v>0</v>
      </c>
      <c r="M313" s="729">
        <f t="shared" si="19"/>
        <v>0</v>
      </c>
    </row>
    <row r="314" spans="1:13" ht="15.75">
      <c r="A314" s="844"/>
      <c r="B314" s="629"/>
      <c r="C314" s="623" t="s">
        <v>1098</v>
      </c>
      <c r="D314" s="132" t="s">
        <v>49</v>
      </c>
      <c r="E314" s="132">
        <v>0.54</v>
      </c>
      <c r="F314" s="946">
        <f>F310*E314</f>
        <v>3.7260000000000004</v>
      </c>
      <c r="G314" s="729"/>
      <c r="H314" s="729">
        <f t="shared" si="16"/>
        <v>0</v>
      </c>
      <c r="I314" s="729"/>
      <c r="J314" s="729">
        <f t="shared" si="17"/>
        <v>0</v>
      </c>
      <c r="K314" s="729"/>
      <c r="L314" s="729">
        <f t="shared" si="18"/>
        <v>0</v>
      </c>
      <c r="M314" s="729">
        <f t="shared" si="19"/>
        <v>0</v>
      </c>
    </row>
    <row r="315" spans="1:13" ht="15.75">
      <c r="A315" s="844"/>
      <c r="B315" s="629"/>
      <c r="C315" s="623" t="s">
        <v>965</v>
      </c>
      <c r="D315" s="132" t="s">
        <v>45</v>
      </c>
      <c r="E315" s="132">
        <v>0.017</v>
      </c>
      <c r="F315" s="946">
        <f>F310*E315</f>
        <v>0.11730000000000002</v>
      </c>
      <c r="G315" s="729"/>
      <c r="H315" s="729">
        <f t="shared" si="16"/>
        <v>0</v>
      </c>
      <c r="I315" s="729"/>
      <c r="J315" s="729">
        <f t="shared" si="17"/>
        <v>0</v>
      </c>
      <c r="K315" s="729"/>
      <c r="L315" s="729">
        <f t="shared" si="18"/>
        <v>0</v>
      </c>
      <c r="M315" s="729">
        <f t="shared" si="19"/>
        <v>0</v>
      </c>
    </row>
    <row r="316" spans="1:13" ht="14.25">
      <c r="A316" s="844"/>
      <c r="B316" s="844"/>
      <c r="C316" s="974" t="s">
        <v>0</v>
      </c>
      <c r="D316" s="132"/>
      <c r="E316" s="132"/>
      <c r="F316" s="975"/>
      <c r="G316" s="976"/>
      <c r="H316" s="977">
        <f>SUM(H10:H315)</f>
        <v>0</v>
      </c>
      <c r="I316" s="977"/>
      <c r="J316" s="977">
        <f>SUM(J10:J315)</f>
        <v>0</v>
      </c>
      <c r="K316" s="977"/>
      <c r="L316" s="977">
        <f>SUM(L10:L315)</f>
        <v>0</v>
      </c>
      <c r="M316" s="977">
        <f>H316+J316+L316</f>
        <v>0</v>
      </c>
    </row>
    <row r="317" spans="1:13" ht="15.75">
      <c r="A317" s="634"/>
      <c r="B317" s="634"/>
      <c r="C317" s="978" t="s">
        <v>1099</v>
      </c>
      <c r="D317" s="979">
        <v>0</v>
      </c>
      <c r="E317" s="980"/>
      <c r="F317" s="981"/>
      <c r="G317" s="729"/>
      <c r="H317" s="729"/>
      <c r="I317" s="729"/>
      <c r="J317" s="729"/>
      <c r="K317" s="729"/>
      <c r="L317" s="729"/>
      <c r="M317" s="668">
        <f>M316*0.1</f>
        <v>0</v>
      </c>
    </row>
    <row r="318" spans="1:13" ht="15.75">
      <c r="A318" s="634"/>
      <c r="B318" s="634"/>
      <c r="C318" s="978" t="s">
        <v>0</v>
      </c>
      <c r="D318" s="980"/>
      <c r="E318" s="980"/>
      <c r="F318" s="981"/>
      <c r="G318" s="729"/>
      <c r="H318" s="729"/>
      <c r="I318" s="729"/>
      <c r="J318" s="729"/>
      <c r="K318" s="729"/>
      <c r="L318" s="729"/>
      <c r="M318" s="668">
        <f>SUM(M316:M317)</f>
        <v>0</v>
      </c>
    </row>
    <row r="319" spans="1:13" ht="14.25">
      <c r="A319" s="634"/>
      <c r="B319" s="634"/>
      <c r="C319" s="978" t="s">
        <v>1100</v>
      </c>
      <c r="D319" s="979">
        <v>0</v>
      </c>
      <c r="E319" s="980"/>
      <c r="F319" s="981"/>
      <c r="G319" s="668"/>
      <c r="H319" s="668"/>
      <c r="I319" s="668"/>
      <c r="J319" s="668"/>
      <c r="K319" s="668"/>
      <c r="L319" s="668"/>
      <c r="M319" s="668">
        <f>M318*0.08</f>
        <v>0</v>
      </c>
    </row>
    <row r="320" spans="1:13" ht="15.75">
      <c r="A320" s="634"/>
      <c r="B320" s="963"/>
      <c r="C320" s="982" t="s">
        <v>0</v>
      </c>
      <c r="D320" s="965"/>
      <c r="E320" s="965"/>
      <c r="F320" s="966"/>
      <c r="G320" s="967"/>
      <c r="H320" s="967"/>
      <c r="I320" s="967"/>
      <c r="J320" s="967"/>
      <c r="K320" s="967"/>
      <c r="L320" s="967"/>
      <c r="M320" s="668">
        <f>SUM(M318:M319)</f>
        <v>0</v>
      </c>
    </row>
  </sheetData>
  <sheetProtection/>
  <mergeCells count="13">
    <mergeCell ref="I5:J5"/>
    <mergeCell ref="K5:L5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landscape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30"/>
  <sheetViews>
    <sheetView view="pageBreakPreview" zoomScaleSheetLayoutView="100" zoomScalePageLayoutView="0" workbookViewId="0" topLeftCell="A115">
      <selection activeCell="A132" sqref="A132:IV132"/>
    </sheetView>
  </sheetViews>
  <sheetFormatPr defaultColWidth="9.140625" defaultRowHeight="15"/>
  <cols>
    <col min="1" max="1" width="3.00390625" style="983" customWidth="1"/>
    <col min="2" max="2" width="7.28125" style="983" customWidth="1"/>
    <col min="3" max="3" width="44.8515625" style="984" customWidth="1"/>
    <col min="4" max="4" width="7.140625" style="847" customWidth="1"/>
    <col min="5" max="5" width="7.8515625" style="847" customWidth="1"/>
    <col min="6" max="6" width="8.7109375" style="847" customWidth="1"/>
    <col min="7" max="7" width="7.140625" style="847" customWidth="1"/>
    <col min="8" max="8" width="10.57421875" style="985" customWidth="1"/>
    <col min="9" max="9" width="7.140625" style="847" customWidth="1"/>
    <col min="10" max="10" width="10.57421875" style="847" customWidth="1"/>
    <col min="11" max="11" width="5.28125" style="847" customWidth="1"/>
    <col min="12" max="12" width="7.421875" style="847" customWidth="1"/>
    <col min="13" max="13" width="11.8515625" style="847" customWidth="1"/>
    <col min="14" max="16" width="9.140625" style="847" hidden="1" customWidth="1"/>
    <col min="17" max="16384" width="9.140625" style="847" customWidth="1"/>
  </cols>
  <sheetData>
    <row r="1" spans="1:13" ht="66.75" customHeight="1">
      <c r="A1" s="1138" t="s">
        <v>1218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42" customFormat="1" ht="19.5" customHeight="1">
      <c r="A2" s="1139" t="s">
        <v>1179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</row>
    <row r="3" spans="1:13" s="942" customFormat="1" ht="19.5" customHeight="1">
      <c r="A3" s="1139" t="s">
        <v>1102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</row>
    <row r="4" spans="1:13" s="105" customFormat="1" ht="30" customHeight="1">
      <c r="A4" s="1141" t="s">
        <v>931</v>
      </c>
      <c r="B4" s="1142" t="s">
        <v>72</v>
      </c>
      <c r="C4" s="1142" t="s">
        <v>932</v>
      </c>
      <c r="D4" s="1142" t="s">
        <v>77</v>
      </c>
      <c r="E4" s="1144" t="s">
        <v>612</v>
      </c>
      <c r="F4" s="1145"/>
      <c r="G4" s="1144" t="s">
        <v>75</v>
      </c>
      <c r="H4" s="1145"/>
      <c r="I4" s="1144" t="s">
        <v>74</v>
      </c>
      <c r="J4" s="1145"/>
      <c r="K4" s="1144" t="s">
        <v>933</v>
      </c>
      <c r="L4" s="1145"/>
      <c r="M4" s="1142" t="s">
        <v>0</v>
      </c>
    </row>
    <row r="5" spans="1:13" s="105" customFormat="1" ht="54">
      <c r="A5" s="1141"/>
      <c r="B5" s="1143"/>
      <c r="C5" s="1143"/>
      <c r="D5" s="1143"/>
      <c r="E5" s="943" t="s">
        <v>84</v>
      </c>
      <c r="F5" s="943" t="s">
        <v>79</v>
      </c>
      <c r="G5" s="943" t="s">
        <v>80</v>
      </c>
      <c r="H5" s="943" t="s">
        <v>0</v>
      </c>
      <c r="I5" s="943" t="s">
        <v>80</v>
      </c>
      <c r="J5" s="943" t="s">
        <v>0</v>
      </c>
      <c r="K5" s="943" t="s">
        <v>80</v>
      </c>
      <c r="L5" s="943" t="s">
        <v>0</v>
      </c>
      <c r="M5" s="1143"/>
    </row>
    <row r="6" spans="1:13" ht="15.75">
      <c r="A6" s="944">
        <v>1</v>
      </c>
      <c r="B6" s="944">
        <v>2</v>
      </c>
      <c r="C6" s="944">
        <v>3</v>
      </c>
      <c r="D6" s="944">
        <v>4</v>
      </c>
      <c r="E6" s="944">
        <v>5</v>
      </c>
      <c r="F6" s="944">
        <v>6</v>
      </c>
      <c r="G6" s="944">
        <v>7</v>
      </c>
      <c r="H6" s="944">
        <v>8</v>
      </c>
      <c r="I6" s="944">
        <v>9</v>
      </c>
      <c r="J6" s="944">
        <v>10</v>
      </c>
      <c r="K6" s="944">
        <v>11</v>
      </c>
      <c r="L6" s="944">
        <v>12</v>
      </c>
      <c r="M6" s="944">
        <v>13</v>
      </c>
    </row>
    <row r="7" spans="1:13" ht="63">
      <c r="A7" s="944"/>
      <c r="B7" s="944"/>
      <c r="C7" s="945" t="s">
        <v>1103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</row>
    <row r="8" spans="1:13" ht="18">
      <c r="A8" s="944"/>
      <c r="B8" s="944"/>
      <c r="C8" s="986" t="s">
        <v>1104</v>
      </c>
      <c r="D8" s="944"/>
      <c r="E8" s="944"/>
      <c r="F8" s="944"/>
      <c r="G8" s="944"/>
      <c r="H8" s="944"/>
      <c r="I8" s="944"/>
      <c r="J8" s="944"/>
      <c r="K8" s="944"/>
      <c r="L8" s="944"/>
      <c r="M8" s="944"/>
    </row>
    <row r="9" spans="1:13" ht="40.5">
      <c r="A9" s="844">
        <v>1</v>
      </c>
      <c r="B9" s="987" t="s">
        <v>1105</v>
      </c>
      <c r="C9" s="623" t="s">
        <v>1106</v>
      </c>
      <c r="D9" s="988" t="s">
        <v>468</v>
      </c>
      <c r="E9" s="634"/>
      <c r="F9" s="729">
        <v>2</v>
      </c>
      <c r="G9" s="729"/>
      <c r="H9" s="729">
        <f aca="true" t="shared" si="0" ref="H9:H72">F9*G9</f>
        <v>0</v>
      </c>
      <c r="I9" s="729"/>
      <c r="J9" s="729">
        <f aca="true" t="shared" si="1" ref="J9:J72">F9*I9</f>
        <v>0</v>
      </c>
      <c r="K9" s="729"/>
      <c r="L9" s="729">
        <f aca="true" t="shared" si="2" ref="L9:L72">F9*K9</f>
        <v>0</v>
      </c>
      <c r="M9" s="729">
        <f aca="true" t="shared" si="3" ref="M9:M72">H9+J9+L9</f>
        <v>0</v>
      </c>
    </row>
    <row r="10" spans="1:13" s="638" customFormat="1" ht="13.5">
      <c r="A10" s="989"/>
      <c r="B10" s="987"/>
      <c r="C10" s="990" t="s">
        <v>955</v>
      </c>
      <c r="D10" s="991" t="s">
        <v>31</v>
      </c>
      <c r="E10" s="991">
        <v>1</v>
      </c>
      <c r="F10" s="992">
        <f>F9*E10</f>
        <v>2</v>
      </c>
      <c r="G10" s="868"/>
      <c r="H10" s="729">
        <f t="shared" si="0"/>
        <v>0</v>
      </c>
      <c r="I10" s="962"/>
      <c r="J10" s="729">
        <f t="shared" si="1"/>
        <v>0</v>
      </c>
      <c r="K10" s="962"/>
      <c r="L10" s="729">
        <f t="shared" si="2"/>
        <v>0</v>
      </c>
      <c r="M10" s="729">
        <f t="shared" si="3"/>
        <v>0</v>
      </c>
    </row>
    <row r="11" spans="1:13" s="638" customFormat="1" ht="13.5">
      <c r="A11" s="989"/>
      <c r="B11" s="987"/>
      <c r="C11" s="990" t="s">
        <v>44</v>
      </c>
      <c r="D11" s="991" t="s">
        <v>45</v>
      </c>
      <c r="E11" s="991">
        <v>0.0001</v>
      </c>
      <c r="F11" s="992">
        <f>F9*E11</f>
        <v>0.0002</v>
      </c>
      <c r="G11" s="868"/>
      <c r="H11" s="729">
        <f t="shared" si="0"/>
        <v>0</v>
      </c>
      <c r="I11" s="962"/>
      <c r="J11" s="729">
        <f t="shared" si="1"/>
        <v>0</v>
      </c>
      <c r="K11" s="962"/>
      <c r="L11" s="729">
        <f t="shared" si="2"/>
        <v>0</v>
      </c>
      <c r="M11" s="729">
        <f t="shared" si="3"/>
        <v>0</v>
      </c>
    </row>
    <row r="12" spans="1:13" ht="40.5">
      <c r="A12" s="844">
        <v>2</v>
      </c>
      <c r="B12" s="987" t="s">
        <v>1107</v>
      </c>
      <c r="C12" s="623" t="s">
        <v>1108</v>
      </c>
      <c r="D12" s="988" t="s">
        <v>468</v>
      </c>
      <c r="E12" s="634"/>
      <c r="F12" s="947">
        <v>2</v>
      </c>
      <c r="G12" s="729"/>
      <c r="H12" s="729">
        <f t="shared" si="0"/>
        <v>0</v>
      </c>
      <c r="I12" s="729"/>
      <c r="J12" s="729">
        <f t="shared" si="1"/>
        <v>0</v>
      </c>
      <c r="K12" s="729"/>
      <c r="L12" s="729">
        <f t="shared" si="2"/>
        <v>0</v>
      </c>
      <c r="M12" s="729">
        <f t="shared" si="3"/>
        <v>0</v>
      </c>
    </row>
    <row r="13" spans="1:13" s="638" customFormat="1" ht="13.5">
      <c r="A13" s="989"/>
      <c r="B13" s="987"/>
      <c r="C13" s="990" t="s">
        <v>955</v>
      </c>
      <c r="D13" s="991" t="s">
        <v>31</v>
      </c>
      <c r="E13" s="991">
        <v>0.45</v>
      </c>
      <c r="F13" s="992">
        <f>F12*E13</f>
        <v>0.9</v>
      </c>
      <c r="G13" s="868"/>
      <c r="H13" s="729">
        <f t="shared" si="0"/>
        <v>0</v>
      </c>
      <c r="I13" s="962"/>
      <c r="J13" s="729">
        <f t="shared" si="1"/>
        <v>0</v>
      </c>
      <c r="K13" s="962"/>
      <c r="L13" s="729">
        <f t="shared" si="2"/>
        <v>0</v>
      </c>
      <c r="M13" s="729">
        <f t="shared" si="3"/>
        <v>0</v>
      </c>
    </row>
    <row r="14" spans="1:13" s="638" customFormat="1" ht="13.5">
      <c r="A14" s="989"/>
      <c r="B14" s="987"/>
      <c r="C14" s="990" t="s">
        <v>44</v>
      </c>
      <c r="D14" s="991" t="s">
        <v>45</v>
      </c>
      <c r="E14" s="991">
        <v>0.0001</v>
      </c>
      <c r="F14" s="992">
        <f>F12*E14</f>
        <v>0.0002</v>
      </c>
      <c r="G14" s="868"/>
      <c r="H14" s="729">
        <f t="shared" si="0"/>
        <v>0</v>
      </c>
      <c r="I14" s="962"/>
      <c r="J14" s="729">
        <f t="shared" si="1"/>
        <v>0</v>
      </c>
      <c r="K14" s="962"/>
      <c r="L14" s="729">
        <f t="shared" si="2"/>
        <v>0</v>
      </c>
      <c r="M14" s="729">
        <f t="shared" si="3"/>
        <v>0</v>
      </c>
    </row>
    <row r="15" spans="1:13" ht="40.5">
      <c r="A15" s="844">
        <v>3</v>
      </c>
      <c r="B15" s="987" t="s">
        <v>1109</v>
      </c>
      <c r="C15" s="623" t="s">
        <v>1110</v>
      </c>
      <c r="D15" s="634" t="s">
        <v>484</v>
      </c>
      <c r="E15" s="634"/>
      <c r="F15" s="947">
        <v>2</v>
      </c>
      <c r="G15" s="729"/>
      <c r="H15" s="729">
        <f t="shared" si="0"/>
        <v>0</v>
      </c>
      <c r="I15" s="729"/>
      <c r="J15" s="729">
        <f t="shared" si="1"/>
        <v>0</v>
      </c>
      <c r="K15" s="729"/>
      <c r="L15" s="729">
        <f t="shared" si="2"/>
        <v>0</v>
      </c>
      <c r="M15" s="729">
        <f t="shared" si="3"/>
        <v>0</v>
      </c>
    </row>
    <row r="16" spans="1:13" s="638" customFormat="1" ht="13.5">
      <c r="A16" s="989"/>
      <c r="B16" s="987"/>
      <c r="C16" s="990" t="s">
        <v>955</v>
      </c>
      <c r="D16" s="991" t="s">
        <v>31</v>
      </c>
      <c r="E16" s="991">
        <v>0.5</v>
      </c>
      <c r="F16" s="992">
        <f>F15*E16</f>
        <v>1</v>
      </c>
      <c r="G16" s="868"/>
      <c r="H16" s="729">
        <f t="shared" si="0"/>
        <v>0</v>
      </c>
      <c r="I16" s="962"/>
      <c r="J16" s="729">
        <f t="shared" si="1"/>
        <v>0</v>
      </c>
      <c r="K16" s="962"/>
      <c r="L16" s="729">
        <f t="shared" si="2"/>
        <v>0</v>
      </c>
      <c r="M16" s="729">
        <f t="shared" si="3"/>
        <v>0</v>
      </c>
    </row>
    <row r="17" spans="1:13" s="638" customFormat="1" ht="13.5">
      <c r="A17" s="989"/>
      <c r="B17" s="987"/>
      <c r="C17" s="990" t="s">
        <v>44</v>
      </c>
      <c r="D17" s="991" t="s">
        <v>45</v>
      </c>
      <c r="E17" s="991">
        <v>0.0001</v>
      </c>
      <c r="F17" s="992">
        <f>F15*E17</f>
        <v>0.0002</v>
      </c>
      <c r="G17" s="868"/>
      <c r="H17" s="729">
        <f t="shared" si="0"/>
        <v>0</v>
      </c>
      <c r="I17" s="962"/>
      <c r="J17" s="729">
        <f t="shared" si="1"/>
        <v>0</v>
      </c>
      <c r="K17" s="962"/>
      <c r="L17" s="729">
        <f t="shared" si="2"/>
        <v>0</v>
      </c>
      <c r="M17" s="729">
        <f t="shared" si="3"/>
        <v>0</v>
      </c>
    </row>
    <row r="18" spans="1:13" ht="36" customHeight="1">
      <c r="A18" s="844">
        <v>4</v>
      </c>
      <c r="B18" s="987" t="s">
        <v>1111</v>
      </c>
      <c r="C18" s="623" t="s">
        <v>1112</v>
      </c>
      <c r="D18" s="696" t="s">
        <v>484</v>
      </c>
      <c r="E18" s="634"/>
      <c r="F18" s="947">
        <v>6</v>
      </c>
      <c r="G18" s="729"/>
      <c r="H18" s="729">
        <f t="shared" si="0"/>
        <v>0</v>
      </c>
      <c r="I18" s="729"/>
      <c r="J18" s="729">
        <f t="shared" si="1"/>
        <v>0</v>
      </c>
      <c r="K18" s="729"/>
      <c r="L18" s="729">
        <f t="shared" si="2"/>
        <v>0</v>
      </c>
      <c r="M18" s="729">
        <f t="shared" si="3"/>
        <v>0</v>
      </c>
    </row>
    <row r="19" spans="1:13" s="638" customFormat="1" ht="13.5">
      <c r="A19" s="989"/>
      <c r="B19" s="987"/>
      <c r="C19" s="990" t="s">
        <v>955</v>
      </c>
      <c r="D19" s="991" t="s">
        <v>31</v>
      </c>
      <c r="E19" s="991">
        <v>0.038</v>
      </c>
      <c r="F19" s="992">
        <f>F18*E19</f>
        <v>0.22799999999999998</v>
      </c>
      <c r="G19" s="868"/>
      <c r="H19" s="729">
        <f t="shared" si="0"/>
        <v>0</v>
      </c>
      <c r="I19" s="962"/>
      <c r="J19" s="729">
        <f t="shared" si="1"/>
        <v>0</v>
      </c>
      <c r="K19" s="962"/>
      <c r="L19" s="729">
        <f t="shared" si="2"/>
        <v>0</v>
      </c>
      <c r="M19" s="729">
        <f t="shared" si="3"/>
        <v>0</v>
      </c>
    </row>
    <row r="20" spans="1:13" s="638" customFormat="1" ht="13.5">
      <c r="A20" s="989"/>
      <c r="B20" s="987"/>
      <c r="C20" s="990" t="s">
        <v>44</v>
      </c>
      <c r="D20" s="991" t="s">
        <v>45</v>
      </c>
      <c r="E20" s="991">
        <v>0.0001</v>
      </c>
      <c r="F20" s="992">
        <f>F18*E20</f>
        <v>0.0006000000000000001</v>
      </c>
      <c r="G20" s="868"/>
      <c r="H20" s="729">
        <f t="shared" si="0"/>
        <v>0</v>
      </c>
      <c r="I20" s="962"/>
      <c r="J20" s="729">
        <f t="shared" si="1"/>
        <v>0</v>
      </c>
      <c r="K20" s="962"/>
      <c r="L20" s="729">
        <f t="shared" si="2"/>
        <v>0</v>
      </c>
      <c r="M20" s="729">
        <f t="shared" si="3"/>
        <v>0</v>
      </c>
    </row>
    <row r="21" spans="1:13" ht="32.25" customHeight="1">
      <c r="A21" s="844">
        <v>5</v>
      </c>
      <c r="B21" s="987" t="s">
        <v>1113</v>
      </c>
      <c r="C21" s="623" t="s">
        <v>1114</v>
      </c>
      <c r="D21" s="696" t="s">
        <v>1115</v>
      </c>
      <c r="E21" s="634"/>
      <c r="F21" s="947">
        <v>30</v>
      </c>
      <c r="G21" s="729"/>
      <c r="H21" s="729">
        <f t="shared" si="0"/>
        <v>0</v>
      </c>
      <c r="I21" s="729"/>
      <c r="J21" s="729">
        <f t="shared" si="1"/>
        <v>0</v>
      </c>
      <c r="K21" s="729"/>
      <c r="L21" s="729">
        <f t="shared" si="2"/>
        <v>0</v>
      </c>
      <c r="M21" s="729">
        <f t="shared" si="3"/>
        <v>0</v>
      </c>
    </row>
    <row r="22" spans="1:13" s="638" customFormat="1" ht="13.5">
      <c r="A22" s="989"/>
      <c r="B22" s="987"/>
      <c r="C22" s="990" t="s">
        <v>955</v>
      </c>
      <c r="D22" s="991" t="s">
        <v>31</v>
      </c>
      <c r="E22" s="991">
        <v>0.304</v>
      </c>
      <c r="F22" s="992">
        <f>F21*E22</f>
        <v>9.12</v>
      </c>
      <c r="G22" s="868"/>
      <c r="H22" s="729">
        <f t="shared" si="0"/>
        <v>0</v>
      </c>
      <c r="I22" s="962"/>
      <c r="J22" s="729">
        <f t="shared" si="1"/>
        <v>0</v>
      </c>
      <c r="K22" s="962"/>
      <c r="L22" s="729">
        <f t="shared" si="2"/>
        <v>0</v>
      </c>
      <c r="M22" s="729">
        <f t="shared" si="3"/>
        <v>0</v>
      </c>
    </row>
    <row r="23" spans="1:13" s="638" customFormat="1" ht="13.5">
      <c r="A23" s="989"/>
      <c r="B23" s="987"/>
      <c r="C23" s="990" t="s">
        <v>44</v>
      </c>
      <c r="D23" s="991" t="s">
        <v>45</v>
      </c>
      <c r="E23" s="991">
        <v>0.0012</v>
      </c>
      <c r="F23" s="992">
        <f>F21*E23</f>
        <v>0.036</v>
      </c>
      <c r="G23" s="868"/>
      <c r="H23" s="729">
        <f t="shared" si="0"/>
        <v>0</v>
      </c>
      <c r="I23" s="962"/>
      <c r="J23" s="729">
        <f t="shared" si="1"/>
        <v>0</v>
      </c>
      <c r="K23" s="962"/>
      <c r="L23" s="729">
        <f t="shared" si="2"/>
        <v>0</v>
      </c>
      <c r="M23" s="729">
        <f t="shared" si="3"/>
        <v>0</v>
      </c>
    </row>
    <row r="24" spans="1:13" ht="40.5">
      <c r="A24" s="844">
        <v>6</v>
      </c>
      <c r="B24" s="987" t="s">
        <v>1116</v>
      </c>
      <c r="C24" s="623" t="s">
        <v>1117</v>
      </c>
      <c r="D24" s="634" t="s">
        <v>1115</v>
      </c>
      <c r="E24" s="634"/>
      <c r="F24" s="947">
        <v>15</v>
      </c>
      <c r="G24" s="729"/>
      <c r="H24" s="729">
        <f t="shared" si="0"/>
        <v>0</v>
      </c>
      <c r="I24" s="729"/>
      <c r="J24" s="729">
        <f t="shared" si="1"/>
        <v>0</v>
      </c>
      <c r="K24" s="729"/>
      <c r="L24" s="729">
        <f t="shared" si="2"/>
        <v>0</v>
      </c>
      <c r="M24" s="729">
        <f t="shared" si="3"/>
        <v>0</v>
      </c>
    </row>
    <row r="25" spans="1:13" s="638" customFormat="1" ht="13.5">
      <c r="A25" s="989"/>
      <c r="B25" s="987"/>
      <c r="C25" s="990" t="s">
        <v>955</v>
      </c>
      <c r="D25" s="991" t="s">
        <v>31</v>
      </c>
      <c r="E25" s="991">
        <v>0.77</v>
      </c>
      <c r="F25" s="992">
        <f>F24*E25</f>
        <v>11.55</v>
      </c>
      <c r="G25" s="868"/>
      <c r="H25" s="729">
        <f t="shared" si="0"/>
        <v>0</v>
      </c>
      <c r="I25" s="962"/>
      <c r="J25" s="729">
        <f t="shared" si="1"/>
        <v>0</v>
      </c>
      <c r="K25" s="962"/>
      <c r="L25" s="729">
        <f t="shared" si="2"/>
        <v>0</v>
      </c>
      <c r="M25" s="729">
        <f t="shared" si="3"/>
        <v>0</v>
      </c>
    </row>
    <row r="26" spans="1:13" s="638" customFormat="1" ht="13.5">
      <c r="A26" s="989"/>
      <c r="B26" s="987"/>
      <c r="C26" s="990" t="s">
        <v>44</v>
      </c>
      <c r="D26" s="991" t="s">
        <v>45</v>
      </c>
      <c r="E26" s="991">
        <v>0.0039</v>
      </c>
      <c r="F26" s="992">
        <f>F24*E26</f>
        <v>0.058499999999999996</v>
      </c>
      <c r="G26" s="868"/>
      <c r="H26" s="729">
        <f t="shared" si="0"/>
        <v>0</v>
      </c>
      <c r="I26" s="962"/>
      <c r="J26" s="729">
        <f t="shared" si="1"/>
        <v>0</v>
      </c>
      <c r="K26" s="962"/>
      <c r="L26" s="729">
        <f t="shared" si="2"/>
        <v>0</v>
      </c>
      <c r="M26" s="729">
        <f t="shared" si="3"/>
        <v>0</v>
      </c>
    </row>
    <row r="27" spans="1:13" s="638" customFormat="1" ht="18">
      <c r="A27" s="993"/>
      <c r="B27" s="987"/>
      <c r="C27" s="986" t="s">
        <v>1118</v>
      </c>
      <c r="D27" s="988"/>
      <c r="E27" s="994"/>
      <c r="F27" s="994"/>
      <c r="G27" s="868"/>
      <c r="H27" s="729">
        <f t="shared" si="0"/>
        <v>0</v>
      </c>
      <c r="I27" s="962"/>
      <c r="J27" s="729">
        <f t="shared" si="1"/>
        <v>0</v>
      </c>
      <c r="K27" s="962"/>
      <c r="L27" s="729">
        <f t="shared" si="2"/>
        <v>0</v>
      </c>
      <c r="M27" s="729">
        <f t="shared" si="3"/>
        <v>0</v>
      </c>
    </row>
    <row r="28" spans="1:13" s="638" customFormat="1" ht="54">
      <c r="A28" s="995">
        <v>1</v>
      </c>
      <c r="B28" s="987" t="s">
        <v>1119</v>
      </c>
      <c r="C28" s="996" t="s">
        <v>1120</v>
      </c>
      <c r="D28" s="988" t="s">
        <v>468</v>
      </c>
      <c r="E28" s="994"/>
      <c r="F28" s="997">
        <v>4</v>
      </c>
      <c r="G28" s="868"/>
      <c r="H28" s="729">
        <f t="shared" si="0"/>
        <v>0</v>
      </c>
      <c r="I28" s="962"/>
      <c r="J28" s="729">
        <f t="shared" si="1"/>
        <v>0</v>
      </c>
      <c r="K28" s="962"/>
      <c r="L28" s="729">
        <f t="shared" si="2"/>
        <v>0</v>
      </c>
      <c r="M28" s="729">
        <f t="shared" si="3"/>
        <v>0</v>
      </c>
    </row>
    <row r="29" spans="1:13" s="638" customFormat="1" ht="25.5" customHeight="1">
      <c r="A29" s="989"/>
      <c r="B29" s="987" t="s">
        <v>1121</v>
      </c>
      <c r="C29" s="990" t="s">
        <v>955</v>
      </c>
      <c r="D29" s="988" t="s">
        <v>468</v>
      </c>
      <c r="E29" s="991">
        <v>1</v>
      </c>
      <c r="F29" s="992">
        <f>F28*E29</f>
        <v>4</v>
      </c>
      <c r="G29" s="868"/>
      <c r="H29" s="729">
        <f t="shared" si="0"/>
        <v>0</v>
      </c>
      <c r="I29" s="962"/>
      <c r="J29" s="729">
        <f t="shared" si="1"/>
        <v>0</v>
      </c>
      <c r="K29" s="962"/>
      <c r="L29" s="729">
        <f t="shared" si="2"/>
        <v>0</v>
      </c>
      <c r="M29" s="729">
        <f t="shared" si="3"/>
        <v>0</v>
      </c>
    </row>
    <row r="30" spans="1:13" s="638" customFormat="1" ht="13.5">
      <c r="A30" s="989"/>
      <c r="B30" s="987"/>
      <c r="C30" s="990" t="s">
        <v>44</v>
      </c>
      <c r="D30" s="991" t="s">
        <v>45</v>
      </c>
      <c r="E30" s="991">
        <v>0.07</v>
      </c>
      <c r="F30" s="992">
        <f>F28*E30</f>
        <v>0.28</v>
      </c>
      <c r="G30" s="868"/>
      <c r="H30" s="729">
        <f t="shared" si="0"/>
        <v>0</v>
      </c>
      <c r="I30" s="962"/>
      <c r="J30" s="729">
        <f t="shared" si="1"/>
        <v>0</v>
      </c>
      <c r="K30" s="962"/>
      <c r="L30" s="729">
        <f t="shared" si="2"/>
        <v>0</v>
      </c>
      <c r="M30" s="729">
        <f t="shared" si="3"/>
        <v>0</v>
      </c>
    </row>
    <row r="31" spans="1:13" s="957" customFormat="1" ht="36">
      <c r="A31" s="998"/>
      <c r="B31" s="987"/>
      <c r="C31" s="996" t="s">
        <v>1120</v>
      </c>
      <c r="D31" s="998" t="s">
        <v>468</v>
      </c>
      <c r="E31" s="998">
        <v>1</v>
      </c>
      <c r="F31" s="999">
        <f>F28*E31</f>
        <v>4</v>
      </c>
      <c r="G31" s="868"/>
      <c r="H31" s="729">
        <f t="shared" si="0"/>
        <v>0</v>
      </c>
      <c r="I31" s="956"/>
      <c r="J31" s="729">
        <f t="shared" si="1"/>
        <v>0</v>
      </c>
      <c r="K31" s="962"/>
      <c r="L31" s="729">
        <f t="shared" si="2"/>
        <v>0</v>
      </c>
      <c r="M31" s="729">
        <f t="shared" si="3"/>
        <v>0</v>
      </c>
    </row>
    <row r="32" spans="1:13" s="957" customFormat="1" ht="15">
      <c r="A32" s="998"/>
      <c r="B32" s="987"/>
      <c r="C32" s="1000" t="s">
        <v>961</v>
      </c>
      <c r="D32" s="998" t="s">
        <v>32</v>
      </c>
      <c r="E32" s="998">
        <v>0.37</v>
      </c>
      <c r="F32" s="999">
        <f>F28*E32</f>
        <v>1.48</v>
      </c>
      <c r="G32" s="868"/>
      <c r="H32" s="729">
        <f t="shared" si="0"/>
        <v>0</v>
      </c>
      <c r="I32" s="956"/>
      <c r="J32" s="729">
        <f t="shared" si="1"/>
        <v>0</v>
      </c>
      <c r="K32" s="962"/>
      <c r="L32" s="729">
        <f t="shared" si="2"/>
        <v>0</v>
      </c>
      <c r="M32" s="729">
        <f t="shared" si="3"/>
        <v>0</v>
      </c>
    </row>
    <row r="33" spans="1:13" s="638" customFormat="1" ht="54">
      <c r="A33" s="995">
        <v>2</v>
      </c>
      <c r="B33" s="987" t="s">
        <v>1122</v>
      </c>
      <c r="C33" s="996" t="s">
        <v>1123</v>
      </c>
      <c r="D33" s="988" t="s">
        <v>468</v>
      </c>
      <c r="E33" s="994"/>
      <c r="F33" s="997">
        <v>4</v>
      </c>
      <c r="G33" s="868"/>
      <c r="H33" s="729">
        <f t="shared" si="0"/>
        <v>0</v>
      </c>
      <c r="I33" s="962"/>
      <c r="J33" s="729">
        <f t="shared" si="1"/>
        <v>0</v>
      </c>
      <c r="K33" s="962"/>
      <c r="L33" s="729">
        <f t="shared" si="2"/>
        <v>0</v>
      </c>
      <c r="M33" s="729">
        <f t="shared" si="3"/>
        <v>0</v>
      </c>
    </row>
    <row r="34" spans="1:13" s="638" customFormat="1" ht="25.5" customHeight="1">
      <c r="A34" s="989"/>
      <c r="B34" s="987" t="s">
        <v>1121</v>
      </c>
      <c r="C34" s="990" t="s">
        <v>955</v>
      </c>
      <c r="D34" s="988" t="s">
        <v>468</v>
      </c>
      <c r="E34" s="991">
        <v>1</v>
      </c>
      <c r="F34" s="992">
        <f>F33*E34</f>
        <v>4</v>
      </c>
      <c r="G34" s="868"/>
      <c r="H34" s="729">
        <f t="shared" si="0"/>
        <v>0</v>
      </c>
      <c r="I34" s="962"/>
      <c r="J34" s="729">
        <f t="shared" si="1"/>
        <v>0</v>
      </c>
      <c r="K34" s="962"/>
      <c r="L34" s="729">
        <f t="shared" si="2"/>
        <v>0</v>
      </c>
      <c r="M34" s="729">
        <f t="shared" si="3"/>
        <v>0</v>
      </c>
    </row>
    <row r="35" spans="1:13" s="638" customFormat="1" ht="13.5">
      <c r="A35" s="989"/>
      <c r="B35" s="987"/>
      <c r="C35" s="990" t="s">
        <v>44</v>
      </c>
      <c r="D35" s="991" t="s">
        <v>45</v>
      </c>
      <c r="E35" s="991">
        <v>0.13</v>
      </c>
      <c r="F35" s="992">
        <f>F33*E35</f>
        <v>0.52</v>
      </c>
      <c r="G35" s="868"/>
      <c r="H35" s="729">
        <f t="shared" si="0"/>
        <v>0</v>
      </c>
      <c r="I35" s="962"/>
      <c r="J35" s="729">
        <f t="shared" si="1"/>
        <v>0</v>
      </c>
      <c r="K35" s="962"/>
      <c r="L35" s="729">
        <f t="shared" si="2"/>
        <v>0</v>
      </c>
      <c r="M35" s="729">
        <f t="shared" si="3"/>
        <v>0</v>
      </c>
    </row>
    <row r="36" spans="1:13" s="957" customFormat="1" ht="36">
      <c r="A36" s="998"/>
      <c r="B36" s="987"/>
      <c r="C36" s="996" t="s">
        <v>1123</v>
      </c>
      <c r="D36" s="998" t="s">
        <v>468</v>
      </c>
      <c r="E36" s="998">
        <v>1</v>
      </c>
      <c r="F36" s="999">
        <f>F33*E36</f>
        <v>4</v>
      </c>
      <c r="G36" s="868"/>
      <c r="H36" s="729">
        <f t="shared" si="0"/>
        <v>0</v>
      </c>
      <c r="I36" s="956"/>
      <c r="J36" s="729">
        <f t="shared" si="1"/>
        <v>0</v>
      </c>
      <c r="K36" s="962"/>
      <c r="L36" s="729">
        <f t="shared" si="2"/>
        <v>0</v>
      </c>
      <c r="M36" s="729">
        <f t="shared" si="3"/>
        <v>0</v>
      </c>
    </row>
    <row r="37" spans="1:13" s="957" customFormat="1" ht="15">
      <c r="A37" s="998"/>
      <c r="B37" s="987"/>
      <c r="C37" s="1000" t="s">
        <v>961</v>
      </c>
      <c r="D37" s="998" t="s">
        <v>32</v>
      </c>
      <c r="E37" s="998">
        <v>0.94</v>
      </c>
      <c r="F37" s="999">
        <f>F33*E37</f>
        <v>3.76</v>
      </c>
      <c r="G37" s="868"/>
      <c r="H37" s="729">
        <f t="shared" si="0"/>
        <v>0</v>
      </c>
      <c r="I37" s="956"/>
      <c r="J37" s="729">
        <f t="shared" si="1"/>
        <v>0</v>
      </c>
      <c r="K37" s="962"/>
      <c r="L37" s="729">
        <f t="shared" si="2"/>
        <v>0</v>
      </c>
      <c r="M37" s="729">
        <f t="shared" si="3"/>
        <v>0</v>
      </c>
    </row>
    <row r="38" spans="1:13" s="957" customFormat="1" ht="54">
      <c r="A38" s="995">
        <v>3</v>
      </c>
      <c r="B38" s="987" t="s">
        <v>1124</v>
      </c>
      <c r="C38" s="996" t="s">
        <v>1125</v>
      </c>
      <c r="D38" s="988" t="s">
        <v>468</v>
      </c>
      <c r="E38" s="988"/>
      <c r="F38" s="997">
        <v>6</v>
      </c>
      <c r="G38" s="868"/>
      <c r="H38" s="729">
        <f t="shared" si="0"/>
        <v>0</v>
      </c>
      <c r="I38" s="956"/>
      <c r="J38" s="729">
        <f t="shared" si="1"/>
        <v>0</v>
      </c>
      <c r="K38" s="962"/>
      <c r="L38" s="729">
        <f t="shared" si="2"/>
        <v>0</v>
      </c>
      <c r="M38" s="729">
        <f t="shared" si="3"/>
        <v>0</v>
      </c>
    </row>
    <row r="39" spans="1:13" s="638" customFormat="1" ht="13.5">
      <c r="A39" s="989"/>
      <c r="B39" s="987"/>
      <c r="C39" s="990" t="s">
        <v>955</v>
      </c>
      <c r="D39" s="991" t="s">
        <v>31</v>
      </c>
      <c r="E39" s="991">
        <v>0.46</v>
      </c>
      <c r="F39" s="992">
        <f>F38*E39</f>
        <v>2.7600000000000002</v>
      </c>
      <c r="G39" s="868"/>
      <c r="H39" s="729">
        <f t="shared" si="0"/>
        <v>0</v>
      </c>
      <c r="I39" s="962"/>
      <c r="J39" s="729">
        <f t="shared" si="1"/>
        <v>0</v>
      </c>
      <c r="K39" s="962"/>
      <c r="L39" s="729">
        <f t="shared" si="2"/>
        <v>0</v>
      </c>
      <c r="M39" s="729">
        <f t="shared" si="3"/>
        <v>0</v>
      </c>
    </row>
    <row r="40" spans="1:13" s="638" customFormat="1" ht="13.5">
      <c r="A40" s="989"/>
      <c r="B40" s="987"/>
      <c r="C40" s="990" t="s">
        <v>44</v>
      </c>
      <c r="D40" s="991" t="s">
        <v>45</v>
      </c>
      <c r="E40" s="991">
        <v>0.02</v>
      </c>
      <c r="F40" s="992">
        <f>F38*E40</f>
        <v>0.12</v>
      </c>
      <c r="G40" s="868"/>
      <c r="H40" s="729">
        <f t="shared" si="0"/>
        <v>0</v>
      </c>
      <c r="I40" s="962"/>
      <c r="J40" s="729">
        <f t="shared" si="1"/>
        <v>0</v>
      </c>
      <c r="K40" s="962"/>
      <c r="L40" s="729">
        <f t="shared" si="2"/>
        <v>0</v>
      </c>
      <c r="M40" s="729">
        <f t="shared" si="3"/>
        <v>0</v>
      </c>
    </row>
    <row r="41" spans="1:13" s="957" customFormat="1" ht="18">
      <c r="A41" s="998"/>
      <c r="B41" s="987"/>
      <c r="C41" s="996" t="s">
        <v>1125</v>
      </c>
      <c r="D41" s="998" t="s">
        <v>468</v>
      </c>
      <c r="E41" s="998">
        <v>1</v>
      </c>
      <c r="F41" s="999">
        <f>F38*E41</f>
        <v>6</v>
      </c>
      <c r="G41" s="868"/>
      <c r="H41" s="729">
        <f t="shared" si="0"/>
        <v>0</v>
      </c>
      <c r="I41" s="956"/>
      <c r="J41" s="729">
        <f t="shared" si="1"/>
        <v>0</v>
      </c>
      <c r="K41" s="962"/>
      <c r="L41" s="729">
        <f t="shared" si="2"/>
        <v>0</v>
      </c>
      <c r="M41" s="729">
        <f t="shared" si="3"/>
        <v>0</v>
      </c>
    </row>
    <row r="42" spans="1:13" s="957" customFormat="1" ht="15">
      <c r="A42" s="998"/>
      <c r="B42" s="987"/>
      <c r="C42" s="1000" t="s">
        <v>961</v>
      </c>
      <c r="D42" s="998" t="s">
        <v>32</v>
      </c>
      <c r="E42" s="998">
        <v>0.11</v>
      </c>
      <c r="F42" s="999">
        <f>F38*E42</f>
        <v>0.66</v>
      </c>
      <c r="G42" s="868"/>
      <c r="H42" s="729">
        <f t="shared" si="0"/>
        <v>0</v>
      </c>
      <c r="I42" s="956"/>
      <c r="J42" s="729">
        <f t="shared" si="1"/>
        <v>0</v>
      </c>
      <c r="K42" s="962"/>
      <c r="L42" s="729">
        <f t="shared" si="2"/>
        <v>0</v>
      </c>
      <c r="M42" s="729">
        <f t="shared" si="3"/>
        <v>0</v>
      </c>
    </row>
    <row r="43" spans="1:13" s="638" customFormat="1" ht="54">
      <c r="A43" s="995">
        <v>4</v>
      </c>
      <c r="B43" s="987" t="s">
        <v>1119</v>
      </c>
      <c r="C43" s="996" t="s">
        <v>1126</v>
      </c>
      <c r="D43" s="988" t="s">
        <v>468</v>
      </c>
      <c r="E43" s="994"/>
      <c r="F43" s="997">
        <v>2</v>
      </c>
      <c r="G43" s="868"/>
      <c r="H43" s="729">
        <f t="shared" si="0"/>
        <v>0</v>
      </c>
      <c r="I43" s="962"/>
      <c r="J43" s="729">
        <f t="shared" si="1"/>
        <v>0</v>
      </c>
      <c r="K43" s="962"/>
      <c r="L43" s="729">
        <f t="shared" si="2"/>
        <v>0</v>
      </c>
      <c r="M43" s="729">
        <f t="shared" si="3"/>
        <v>0</v>
      </c>
    </row>
    <row r="44" spans="1:13" s="638" customFormat="1" ht="27">
      <c r="A44" s="989"/>
      <c r="B44" s="987" t="s">
        <v>900</v>
      </c>
      <c r="C44" s="990" t="s">
        <v>955</v>
      </c>
      <c r="D44" s="991" t="s">
        <v>468</v>
      </c>
      <c r="E44" s="991">
        <v>1</v>
      </c>
      <c r="F44" s="992">
        <f>F43*E44</f>
        <v>2</v>
      </c>
      <c r="G44" s="868"/>
      <c r="H44" s="729">
        <f t="shared" si="0"/>
        <v>0</v>
      </c>
      <c r="I44" s="962"/>
      <c r="J44" s="729">
        <f t="shared" si="1"/>
        <v>0</v>
      </c>
      <c r="K44" s="962"/>
      <c r="L44" s="729">
        <f t="shared" si="2"/>
        <v>0</v>
      </c>
      <c r="M44" s="729">
        <f t="shared" si="3"/>
        <v>0</v>
      </c>
    </row>
    <row r="45" spans="1:13" s="638" customFormat="1" ht="13.5">
      <c r="A45" s="989"/>
      <c r="B45" s="987"/>
      <c r="C45" s="990" t="s">
        <v>44</v>
      </c>
      <c r="D45" s="991" t="s">
        <v>45</v>
      </c>
      <c r="E45" s="991">
        <v>0.07</v>
      </c>
      <c r="F45" s="992">
        <f>F43*E45</f>
        <v>0.14</v>
      </c>
      <c r="G45" s="868"/>
      <c r="H45" s="729">
        <f t="shared" si="0"/>
        <v>0</v>
      </c>
      <c r="I45" s="962"/>
      <c r="J45" s="729">
        <f t="shared" si="1"/>
        <v>0</v>
      </c>
      <c r="K45" s="962"/>
      <c r="L45" s="729">
        <f t="shared" si="2"/>
        <v>0</v>
      </c>
      <c r="M45" s="729">
        <f t="shared" si="3"/>
        <v>0</v>
      </c>
    </row>
    <row r="46" spans="1:13" s="957" customFormat="1" ht="54">
      <c r="A46" s="998"/>
      <c r="B46" s="987"/>
      <c r="C46" s="996" t="s">
        <v>1126</v>
      </c>
      <c r="D46" s="998" t="s">
        <v>468</v>
      </c>
      <c r="E46" s="998">
        <v>1</v>
      </c>
      <c r="F46" s="999">
        <f>F43*E46</f>
        <v>2</v>
      </c>
      <c r="G46" s="868"/>
      <c r="H46" s="729">
        <f t="shared" si="0"/>
        <v>0</v>
      </c>
      <c r="I46" s="956"/>
      <c r="J46" s="729">
        <f t="shared" si="1"/>
        <v>0</v>
      </c>
      <c r="K46" s="962"/>
      <c r="L46" s="729">
        <f t="shared" si="2"/>
        <v>0</v>
      </c>
      <c r="M46" s="729">
        <f t="shared" si="3"/>
        <v>0</v>
      </c>
    </row>
    <row r="47" spans="1:13" s="957" customFormat="1" ht="15">
      <c r="A47" s="998"/>
      <c r="B47" s="987"/>
      <c r="C47" s="1000" t="s">
        <v>961</v>
      </c>
      <c r="D47" s="998" t="s">
        <v>32</v>
      </c>
      <c r="E47" s="998">
        <v>0.37</v>
      </c>
      <c r="F47" s="999">
        <f>F43*E47</f>
        <v>0.74</v>
      </c>
      <c r="G47" s="868"/>
      <c r="H47" s="729">
        <f t="shared" si="0"/>
        <v>0</v>
      </c>
      <c r="I47" s="956"/>
      <c r="J47" s="729">
        <f t="shared" si="1"/>
        <v>0</v>
      </c>
      <c r="K47" s="962"/>
      <c r="L47" s="729">
        <f t="shared" si="2"/>
        <v>0</v>
      </c>
      <c r="M47" s="729">
        <f t="shared" si="3"/>
        <v>0</v>
      </c>
    </row>
    <row r="48" spans="1:13" s="638" customFormat="1" ht="54">
      <c r="A48" s="995">
        <v>5</v>
      </c>
      <c r="B48" s="987" t="s">
        <v>1122</v>
      </c>
      <c r="C48" s="996" t="s">
        <v>1127</v>
      </c>
      <c r="D48" s="988" t="s">
        <v>468</v>
      </c>
      <c r="E48" s="988"/>
      <c r="F48" s="997">
        <v>2</v>
      </c>
      <c r="G48" s="868"/>
      <c r="H48" s="729">
        <f t="shared" si="0"/>
        <v>0</v>
      </c>
      <c r="I48" s="962"/>
      <c r="J48" s="729">
        <f t="shared" si="1"/>
        <v>0</v>
      </c>
      <c r="K48" s="962"/>
      <c r="L48" s="729">
        <f t="shared" si="2"/>
        <v>0</v>
      </c>
      <c r="M48" s="729">
        <f t="shared" si="3"/>
        <v>0</v>
      </c>
    </row>
    <row r="49" spans="1:13" s="638" customFormat="1" ht="13.5">
      <c r="A49" s="989"/>
      <c r="B49" s="987"/>
      <c r="C49" s="990" t="s">
        <v>955</v>
      </c>
      <c r="D49" s="991" t="s">
        <v>31</v>
      </c>
      <c r="E49" s="991">
        <v>14.2</v>
      </c>
      <c r="F49" s="992">
        <f>F48*E49</f>
        <v>28.4</v>
      </c>
      <c r="G49" s="868"/>
      <c r="H49" s="729">
        <f t="shared" si="0"/>
        <v>0</v>
      </c>
      <c r="I49" s="962"/>
      <c r="J49" s="729">
        <f t="shared" si="1"/>
        <v>0</v>
      </c>
      <c r="K49" s="962"/>
      <c r="L49" s="729">
        <f t="shared" si="2"/>
        <v>0</v>
      </c>
      <c r="M49" s="729">
        <f t="shared" si="3"/>
        <v>0</v>
      </c>
    </row>
    <row r="50" spans="1:13" s="638" customFormat="1" ht="13.5">
      <c r="A50" s="989"/>
      <c r="B50" s="987"/>
      <c r="C50" s="990" t="s">
        <v>44</v>
      </c>
      <c r="D50" s="991" t="s">
        <v>45</v>
      </c>
      <c r="E50" s="991">
        <v>1.08</v>
      </c>
      <c r="F50" s="992">
        <f>F48*E50</f>
        <v>2.16</v>
      </c>
      <c r="G50" s="868"/>
      <c r="H50" s="729">
        <f t="shared" si="0"/>
        <v>0</v>
      </c>
      <c r="I50" s="962"/>
      <c r="J50" s="729">
        <f t="shared" si="1"/>
        <v>0</v>
      </c>
      <c r="K50" s="962"/>
      <c r="L50" s="729">
        <f t="shared" si="2"/>
        <v>0</v>
      </c>
      <c r="M50" s="729">
        <f t="shared" si="3"/>
        <v>0</v>
      </c>
    </row>
    <row r="51" spans="1:13" s="957" customFormat="1" ht="18">
      <c r="A51" s="998"/>
      <c r="B51" s="987"/>
      <c r="C51" s="996" t="s">
        <v>1128</v>
      </c>
      <c r="D51" s="998" t="s">
        <v>468</v>
      </c>
      <c r="E51" s="998">
        <v>1</v>
      </c>
      <c r="F51" s="999">
        <f>F48*E51</f>
        <v>2</v>
      </c>
      <c r="G51" s="868"/>
      <c r="H51" s="729">
        <f t="shared" si="0"/>
        <v>0</v>
      </c>
      <c r="I51" s="956"/>
      <c r="J51" s="729">
        <f t="shared" si="1"/>
        <v>0</v>
      </c>
      <c r="K51" s="962"/>
      <c r="L51" s="729">
        <f t="shared" si="2"/>
        <v>0</v>
      </c>
      <c r="M51" s="729">
        <f t="shared" si="3"/>
        <v>0</v>
      </c>
    </row>
    <row r="52" spans="1:13" s="957" customFormat="1" ht="15">
      <c r="A52" s="998"/>
      <c r="B52" s="987"/>
      <c r="C52" s="1000" t="s">
        <v>961</v>
      </c>
      <c r="D52" s="998" t="s">
        <v>32</v>
      </c>
      <c r="E52" s="998">
        <v>0.11</v>
      </c>
      <c r="F52" s="999">
        <f>F48*E52</f>
        <v>0.22</v>
      </c>
      <c r="G52" s="868"/>
      <c r="H52" s="729">
        <f t="shared" si="0"/>
        <v>0</v>
      </c>
      <c r="I52" s="956"/>
      <c r="J52" s="729">
        <f t="shared" si="1"/>
        <v>0</v>
      </c>
      <c r="K52" s="962"/>
      <c r="L52" s="729">
        <f t="shared" si="2"/>
        <v>0</v>
      </c>
      <c r="M52" s="729">
        <f t="shared" si="3"/>
        <v>0</v>
      </c>
    </row>
    <row r="53" spans="1:13" s="638" customFormat="1" ht="70.5" customHeight="1">
      <c r="A53" s="995">
        <v>6</v>
      </c>
      <c r="B53" s="987" t="s">
        <v>1122</v>
      </c>
      <c r="C53" s="996" t="s">
        <v>1129</v>
      </c>
      <c r="D53" s="988" t="s">
        <v>468</v>
      </c>
      <c r="E53" s="994"/>
      <c r="F53" s="997">
        <v>2</v>
      </c>
      <c r="G53" s="868"/>
      <c r="H53" s="729">
        <f t="shared" si="0"/>
        <v>0</v>
      </c>
      <c r="I53" s="962"/>
      <c r="J53" s="729">
        <f t="shared" si="1"/>
        <v>0</v>
      </c>
      <c r="K53" s="962"/>
      <c r="L53" s="729">
        <f t="shared" si="2"/>
        <v>0</v>
      </c>
      <c r="M53" s="729">
        <f t="shared" si="3"/>
        <v>0</v>
      </c>
    </row>
    <row r="54" spans="1:13" s="638" customFormat="1" ht="27">
      <c r="A54" s="989"/>
      <c r="B54" s="987" t="s">
        <v>900</v>
      </c>
      <c r="C54" s="990" t="s">
        <v>955</v>
      </c>
      <c r="D54" s="991" t="s">
        <v>468</v>
      </c>
      <c r="E54" s="991">
        <v>1</v>
      </c>
      <c r="F54" s="992">
        <f>F53*E54</f>
        <v>2</v>
      </c>
      <c r="G54" s="868"/>
      <c r="H54" s="729">
        <f t="shared" si="0"/>
        <v>0</v>
      </c>
      <c r="I54" s="962"/>
      <c r="J54" s="729">
        <f t="shared" si="1"/>
        <v>0</v>
      </c>
      <c r="K54" s="962"/>
      <c r="L54" s="729">
        <f t="shared" si="2"/>
        <v>0</v>
      </c>
      <c r="M54" s="729">
        <f t="shared" si="3"/>
        <v>0</v>
      </c>
    </row>
    <row r="55" spans="1:13" s="638" customFormat="1" ht="13.5">
      <c r="A55" s="989"/>
      <c r="B55" s="987"/>
      <c r="C55" s="990" t="s">
        <v>44</v>
      </c>
      <c r="D55" s="991" t="s">
        <v>45</v>
      </c>
      <c r="E55" s="991">
        <v>0.13</v>
      </c>
      <c r="F55" s="992">
        <f>F53*E55</f>
        <v>0.26</v>
      </c>
      <c r="G55" s="868"/>
      <c r="H55" s="729">
        <f t="shared" si="0"/>
        <v>0</v>
      </c>
      <c r="I55" s="962"/>
      <c r="J55" s="729">
        <f t="shared" si="1"/>
        <v>0</v>
      </c>
      <c r="K55" s="962"/>
      <c r="L55" s="729">
        <f t="shared" si="2"/>
        <v>0</v>
      </c>
      <c r="M55" s="729">
        <f t="shared" si="3"/>
        <v>0</v>
      </c>
    </row>
    <row r="56" spans="1:13" s="957" customFormat="1" ht="72">
      <c r="A56" s="998"/>
      <c r="B56" s="987"/>
      <c r="C56" s="996" t="s">
        <v>1129</v>
      </c>
      <c r="D56" s="998" t="s">
        <v>468</v>
      </c>
      <c r="E56" s="998">
        <v>1</v>
      </c>
      <c r="F56" s="999">
        <f>F53*E56</f>
        <v>2</v>
      </c>
      <c r="G56" s="868"/>
      <c r="H56" s="729">
        <f t="shared" si="0"/>
        <v>0</v>
      </c>
      <c r="I56" s="956"/>
      <c r="J56" s="729">
        <f t="shared" si="1"/>
        <v>0</v>
      </c>
      <c r="K56" s="962"/>
      <c r="L56" s="729">
        <f t="shared" si="2"/>
        <v>0</v>
      </c>
      <c r="M56" s="729">
        <f t="shared" si="3"/>
        <v>0</v>
      </c>
    </row>
    <row r="57" spans="1:13" s="957" customFormat="1" ht="16.5" customHeight="1">
      <c r="A57" s="998"/>
      <c r="B57" s="987"/>
      <c r="C57" s="1000" t="s">
        <v>961</v>
      </c>
      <c r="D57" s="998" t="s">
        <v>32</v>
      </c>
      <c r="E57" s="998">
        <v>0.94</v>
      </c>
      <c r="F57" s="999">
        <f>F53*E57</f>
        <v>1.88</v>
      </c>
      <c r="G57" s="868"/>
      <c r="H57" s="729">
        <f t="shared" si="0"/>
        <v>0</v>
      </c>
      <c r="I57" s="956"/>
      <c r="J57" s="729">
        <f t="shared" si="1"/>
        <v>0</v>
      </c>
      <c r="K57" s="962"/>
      <c r="L57" s="729">
        <f t="shared" si="2"/>
        <v>0</v>
      </c>
      <c r="M57" s="729">
        <f t="shared" si="3"/>
        <v>0</v>
      </c>
    </row>
    <row r="58" spans="1:13" s="957" customFormat="1" ht="54">
      <c r="A58" s="995">
        <v>7</v>
      </c>
      <c r="B58" s="987" t="s">
        <v>1130</v>
      </c>
      <c r="C58" s="996" t="s">
        <v>1131</v>
      </c>
      <c r="D58" s="1001" t="s">
        <v>1115</v>
      </c>
      <c r="E58" s="1002"/>
      <c r="F58" s="1003">
        <v>90</v>
      </c>
      <c r="G58" s="868"/>
      <c r="H58" s="729">
        <f t="shared" si="0"/>
        <v>0</v>
      </c>
      <c r="I58" s="956"/>
      <c r="J58" s="729">
        <f t="shared" si="1"/>
        <v>0</v>
      </c>
      <c r="K58" s="962"/>
      <c r="L58" s="729">
        <f t="shared" si="2"/>
        <v>0</v>
      </c>
      <c r="M58" s="729">
        <f t="shared" si="3"/>
        <v>0</v>
      </c>
    </row>
    <row r="59" spans="1:13" s="638" customFormat="1" ht="13.5">
      <c r="A59" s="989"/>
      <c r="B59" s="987"/>
      <c r="C59" s="990" t="s">
        <v>955</v>
      </c>
      <c r="D59" s="991" t="s">
        <v>31</v>
      </c>
      <c r="E59" s="991">
        <v>0.37</v>
      </c>
      <c r="F59" s="992">
        <f>F58*E59</f>
        <v>33.3</v>
      </c>
      <c r="G59" s="868"/>
      <c r="H59" s="729">
        <f t="shared" si="0"/>
        <v>0</v>
      </c>
      <c r="I59" s="962"/>
      <c r="J59" s="729">
        <f t="shared" si="1"/>
        <v>0</v>
      </c>
      <c r="K59" s="962"/>
      <c r="L59" s="729">
        <f t="shared" si="2"/>
        <v>0</v>
      </c>
      <c r="M59" s="729">
        <f t="shared" si="3"/>
        <v>0</v>
      </c>
    </row>
    <row r="60" spans="1:13" s="638" customFormat="1" ht="13.5">
      <c r="A60" s="989"/>
      <c r="B60" s="987"/>
      <c r="C60" s="990" t="s">
        <v>44</v>
      </c>
      <c r="D60" s="991" t="s">
        <v>45</v>
      </c>
      <c r="E60" s="991">
        <v>0.0136</v>
      </c>
      <c r="F60" s="992">
        <f>F58*E60</f>
        <v>1.224</v>
      </c>
      <c r="G60" s="868"/>
      <c r="H60" s="729">
        <f t="shared" si="0"/>
        <v>0</v>
      </c>
      <c r="I60" s="962"/>
      <c r="J60" s="729">
        <f t="shared" si="1"/>
        <v>0</v>
      </c>
      <c r="K60" s="962"/>
      <c r="L60" s="729">
        <f t="shared" si="2"/>
        <v>0</v>
      </c>
      <c r="M60" s="729">
        <f t="shared" si="3"/>
        <v>0</v>
      </c>
    </row>
    <row r="61" spans="1:13" s="957" customFormat="1" ht="36">
      <c r="A61" s="995"/>
      <c r="B61" s="995"/>
      <c r="C61" s="996" t="s">
        <v>1132</v>
      </c>
      <c r="D61" s="1001" t="s">
        <v>1115</v>
      </c>
      <c r="E61" s="1002"/>
      <c r="F61" s="1003">
        <v>35</v>
      </c>
      <c r="G61" s="868"/>
      <c r="H61" s="729">
        <f t="shared" si="0"/>
        <v>0</v>
      </c>
      <c r="I61" s="956"/>
      <c r="J61" s="729">
        <f t="shared" si="1"/>
        <v>0</v>
      </c>
      <c r="K61" s="962"/>
      <c r="L61" s="729">
        <f t="shared" si="2"/>
        <v>0</v>
      </c>
      <c r="M61" s="729">
        <f t="shared" si="3"/>
        <v>0</v>
      </c>
    </row>
    <row r="62" spans="1:13" s="957" customFormat="1" ht="36">
      <c r="A62" s="995"/>
      <c r="B62" s="995"/>
      <c r="C62" s="996" t="s">
        <v>1133</v>
      </c>
      <c r="D62" s="1001" t="s">
        <v>1115</v>
      </c>
      <c r="E62" s="1002"/>
      <c r="F62" s="1003">
        <v>55</v>
      </c>
      <c r="G62" s="868"/>
      <c r="H62" s="729">
        <f t="shared" si="0"/>
        <v>0</v>
      </c>
      <c r="I62" s="956"/>
      <c r="J62" s="729">
        <f t="shared" si="1"/>
        <v>0</v>
      </c>
      <c r="K62" s="962"/>
      <c r="L62" s="729">
        <f t="shared" si="2"/>
        <v>0</v>
      </c>
      <c r="M62" s="729">
        <f t="shared" si="3"/>
        <v>0</v>
      </c>
    </row>
    <row r="63" spans="1:13" s="957" customFormat="1" ht="16.5" customHeight="1">
      <c r="A63" s="998"/>
      <c r="B63" s="987"/>
      <c r="C63" s="1000" t="s">
        <v>961</v>
      </c>
      <c r="D63" s="998" t="s">
        <v>32</v>
      </c>
      <c r="E63" s="998">
        <v>0.0163</v>
      </c>
      <c r="F63" s="999">
        <f>F58*E63</f>
        <v>1.4669999999999999</v>
      </c>
      <c r="G63" s="868"/>
      <c r="H63" s="729">
        <f t="shared" si="0"/>
        <v>0</v>
      </c>
      <c r="I63" s="956"/>
      <c r="J63" s="729">
        <f t="shared" si="1"/>
        <v>0</v>
      </c>
      <c r="K63" s="962"/>
      <c r="L63" s="729">
        <f t="shared" si="2"/>
        <v>0</v>
      </c>
      <c r="M63" s="729">
        <f t="shared" si="3"/>
        <v>0</v>
      </c>
    </row>
    <row r="64" spans="1:13" s="957" customFormat="1" ht="54">
      <c r="A64" s="995">
        <v>8</v>
      </c>
      <c r="B64" s="987" t="s">
        <v>1134</v>
      </c>
      <c r="C64" s="1004" t="s">
        <v>1135</v>
      </c>
      <c r="D64" s="1001" t="s">
        <v>484</v>
      </c>
      <c r="E64" s="1002"/>
      <c r="F64" s="1003">
        <v>40</v>
      </c>
      <c r="G64" s="868"/>
      <c r="H64" s="729">
        <f t="shared" si="0"/>
        <v>0</v>
      </c>
      <c r="I64" s="956"/>
      <c r="J64" s="729">
        <f t="shared" si="1"/>
        <v>0</v>
      </c>
      <c r="K64" s="962"/>
      <c r="L64" s="729">
        <f t="shared" si="2"/>
        <v>0</v>
      </c>
      <c r="M64" s="729">
        <f t="shared" si="3"/>
        <v>0</v>
      </c>
    </row>
    <row r="65" spans="1:13" s="638" customFormat="1" ht="13.5">
      <c r="A65" s="989"/>
      <c r="B65" s="987"/>
      <c r="C65" s="990" t="s">
        <v>955</v>
      </c>
      <c r="D65" s="991" t="s">
        <v>31</v>
      </c>
      <c r="E65" s="991">
        <v>1.51</v>
      </c>
      <c r="F65" s="992">
        <f>F64*E65</f>
        <v>60.4</v>
      </c>
      <c r="G65" s="868"/>
      <c r="H65" s="729">
        <f t="shared" si="0"/>
        <v>0</v>
      </c>
      <c r="I65" s="962"/>
      <c r="J65" s="729">
        <f t="shared" si="1"/>
        <v>0</v>
      </c>
      <c r="K65" s="962"/>
      <c r="L65" s="729">
        <f t="shared" si="2"/>
        <v>0</v>
      </c>
      <c r="M65" s="729">
        <f t="shared" si="3"/>
        <v>0</v>
      </c>
    </row>
    <row r="66" spans="1:13" s="638" customFormat="1" ht="16.5" customHeight="1">
      <c r="A66" s="989"/>
      <c r="B66" s="987"/>
      <c r="C66" s="990" t="s">
        <v>44</v>
      </c>
      <c r="D66" s="991" t="s">
        <v>45</v>
      </c>
      <c r="E66" s="991">
        <v>0.13</v>
      </c>
      <c r="F66" s="992">
        <f>F64*E66</f>
        <v>5.2</v>
      </c>
      <c r="G66" s="868"/>
      <c r="H66" s="729">
        <f t="shared" si="0"/>
        <v>0</v>
      </c>
      <c r="I66" s="962"/>
      <c r="J66" s="729">
        <f t="shared" si="1"/>
        <v>0</v>
      </c>
      <c r="K66" s="962"/>
      <c r="L66" s="729">
        <f t="shared" si="2"/>
        <v>0</v>
      </c>
      <c r="M66" s="729">
        <f t="shared" si="3"/>
        <v>0</v>
      </c>
    </row>
    <row r="67" spans="1:13" s="1008" customFormat="1" ht="15">
      <c r="A67" s="1005"/>
      <c r="B67" s="1005"/>
      <c r="C67" s="1006" t="s">
        <v>1136</v>
      </c>
      <c r="D67" s="1001" t="s">
        <v>484</v>
      </c>
      <c r="E67" s="1007"/>
      <c r="F67" s="1005">
        <v>4</v>
      </c>
      <c r="G67" s="868"/>
      <c r="H67" s="729">
        <f t="shared" si="0"/>
        <v>0</v>
      </c>
      <c r="I67" s="962"/>
      <c r="J67" s="729">
        <f t="shared" si="1"/>
        <v>0</v>
      </c>
      <c r="K67" s="962"/>
      <c r="L67" s="729">
        <f t="shared" si="2"/>
        <v>0</v>
      </c>
      <c r="M67" s="729">
        <f t="shared" si="3"/>
        <v>0</v>
      </c>
    </row>
    <row r="68" spans="1:13" s="1008" customFormat="1" ht="15">
      <c r="A68" s="1005"/>
      <c r="B68" s="1005"/>
      <c r="C68" s="1006" t="s">
        <v>1137</v>
      </c>
      <c r="D68" s="1001" t="s">
        <v>484</v>
      </c>
      <c r="E68" s="1007"/>
      <c r="F68" s="1005">
        <v>12</v>
      </c>
      <c r="G68" s="868"/>
      <c r="H68" s="729">
        <f t="shared" si="0"/>
        <v>0</v>
      </c>
      <c r="I68" s="962"/>
      <c r="J68" s="729">
        <f t="shared" si="1"/>
        <v>0</v>
      </c>
      <c r="K68" s="962"/>
      <c r="L68" s="729">
        <f t="shared" si="2"/>
        <v>0</v>
      </c>
      <c r="M68" s="729">
        <f t="shared" si="3"/>
        <v>0</v>
      </c>
    </row>
    <row r="69" spans="1:13" s="1008" customFormat="1" ht="16.5" customHeight="1">
      <c r="A69" s="1009"/>
      <c r="B69" s="1009"/>
      <c r="C69" s="1006" t="s">
        <v>1138</v>
      </c>
      <c r="D69" s="1001" t="s">
        <v>484</v>
      </c>
      <c r="E69" s="1007"/>
      <c r="F69" s="1005">
        <v>24</v>
      </c>
      <c r="G69" s="868"/>
      <c r="H69" s="729">
        <f t="shared" si="0"/>
        <v>0</v>
      </c>
      <c r="I69" s="962"/>
      <c r="J69" s="729">
        <f t="shared" si="1"/>
        <v>0</v>
      </c>
      <c r="K69" s="962"/>
      <c r="L69" s="729">
        <f t="shared" si="2"/>
        <v>0</v>
      </c>
      <c r="M69" s="729">
        <f t="shared" si="3"/>
        <v>0</v>
      </c>
    </row>
    <row r="70" spans="1:13" s="957" customFormat="1" ht="15">
      <c r="A70" s="998"/>
      <c r="B70" s="987"/>
      <c r="C70" s="1000" t="s">
        <v>961</v>
      </c>
      <c r="D70" s="998" t="s">
        <v>32</v>
      </c>
      <c r="E70" s="998">
        <v>0.07</v>
      </c>
      <c r="F70" s="999">
        <f>F64*E70</f>
        <v>2.8000000000000003</v>
      </c>
      <c r="G70" s="868"/>
      <c r="H70" s="729">
        <f t="shared" si="0"/>
        <v>0</v>
      </c>
      <c r="I70" s="956"/>
      <c r="J70" s="729">
        <f t="shared" si="1"/>
        <v>0</v>
      </c>
      <c r="K70" s="962"/>
      <c r="L70" s="729">
        <f t="shared" si="2"/>
        <v>0</v>
      </c>
      <c r="M70" s="729">
        <f t="shared" si="3"/>
        <v>0</v>
      </c>
    </row>
    <row r="71" spans="1:13" s="957" customFormat="1" ht="54">
      <c r="A71" s="1010">
        <v>9</v>
      </c>
      <c r="B71" s="987" t="s">
        <v>1139</v>
      </c>
      <c r="C71" s="1004" t="s">
        <v>1140</v>
      </c>
      <c r="D71" s="995" t="s">
        <v>1115</v>
      </c>
      <c r="E71" s="1011"/>
      <c r="F71" s="1011" t="s">
        <v>1141</v>
      </c>
      <c r="G71" s="868"/>
      <c r="H71" s="729">
        <f t="shared" si="0"/>
        <v>0</v>
      </c>
      <c r="I71" s="956"/>
      <c r="J71" s="729">
        <f t="shared" si="1"/>
        <v>0</v>
      </c>
      <c r="K71" s="956"/>
      <c r="L71" s="729">
        <f t="shared" si="2"/>
        <v>0</v>
      </c>
      <c r="M71" s="729">
        <f t="shared" si="3"/>
        <v>0</v>
      </c>
    </row>
    <row r="72" spans="1:13" s="638" customFormat="1" ht="13.5">
      <c r="A72" s="989"/>
      <c r="B72" s="987"/>
      <c r="C72" s="990" t="s">
        <v>955</v>
      </c>
      <c r="D72" s="991" t="s">
        <v>31</v>
      </c>
      <c r="E72" s="991">
        <v>0.583</v>
      </c>
      <c r="F72" s="992">
        <f>F71*E72</f>
        <v>17.49</v>
      </c>
      <c r="G72" s="868"/>
      <c r="H72" s="729">
        <f t="shared" si="0"/>
        <v>0</v>
      </c>
      <c r="I72" s="962"/>
      <c r="J72" s="729">
        <f t="shared" si="1"/>
        <v>0</v>
      </c>
      <c r="K72" s="962"/>
      <c r="L72" s="729">
        <f t="shared" si="2"/>
        <v>0</v>
      </c>
      <c r="M72" s="729">
        <f t="shared" si="3"/>
        <v>0</v>
      </c>
    </row>
    <row r="73" spans="1:13" s="638" customFormat="1" ht="13.5">
      <c r="A73" s="989"/>
      <c r="B73" s="987"/>
      <c r="C73" s="990" t="s">
        <v>44</v>
      </c>
      <c r="D73" s="991" t="s">
        <v>45</v>
      </c>
      <c r="E73" s="991">
        <v>0.0046</v>
      </c>
      <c r="F73" s="992">
        <f>F71*E73</f>
        <v>0.138</v>
      </c>
      <c r="G73" s="868"/>
      <c r="H73" s="729">
        <f aca="true" t="shared" si="4" ref="H73:H125">F73*G73</f>
        <v>0</v>
      </c>
      <c r="I73" s="962"/>
      <c r="J73" s="729">
        <f aca="true" t="shared" si="5" ref="J73:J125">F73*I73</f>
        <v>0</v>
      </c>
      <c r="K73" s="962"/>
      <c r="L73" s="729">
        <f aca="true" t="shared" si="6" ref="L73:L125">F73*K73</f>
        <v>0</v>
      </c>
      <c r="M73" s="729">
        <f aca="true" t="shared" si="7" ref="M73:M125">H73+J73+L73</f>
        <v>0</v>
      </c>
    </row>
    <row r="74" spans="1:13" s="957" customFormat="1" ht="16.5" customHeight="1">
      <c r="A74" s="995"/>
      <c r="B74" s="995"/>
      <c r="C74" s="1012" t="s">
        <v>1142</v>
      </c>
      <c r="D74" s="1001" t="s">
        <v>1115</v>
      </c>
      <c r="E74" s="1002" t="s">
        <v>1143</v>
      </c>
      <c r="F74" s="1003">
        <f>F71*E74</f>
        <v>30</v>
      </c>
      <c r="G74" s="868"/>
      <c r="H74" s="729">
        <f t="shared" si="4"/>
        <v>0</v>
      </c>
      <c r="I74" s="956"/>
      <c r="J74" s="729">
        <f t="shared" si="5"/>
        <v>0</v>
      </c>
      <c r="K74" s="962"/>
      <c r="L74" s="729">
        <f t="shared" si="6"/>
        <v>0</v>
      </c>
      <c r="M74" s="729">
        <f t="shared" si="7"/>
        <v>0</v>
      </c>
    </row>
    <row r="75" spans="1:13" s="957" customFormat="1" ht="15">
      <c r="A75" s="998"/>
      <c r="B75" s="987"/>
      <c r="C75" s="1000" t="s">
        <v>961</v>
      </c>
      <c r="D75" s="998" t="s">
        <v>32</v>
      </c>
      <c r="E75" s="998">
        <v>0.156</v>
      </c>
      <c r="F75" s="999">
        <f>F71*E75</f>
        <v>4.68</v>
      </c>
      <c r="G75" s="868"/>
      <c r="H75" s="729">
        <f t="shared" si="4"/>
        <v>0</v>
      </c>
      <c r="I75" s="956"/>
      <c r="J75" s="729">
        <f t="shared" si="5"/>
        <v>0</v>
      </c>
      <c r="K75" s="962"/>
      <c r="L75" s="729">
        <f t="shared" si="6"/>
        <v>0</v>
      </c>
      <c r="M75" s="729">
        <f t="shared" si="7"/>
        <v>0</v>
      </c>
    </row>
    <row r="76" spans="1:13" s="638" customFormat="1" ht="54">
      <c r="A76" s="1010">
        <v>10</v>
      </c>
      <c r="B76" s="987" t="s">
        <v>1144</v>
      </c>
      <c r="C76" s="1004" t="s">
        <v>1145</v>
      </c>
      <c r="D76" s="995" t="s">
        <v>1115</v>
      </c>
      <c r="E76" s="1011"/>
      <c r="F76" s="1011" t="s">
        <v>1146</v>
      </c>
      <c r="G76" s="868"/>
      <c r="H76" s="729">
        <f t="shared" si="4"/>
        <v>0</v>
      </c>
      <c r="I76" s="962"/>
      <c r="J76" s="729">
        <f t="shared" si="5"/>
        <v>0</v>
      </c>
      <c r="K76" s="962"/>
      <c r="L76" s="729">
        <f t="shared" si="6"/>
        <v>0</v>
      </c>
      <c r="M76" s="729">
        <f t="shared" si="7"/>
        <v>0</v>
      </c>
    </row>
    <row r="77" spans="1:13" s="638" customFormat="1" ht="13.5">
      <c r="A77" s="989"/>
      <c r="B77" s="987"/>
      <c r="C77" s="990" t="s">
        <v>955</v>
      </c>
      <c r="D77" s="991" t="s">
        <v>31</v>
      </c>
      <c r="E77" s="991">
        <v>0.609</v>
      </c>
      <c r="F77" s="992">
        <f>F76*E77</f>
        <v>24.36</v>
      </c>
      <c r="G77" s="868"/>
      <c r="H77" s="729">
        <f t="shared" si="4"/>
        <v>0</v>
      </c>
      <c r="I77" s="962"/>
      <c r="J77" s="729">
        <f t="shared" si="5"/>
        <v>0</v>
      </c>
      <c r="K77" s="962"/>
      <c r="L77" s="729">
        <f t="shared" si="6"/>
        <v>0</v>
      </c>
      <c r="M77" s="729">
        <f t="shared" si="7"/>
        <v>0</v>
      </c>
    </row>
    <row r="78" spans="1:13" s="638" customFormat="1" ht="13.5">
      <c r="A78" s="989"/>
      <c r="B78" s="987"/>
      <c r="C78" s="990" t="s">
        <v>44</v>
      </c>
      <c r="D78" s="991" t="s">
        <v>45</v>
      </c>
      <c r="E78" s="991">
        <v>0.0021</v>
      </c>
      <c r="F78" s="992">
        <f>F76*E78</f>
        <v>0.08399999999999999</v>
      </c>
      <c r="G78" s="868"/>
      <c r="H78" s="729">
        <f t="shared" si="4"/>
        <v>0</v>
      </c>
      <c r="I78" s="962"/>
      <c r="J78" s="729">
        <f t="shared" si="5"/>
        <v>0</v>
      </c>
      <c r="K78" s="962"/>
      <c r="L78" s="729">
        <f t="shared" si="6"/>
        <v>0</v>
      </c>
      <c r="M78" s="729">
        <f t="shared" si="7"/>
        <v>0</v>
      </c>
    </row>
    <row r="79" spans="1:13" s="957" customFormat="1" ht="25.5">
      <c r="A79" s="995"/>
      <c r="B79" s="995"/>
      <c r="C79" s="1012" t="s">
        <v>1147</v>
      </c>
      <c r="D79" s="1001" t="s">
        <v>1115</v>
      </c>
      <c r="E79" s="1002" t="s">
        <v>1143</v>
      </c>
      <c r="F79" s="1003">
        <f>F76*E79</f>
        <v>40</v>
      </c>
      <c r="G79" s="868"/>
      <c r="H79" s="729">
        <f t="shared" si="4"/>
        <v>0</v>
      </c>
      <c r="I79" s="956"/>
      <c r="J79" s="729">
        <f t="shared" si="5"/>
        <v>0</v>
      </c>
      <c r="K79" s="962"/>
      <c r="L79" s="729">
        <f t="shared" si="6"/>
        <v>0</v>
      </c>
      <c r="M79" s="729">
        <f t="shared" si="7"/>
        <v>0</v>
      </c>
    </row>
    <row r="80" spans="1:13" s="957" customFormat="1" ht="16.5" customHeight="1">
      <c r="A80" s="998"/>
      <c r="B80" s="987"/>
      <c r="C80" s="1000" t="s">
        <v>961</v>
      </c>
      <c r="D80" s="998" t="s">
        <v>32</v>
      </c>
      <c r="E80" s="998">
        <v>0.156</v>
      </c>
      <c r="F80" s="999">
        <f>F76*E80</f>
        <v>6.24</v>
      </c>
      <c r="G80" s="868"/>
      <c r="H80" s="729">
        <f t="shared" si="4"/>
        <v>0</v>
      </c>
      <c r="I80" s="956"/>
      <c r="J80" s="729">
        <f t="shared" si="5"/>
        <v>0</v>
      </c>
      <c r="K80" s="962"/>
      <c r="L80" s="729">
        <f t="shared" si="6"/>
        <v>0</v>
      </c>
      <c r="M80" s="729">
        <f t="shared" si="7"/>
        <v>0</v>
      </c>
    </row>
    <row r="81" spans="1:13" s="957" customFormat="1" ht="54">
      <c r="A81" s="1010">
        <v>11</v>
      </c>
      <c r="B81" s="987" t="s">
        <v>1139</v>
      </c>
      <c r="C81" s="1012" t="s">
        <v>1148</v>
      </c>
      <c r="D81" s="995" t="s">
        <v>1115</v>
      </c>
      <c r="E81" s="1011"/>
      <c r="F81" s="1011" t="s">
        <v>1149</v>
      </c>
      <c r="G81" s="868"/>
      <c r="H81" s="729">
        <f t="shared" si="4"/>
        <v>0</v>
      </c>
      <c r="I81" s="956"/>
      <c r="J81" s="729">
        <f t="shared" si="5"/>
        <v>0</v>
      </c>
      <c r="K81" s="956"/>
      <c r="L81" s="729">
        <f t="shared" si="6"/>
        <v>0</v>
      </c>
      <c r="M81" s="729">
        <f t="shared" si="7"/>
        <v>0</v>
      </c>
    </row>
    <row r="82" spans="1:13" s="638" customFormat="1" ht="13.5">
      <c r="A82" s="989"/>
      <c r="B82" s="987"/>
      <c r="C82" s="990" t="s">
        <v>955</v>
      </c>
      <c r="D82" s="991" t="s">
        <v>31</v>
      </c>
      <c r="E82" s="991">
        <v>0.583</v>
      </c>
      <c r="F82" s="992">
        <f>F81*E82</f>
        <v>6.9959999999999996</v>
      </c>
      <c r="G82" s="868"/>
      <c r="H82" s="729">
        <f t="shared" si="4"/>
        <v>0</v>
      </c>
      <c r="I82" s="962"/>
      <c r="J82" s="729">
        <f t="shared" si="5"/>
        <v>0</v>
      </c>
      <c r="K82" s="962"/>
      <c r="L82" s="729">
        <f t="shared" si="6"/>
        <v>0</v>
      </c>
      <c r="M82" s="729">
        <f t="shared" si="7"/>
        <v>0</v>
      </c>
    </row>
    <row r="83" spans="1:13" s="638" customFormat="1" ht="13.5">
      <c r="A83" s="989"/>
      <c r="B83" s="987"/>
      <c r="C83" s="990" t="s">
        <v>44</v>
      </c>
      <c r="D83" s="991" t="s">
        <v>45</v>
      </c>
      <c r="E83" s="991">
        <v>0.0046</v>
      </c>
      <c r="F83" s="992">
        <f>F81*E83</f>
        <v>0.0552</v>
      </c>
      <c r="G83" s="868"/>
      <c r="H83" s="729">
        <f t="shared" si="4"/>
        <v>0</v>
      </c>
      <c r="I83" s="962"/>
      <c r="J83" s="729">
        <f t="shared" si="5"/>
        <v>0</v>
      </c>
      <c r="K83" s="962"/>
      <c r="L83" s="729">
        <f t="shared" si="6"/>
        <v>0</v>
      </c>
      <c r="M83" s="729">
        <f t="shared" si="7"/>
        <v>0</v>
      </c>
    </row>
    <row r="84" spans="1:13" s="957" customFormat="1" ht="16.5" customHeight="1">
      <c r="A84" s="995"/>
      <c r="B84" s="995"/>
      <c r="C84" s="1012" t="s">
        <v>1142</v>
      </c>
      <c r="D84" s="1001" t="s">
        <v>1115</v>
      </c>
      <c r="E84" s="1002" t="s">
        <v>1143</v>
      </c>
      <c r="F84" s="1003">
        <f>F81*E84</f>
        <v>12</v>
      </c>
      <c r="G84" s="868"/>
      <c r="H84" s="729">
        <f t="shared" si="4"/>
        <v>0</v>
      </c>
      <c r="I84" s="956"/>
      <c r="J84" s="729">
        <f t="shared" si="5"/>
        <v>0</v>
      </c>
      <c r="K84" s="962"/>
      <c r="L84" s="729">
        <f t="shared" si="6"/>
        <v>0</v>
      </c>
      <c r="M84" s="729">
        <f t="shared" si="7"/>
        <v>0</v>
      </c>
    </row>
    <row r="85" spans="1:13" s="957" customFormat="1" ht="15">
      <c r="A85" s="998"/>
      <c r="B85" s="987"/>
      <c r="C85" s="1000" t="s">
        <v>961</v>
      </c>
      <c r="D85" s="998" t="s">
        <v>32</v>
      </c>
      <c r="E85" s="998">
        <v>0.156</v>
      </c>
      <c r="F85" s="999">
        <f>F81*E85</f>
        <v>1.8719999999999999</v>
      </c>
      <c r="G85" s="868"/>
      <c r="H85" s="729">
        <f t="shared" si="4"/>
        <v>0</v>
      </c>
      <c r="I85" s="956"/>
      <c r="J85" s="729">
        <f t="shared" si="5"/>
        <v>0</v>
      </c>
      <c r="K85" s="962"/>
      <c r="L85" s="729">
        <f t="shared" si="6"/>
        <v>0</v>
      </c>
      <c r="M85" s="729">
        <f t="shared" si="7"/>
        <v>0</v>
      </c>
    </row>
    <row r="86" spans="1:13" ht="27">
      <c r="A86" s="844">
        <v>12</v>
      </c>
      <c r="B86" s="987" t="s">
        <v>900</v>
      </c>
      <c r="C86" s="1004" t="s">
        <v>1150</v>
      </c>
      <c r="D86" s="634" t="s">
        <v>484</v>
      </c>
      <c r="E86" s="634"/>
      <c r="F86" s="947">
        <v>6</v>
      </c>
      <c r="G86" s="729"/>
      <c r="H86" s="729">
        <f t="shared" si="4"/>
        <v>0</v>
      </c>
      <c r="I86" s="729"/>
      <c r="J86" s="729">
        <f t="shared" si="5"/>
        <v>0</v>
      </c>
      <c r="K86" s="729"/>
      <c r="L86" s="729">
        <f t="shared" si="6"/>
        <v>0</v>
      </c>
      <c r="M86" s="729">
        <f t="shared" si="7"/>
        <v>0</v>
      </c>
    </row>
    <row r="87" spans="1:13" ht="27">
      <c r="A87" s="844">
        <v>13</v>
      </c>
      <c r="B87" s="987" t="s">
        <v>900</v>
      </c>
      <c r="C87" s="623" t="s">
        <v>1151</v>
      </c>
      <c r="D87" s="634" t="s">
        <v>484</v>
      </c>
      <c r="E87" s="132"/>
      <c r="F87" s="946">
        <v>6</v>
      </c>
      <c r="G87" s="729"/>
      <c r="H87" s="729">
        <f t="shared" si="4"/>
        <v>0</v>
      </c>
      <c r="I87" s="729"/>
      <c r="J87" s="729">
        <f t="shared" si="5"/>
        <v>0</v>
      </c>
      <c r="K87" s="729"/>
      <c r="L87" s="729">
        <f t="shared" si="6"/>
        <v>0</v>
      </c>
      <c r="M87" s="729">
        <f t="shared" si="7"/>
        <v>0</v>
      </c>
    </row>
    <row r="88" spans="1:20" ht="27">
      <c r="A88" s="844">
        <v>14</v>
      </c>
      <c r="B88" s="629" t="s">
        <v>900</v>
      </c>
      <c r="C88" s="623" t="s">
        <v>1152</v>
      </c>
      <c r="D88" s="634" t="s">
        <v>484</v>
      </c>
      <c r="E88" s="132"/>
      <c r="F88" s="946">
        <v>6</v>
      </c>
      <c r="G88" s="729"/>
      <c r="H88" s="729">
        <f t="shared" si="4"/>
        <v>0</v>
      </c>
      <c r="I88" s="729"/>
      <c r="J88" s="729">
        <f t="shared" si="5"/>
        <v>0</v>
      </c>
      <c r="K88" s="729"/>
      <c r="L88" s="729">
        <f t="shared" si="6"/>
        <v>0</v>
      </c>
      <c r="M88" s="729">
        <f t="shared" si="7"/>
        <v>0</v>
      </c>
      <c r="T88" s="968"/>
    </row>
    <row r="89" spans="1:13" s="968" customFormat="1" ht="55.5" customHeight="1">
      <c r="A89" s="1013"/>
      <c r="B89" s="1013"/>
      <c r="C89" s="945" t="s">
        <v>1153</v>
      </c>
      <c r="D89" s="1013"/>
      <c r="E89" s="1013"/>
      <c r="F89" s="1013"/>
      <c r="G89" s="1013"/>
      <c r="H89" s="729">
        <f t="shared" si="4"/>
        <v>0</v>
      </c>
      <c r="I89" s="1013"/>
      <c r="J89" s="729">
        <f t="shared" si="5"/>
        <v>0</v>
      </c>
      <c r="K89" s="1013"/>
      <c r="L89" s="729">
        <f t="shared" si="6"/>
        <v>0</v>
      </c>
      <c r="M89" s="729">
        <f t="shared" si="7"/>
        <v>0</v>
      </c>
    </row>
    <row r="90" spans="1:13" s="968" customFormat="1" ht="51">
      <c r="A90" s="844">
        <v>1</v>
      </c>
      <c r="B90" s="629" t="s">
        <v>1154</v>
      </c>
      <c r="C90" s="1014" t="s">
        <v>1155</v>
      </c>
      <c r="D90" s="846" t="s">
        <v>1156</v>
      </c>
      <c r="E90" s="859"/>
      <c r="F90" s="846">
        <v>20</v>
      </c>
      <c r="G90" s="729"/>
      <c r="H90" s="729">
        <f t="shared" si="4"/>
        <v>0</v>
      </c>
      <c r="I90" s="729"/>
      <c r="J90" s="729">
        <f t="shared" si="5"/>
        <v>0</v>
      </c>
      <c r="K90" s="729"/>
      <c r="L90" s="729">
        <f t="shared" si="6"/>
        <v>0</v>
      </c>
      <c r="M90" s="729">
        <f t="shared" si="7"/>
        <v>0</v>
      </c>
    </row>
    <row r="91" spans="1:13" s="968" customFormat="1" ht="15">
      <c r="A91" s="634"/>
      <c r="B91" s="980"/>
      <c r="C91" s="634" t="s">
        <v>738</v>
      </c>
      <c r="D91" s="696" t="s">
        <v>15</v>
      </c>
      <c r="E91" s="634">
        <v>0.663</v>
      </c>
      <c r="F91" s="947">
        <f>F90*E91</f>
        <v>13.260000000000002</v>
      </c>
      <c r="G91" s="729"/>
      <c r="H91" s="729">
        <f t="shared" si="4"/>
        <v>0</v>
      </c>
      <c r="I91" s="729"/>
      <c r="J91" s="729">
        <f t="shared" si="5"/>
        <v>0</v>
      </c>
      <c r="K91" s="729"/>
      <c r="L91" s="729">
        <f t="shared" si="6"/>
        <v>0</v>
      </c>
      <c r="M91" s="729">
        <f t="shared" si="7"/>
        <v>0</v>
      </c>
    </row>
    <row r="92" spans="1:13" s="968" customFormat="1" ht="15">
      <c r="A92" s="634"/>
      <c r="B92" s="980"/>
      <c r="C92" s="634" t="s">
        <v>897</v>
      </c>
      <c r="D92" s="634" t="s">
        <v>45</v>
      </c>
      <c r="E92" s="634">
        <v>0.046</v>
      </c>
      <c r="F92" s="947">
        <f>F90*E92</f>
        <v>0.9199999999999999</v>
      </c>
      <c r="G92" s="729"/>
      <c r="H92" s="729">
        <f t="shared" si="4"/>
        <v>0</v>
      </c>
      <c r="I92" s="729"/>
      <c r="J92" s="729">
        <f t="shared" si="5"/>
        <v>0</v>
      </c>
      <c r="K92" s="729"/>
      <c r="L92" s="729">
        <f t="shared" si="6"/>
        <v>0</v>
      </c>
      <c r="M92" s="729">
        <f t="shared" si="7"/>
        <v>0</v>
      </c>
    </row>
    <row r="93" spans="1:13" s="968" customFormat="1" ht="27">
      <c r="A93" s="833"/>
      <c r="B93" s="629"/>
      <c r="C93" s="969" t="s">
        <v>1157</v>
      </c>
      <c r="D93" s="823" t="s">
        <v>1156</v>
      </c>
      <c r="E93" s="1015"/>
      <c r="F93" s="823">
        <v>20</v>
      </c>
      <c r="G93" s="729"/>
      <c r="H93" s="729">
        <f t="shared" si="4"/>
        <v>0</v>
      </c>
      <c r="I93" s="729"/>
      <c r="J93" s="729">
        <f t="shared" si="5"/>
        <v>0</v>
      </c>
      <c r="K93" s="729"/>
      <c r="L93" s="729">
        <f t="shared" si="6"/>
        <v>0</v>
      </c>
      <c r="M93" s="729">
        <f t="shared" si="7"/>
        <v>0</v>
      </c>
    </row>
    <row r="94" spans="1:13" s="968" customFormat="1" ht="15">
      <c r="A94" s="1016"/>
      <c r="B94" s="629"/>
      <c r="C94" s="1017" t="s">
        <v>437</v>
      </c>
      <c r="D94" s="1017" t="s">
        <v>45</v>
      </c>
      <c r="E94" s="1018">
        <v>0.028</v>
      </c>
      <c r="F94" s="1019">
        <f>F90*E94</f>
        <v>0.56</v>
      </c>
      <c r="G94" s="729"/>
      <c r="H94" s="729">
        <f t="shared" si="4"/>
        <v>0</v>
      </c>
      <c r="I94" s="729"/>
      <c r="J94" s="729">
        <f t="shared" si="5"/>
        <v>0</v>
      </c>
      <c r="K94" s="729"/>
      <c r="L94" s="729">
        <f t="shared" si="6"/>
        <v>0</v>
      </c>
      <c r="M94" s="729">
        <f t="shared" si="7"/>
        <v>0</v>
      </c>
    </row>
    <row r="95" spans="1:13" s="968" customFormat="1" ht="54">
      <c r="A95" s="844">
        <v>2</v>
      </c>
      <c r="B95" s="629" t="s">
        <v>1158</v>
      </c>
      <c r="C95" s="623" t="s">
        <v>1159</v>
      </c>
      <c r="D95" s="132" t="s">
        <v>1156</v>
      </c>
      <c r="E95" s="132"/>
      <c r="F95" s="846">
        <v>10</v>
      </c>
      <c r="G95" s="729"/>
      <c r="H95" s="729">
        <f t="shared" si="4"/>
        <v>0</v>
      </c>
      <c r="I95" s="729"/>
      <c r="J95" s="729">
        <f t="shared" si="5"/>
        <v>0</v>
      </c>
      <c r="K95" s="729"/>
      <c r="L95" s="729">
        <f t="shared" si="6"/>
        <v>0</v>
      </c>
      <c r="M95" s="729">
        <f t="shared" si="7"/>
        <v>0</v>
      </c>
    </row>
    <row r="96" spans="1:13" s="968" customFormat="1" ht="15">
      <c r="A96" s="634"/>
      <c r="B96" s="980"/>
      <c r="C96" s="634" t="s">
        <v>738</v>
      </c>
      <c r="D96" s="696" t="s">
        <v>15</v>
      </c>
      <c r="E96" s="634">
        <v>0.609</v>
      </c>
      <c r="F96" s="947">
        <f>F95*E96</f>
        <v>6.09</v>
      </c>
      <c r="G96" s="729"/>
      <c r="H96" s="729">
        <f t="shared" si="4"/>
        <v>0</v>
      </c>
      <c r="I96" s="729"/>
      <c r="J96" s="729">
        <f t="shared" si="5"/>
        <v>0</v>
      </c>
      <c r="K96" s="729"/>
      <c r="L96" s="729">
        <f t="shared" si="6"/>
        <v>0</v>
      </c>
      <c r="M96" s="729">
        <f t="shared" si="7"/>
        <v>0</v>
      </c>
    </row>
    <row r="97" spans="1:13" s="968" customFormat="1" ht="15">
      <c r="A97" s="634"/>
      <c r="B97" s="980"/>
      <c r="C97" s="634" t="s">
        <v>897</v>
      </c>
      <c r="D97" s="634" t="s">
        <v>45</v>
      </c>
      <c r="E97" s="634">
        <v>0.0021</v>
      </c>
      <c r="F97" s="947">
        <f>F95*E97</f>
        <v>0.020999999999999998</v>
      </c>
      <c r="G97" s="729"/>
      <c r="H97" s="729">
        <f t="shared" si="4"/>
        <v>0</v>
      </c>
      <c r="I97" s="729"/>
      <c r="J97" s="729">
        <f t="shared" si="5"/>
        <v>0</v>
      </c>
      <c r="K97" s="729"/>
      <c r="L97" s="729">
        <f t="shared" si="6"/>
        <v>0</v>
      </c>
      <c r="M97" s="729">
        <f t="shared" si="7"/>
        <v>0</v>
      </c>
    </row>
    <row r="98" spans="1:13" s="968" customFormat="1" ht="27">
      <c r="A98" s="833"/>
      <c r="B98" s="629"/>
      <c r="C98" s="840" t="s">
        <v>1160</v>
      </c>
      <c r="D98" s="696" t="s">
        <v>1156</v>
      </c>
      <c r="E98" s="696"/>
      <c r="F98" s="823">
        <f>F95</f>
        <v>10</v>
      </c>
      <c r="G98" s="729"/>
      <c r="H98" s="729">
        <f t="shared" si="4"/>
        <v>0</v>
      </c>
      <c r="I98" s="729"/>
      <c r="J98" s="729">
        <f t="shared" si="5"/>
        <v>0</v>
      </c>
      <c r="K98" s="729"/>
      <c r="L98" s="729">
        <f t="shared" si="6"/>
        <v>0</v>
      </c>
      <c r="M98" s="729">
        <f t="shared" si="7"/>
        <v>0</v>
      </c>
    </row>
    <row r="99" spans="1:13" s="968" customFormat="1" ht="15">
      <c r="A99" s="1016"/>
      <c r="B99" s="629"/>
      <c r="C99" s="1017" t="s">
        <v>437</v>
      </c>
      <c r="D99" s="1017" t="s">
        <v>45</v>
      </c>
      <c r="E99" s="1018">
        <v>0.156</v>
      </c>
      <c r="F99" s="1019">
        <f>F95*E99</f>
        <v>1.56</v>
      </c>
      <c r="G99" s="729"/>
      <c r="H99" s="729">
        <f t="shared" si="4"/>
        <v>0</v>
      </c>
      <c r="I99" s="729"/>
      <c r="J99" s="729">
        <f t="shared" si="5"/>
        <v>0</v>
      </c>
      <c r="K99" s="729"/>
      <c r="L99" s="729">
        <f t="shared" si="6"/>
        <v>0</v>
      </c>
      <c r="M99" s="729">
        <f t="shared" si="7"/>
        <v>0</v>
      </c>
    </row>
    <row r="100" spans="1:13" s="968" customFormat="1" ht="54">
      <c r="A100" s="844">
        <v>3</v>
      </c>
      <c r="B100" s="629" t="s">
        <v>1161</v>
      </c>
      <c r="C100" s="623" t="s">
        <v>1162</v>
      </c>
      <c r="D100" s="132" t="s">
        <v>1156</v>
      </c>
      <c r="E100" s="132"/>
      <c r="F100" s="846">
        <v>10</v>
      </c>
      <c r="G100" s="729"/>
      <c r="H100" s="729">
        <f t="shared" si="4"/>
        <v>0</v>
      </c>
      <c r="I100" s="729"/>
      <c r="J100" s="729">
        <f t="shared" si="5"/>
        <v>0</v>
      </c>
      <c r="K100" s="729"/>
      <c r="L100" s="729">
        <f t="shared" si="6"/>
        <v>0</v>
      </c>
      <c r="M100" s="729">
        <f t="shared" si="7"/>
        <v>0</v>
      </c>
    </row>
    <row r="101" spans="1:13" s="968" customFormat="1" ht="15">
      <c r="A101" s="634"/>
      <c r="B101" s="980"/>
      <c r="C101" s="634" t="s">
        <v>738</v>
      </c>
      <c r="D101" s="696" t="s">
        <v>15</v>
      </c>
      <c r="E101" s="634">
        <v>0.583</v>
      </c>
      <c r="F101" s="947">
        <f>F100*E101</f>
        <v>5.83</v>
      </c>
      <c r="G101" s="729"/>
      <c r="H101" s="729">
        <f t="shared" si="4"/>
        <v>0</v>
      </c>
      <c r="I101" s="729"/>
      <c r="J101" s="729">
        <f t="shared" si="5"/>
        <v>0</v>
      </c>
      <c r="K101" s="729"/>
      <c r="L101" s="729">
        <f t="shared" si="6"/>
        <v>0</v>
      </c>
      <c r="M101" s="729">
        <f t="shared" si="7"/>
        <v>0</v>
      </c>
    </row>
    <row r="102" spans="1:13" s="968" customFormat="1" ht="15">
      <c r="A102" s="634"/>
      <c r="B102" s="980"/>
      <c r="C102" s="634" t="s">
        <v>897</v>
      </c>
      <c r="D102" s="634" t="s">
        <v>45</v>
      </c>
      <c r="E102" s="634">
        <v>0.0046</v>
      </c>
      <c r="F102" s="947">
        <f>F100*E102</f>
        <v>0.046</v>
      </c>
      <c r="G102" s="729"/>
      <c r="H102" s="729">
        <f t="shared" si="4"/>
        <v>0</v>
      </c>
      <c r="I102" s="729"/>
      <c r="J102" s="729">
        <f t="shared" si="5"/>
        <v>0</v>
      </c>
      <c r="K102" s="729"/>
      <c r="L102" s="729">
        <f t="shared" si="6"/>
        <v>0</v>
      </c>
      <c r="M102" s="729">
        <f t="shared" si="7"/>
        <v>0</v>
      </c>
    </row>
    <row r="103" spans="1:13" s="968" customFormat="1" ht="27">
      <c r="A103" s="833"/>
      <c r="B103" s="629"/>
      <c r="C103" s="840" t="s">
        <v>1163</v>
      </c>
      <c r="D103" s="696" t="s">
        <v>1156</v>
      </c>
      <c r="E103" s="696"/>
      <c r="F103" s="823">
        <f>F100</f>
        <v>10</v>
      </c>
      <c r="G103" s="729"/>
      <c r="H103" s="729">
        <f t="shared" si="4"/>
        <v>0</v>
      </c>
      <c r="I103" s="729"/>
      <c r="J103" s="729">
        <f t="shared" si="5"/>
        <v>0</v>
      </c>
      <c r="K103" s="729"/>
      <c r="L103" s="729">
        <f t="shared" si="6"/>
        <v>0</v>
      </c>
      <c r="M103" s="729">
        <f t="shared" si="7"/>
        <v>0</v>
      </c>
    </row>
    <row r="104" spans="1:13" s="968" customFormat="1" ht="15">
      <c r="A104" s="1016"/>
      <c r="B104" s="629"/>
      <c r="C104" s="1017" t="s">
        <v>437</v>
      </c>
      <c r="D104" s="1017" t="s">
        <v>45</v>
      </c>
      <c r="E104" s="1018">
        <v>0.208</v>
      </c>
      <c r="F104" s="1019">
        <f>F100*E104</f>
        <v>2.08</v>
      </c>
      <c r="G104" s="729"/>
      <c r="H104" s="729">
        <f t="shared" si="4"/>
        <v>0</v>
      </c>
      <c r="I104" s="729"/>
      <c r="J104" s="729">
        <f t="shared" si="5"/>
        <v>0</v>
      </c>
      <c r="K104" s="729"/>
      <c r="L104" s="729">
        <f t="shared" si="6"/>
        <v>0</v>
      </c>
      <c r="M104" s="729">
        <f t="shared" si="7"/>
        <v>0</v>
      </c>
    </row>
    <row r="105" spans="1:13" s="968" customFormat="1" ht="54">
      <c r="A105" s="844">
        <v>4</v>
      </c>
      <c r="B105" s="629" t="s">
        <v>1164</v>
      </c>
      <c r="C105" s="623" t="s">
        <v>1165</v>
      </c>
      <c r="D105" s="132" t="s">
        <v>58</v>
      </c>
      <c r="E105" s="132"/>
      <c r="F105" s="846">
        <v>1</v>
      </c>
      <c r="G105" s="729"/>
      <c r="H105" s="729">
        <f t="shared" si="4"/>
        <v>0</v>
      </c>
      <c r="I105" s="729"/>
      <c r="J105" s="729">
        <f t="shared" si="5"/>
        <v>0</v>
      </c>
      <c r="K105" s="729"/>
      <c r="L105" s="729">
        <f t="shared" si="6"/>
        <v>0</v>
      </c>
      <c r="M105" s="729">
        <f t="shared" si="7"/>
        <v>0</v>
      </c>
    </row>
    <row r="106" spans="1:13" s="968" customFormat="1" ht="15">
      <c r="A106" s="634"/>
      <c r="B106" s="980" t="s">
        <v>900</v>
      </c>
      <c r="C106" s="634" t="s">
        <v>738</v>
      </c>
      <c r="D106" s="696" t="s">
        <v>1166</v>
      </c>
      <c r="E106" s="634">
        <v>1</v>
      </c>
      <c r="F106" s="947">
        <f>F105*E106</f>
        <v>1</v>
      </c>
      <c r="G106" s="729"/>
      <c r="H106" s="729">
        <f t="shared" si="4"/>
        <v>0</v>
      </c>
      <c r="I106" s="729"/>
      <c r="J106" s="729">
        <f t="shared" si="5"/>
        <v>0</v>
      </c>
      <c r="K106" s="729"/>
      <c r="L106" s="729">
        <f t="shared" si="6"/>
        <v>0</v>
      </c>
      <c r="M106" s="729">
        <f t="shared" si="7"/>
        <v>0</v>
      </c>
    </row>
    <row r="107" spans="1:13" s="968" customFormat="1" ht="15">
      <c r="A107" s="634"/>
      <c r="B107" s="980"/>
      <c r="C107" s="634" t="s">
        <v>897</v>
      </c>
      <c r="D107" s="634" t="s">
        <v>45</v>
      </c>
      <c r="E107" s="634">
        <v>0.07</v>
      </c>
      <c r="F107" s="947">
        <f>F105*E107</f>
        <v>0.07</v>
      </c>
      <c r="G107" s="729"/>
      <c r="H107" s="729">
        <f t="shared" si="4"/>
        <v>0</v>
      </c>
      <c r="I107" s="729"/>
      <c r="J107" s="729">
        <f t="shared" si="5"/>
        <v>0</v>
      </c>
      <c r="K107" s="729"/>
      <c r="L107" s="729">
        <f t="shared" si="6"/>
        <v>0</v>
      </c>
      <c r="M107" s="729">
        <f t="shared" si="7"/>
        <v>0</v>
      </c>
    </row>
    <row r="108" spans="1:13" s="968" customFormat="1" ht="27">
      <c r="A108" s="696"/>
      <c r="B108" s="1020"/>
      <c r="C108" s="840" t="s">
        <v>1167</v>
      </c>
      <c r="D108" s="823" t="s">
        <v>1166</v>
      </c>
      <c r="E108" s="833"/>
      <c r="F108" s="823">
        <f>F105</f>
        <v>1</v>
      </c>
      <c r="G108" s="729"/>
      <c r="H108" s="729">
        <f t="shared" si="4"/>
        <v>0</v>
      </c>
      <c r="I108" s="729"/>
      <c r="J108" s="729">
        <f t="shared" si="5"/>
        <v>0</v>
      </c>
      <c r="K108" s="729"/>
      <c r="L108" s="729">
        <f t="shared" si="6"/>
        <v>0</v>
      </c>
      <c r="M108" s="729">
        <f t="shared" si="7"/>
        <v>0</v>
      </c>
    </row>
    <row r="109" spans="1:13" s="968" customFormat="1" ht="15">
      <c r="A109" s="1016"/>
      <c r="B109" s="629"/>
      <c r="C109" s="1017" t="s">
        <v>437</v>
      </c>
      <c r="D109" s="1017" t="s">
        <v>45</v>
      </c>
      <c r="E109" s="1018">
        <v>0.37</v>
      </c>
      <c r="F109" s="1019">
        <f>F105*E109</f>
        <v>0.37</v>
      </c>
      <c r="G109" s="729"/>
      <c r="H109" s="729">
        <f t="shared" si="4"/>
        <v>0</v>
      </c>
      <c r="I109" s="729"/>
      <c r="J109" s="729">
        <f t="shared" si="5"/>
        <v>0</v>
      </c>
      <c r="K109" s="729"/>
      <c r="L109" s="729">
        <f t="shared" si="6"/>
        <v>0</v>
      </c>
      <c r="M109" s="729">
        <f t="shared" si="7"/>
        <v>0</v>
      </c>
    </row>
    <row r="110" spans="1:13" s="968" customFormat="1" ht="31.5">
      <c r="A110" s="844">
        <v>5</v>
      </c>
      <c r="B110" s="1020" t="s">
        <v>900</v>
      </c>
      <c r="C110" s="623" t="s">
        <v>1168</v>
      </c>
      <c r="D110" s="132" t="s">
        <v>58</v>
      </c>
      <c r="E110" s="132"/>
      <c r="F110" s="846">
        <v>1</v>
      </c>
      <c r="G110" s="729"/>
      <c r="H110" s="729">
        <f t="shared" si="4"/>
        <v>0</v>
      </c>
      <c r="I110" s="729"/>
      <c r="J110" s="729">
        <f t="shared" si="5"/>
        <v>0</v>
      </c>
      <c r="K110" s="729"/>
      <c r="L110" s="729">
        <f t="shared" si="6"/>
        <v>0</v>
      </c>
      <c r="M110" s="729">
        <f t="shared" si="7"/>
        <v>0</v>
      </c>
    </row>
    <row r="111" spans="1:13" s="968" customFormat="1" ht="51">
      <c r="A111" s="844">
        <v>6</v>
      </c>
      <c r="B111" s="629" t="s">
        <v>1169</v>
      </c>
      <c r="C111" s="822" t="s">
        <v>1170</v>
      </c>
      <c r="D111" s="846" t="s">
        <v>58</v>
      </c>
      <c r="E111" s="859"/>
      <c r="F111" s="846">
        <v>1</v>
      </c>
      <c r="G111" s="729"/>
      <c r="H111" s="729">
        <f t="shared" si="4"/>
        <v>0</v>
      </c>
      <c r="I111" s="729"/>
      <c r="J111" s="729">
        <f t="shared" si="5"/>
        <v>0</v>
      </c>
      <c r="K111" s="729"/>
      <c r="L111" s="729">
        <f t="shared" si="6"/>
        <v>0</v>
      </c>
      <c r="M111" s="729">
        <f t="shared" si="7"/>
        <v>0</v>
      </c>
    </row>
    <row r="112" spans="1:13" s="968" customFormat="1" ht="15">
      <c r="A112" s="634"/>
      <c r="B112" s="980" t="s">
        <v>900</v>
      </c>
      <c r="C112" s="634" t="s">
        <v>738</v>
      </c>
      <c r="D112" s="696" t="s">
        <v>1166</v>
      </c>
      <c r="E112" s="634">
        <v>1</v>
      </c>
      <c r="F112" s="947">
        <f>F111*E112</f>
        <v>1</v>
      </c>
      <c r="G112" s="729"/>
      <c r="H112" s="729">
        <f t="shared" si="4"/>
        <v>0</v>
      </c>
      <c r="I112" s="729"/>
      <c r="J112" s="729">
        <f t="shared" si="5"/>
        <v>0</v>
      </c>
      <c r="K112" s="729"/>
      <c r="L112" s="729">
        <f t="shared" si="6"/>
        <v>0</v>
      </c>
      <c r="M112" s="729">
        <f t="shared" si="7"/>
        <v>0</v>
      </c>
    </row>
    <row r="113" spans="1:13" s="968" customFormat="1" ht="15">
      <c r="A113" s="634"/>
      <c r="B113" s="980"/>
      <c r="C113" s="634" t="s">
        <v>897</v>
      </c>
      <c r="D113" s="634" t="s">
        <v>45</v>
      </c>
      <c r="E113" s="634">
        <v>0.15</v>
      </c>
      <c r="F113" s="947">
        <f>F111*E113</f>
        <v>0.15</v>
      </c>
      <c r="G113" s="729"/>
      <c r="H113" s="729">
        <f t="shared" si="4"/>
        <v>0</v>
      </c>
      <c r="I113" s="729"/>
      <c r="J113" s="729">
        <f t="shared" si="5"/>
        <v>0</v>
      </c>
      <c r="K113" s="729"/>
      <c r="L113" s="729">
        <f t="shared" si="6"/>
        <v>0</v>
      </c>
      <c r="M113" s="729">
        <f t="shared" si="7"/>
        <v>0</v>
      </c>
    </row>
    <row r="114" spans="1:13" s="968" customFormat="1" ht="15">
      <c r="A114" s="696"/>
      <c r="B114" s="1020"/>
      <c r="C114" s="840" t="s">
        <v>1171</v>
      </c>
      <c r="D114" s="823" t="s">
        <v>1166</v>
      </c>
      <c r="E114" s="833"/>
      <c r="F114" s="823">
        <f>F111</f>
        <v>1</v>
      </c>
      <c r="G114" s="729"/>
      <c r="H114" s="729">
        <f t="shared" si="4"/>
        <v>0</v>
      </c>
      <c r="I114" s="729"/>
      <c r="J114" s="729">
        <f t="shared" si="5"/>
        <v>0</v>
      </c>
      <c r="K114" s="729"/>
      <c r="L114" s="729">
        <f t="shared" si="6"/>
        <v>0</v>
      </c>
      <c r="M114" s="729">
        <f t="shared" si="7"/>
        <v>0</v>
      </c>
    </row>
    <row r="115" spans="1:13" s="968" customFormat="1" ht="15">
      <c r="A115" s="1016"/>
      <c r="B115" s="629"/>
      <c r="C115" s="1017" t="s">
        <v>437</v>
      </c>
      <c r="D115" s="1017" t="s">
        <v>45</v>
      </c>
      <c r="E115" s="1018">
        <v>0.4</v>
      </c>
      <c r="F115" s="1019">
        <f>F111*E115</f>
        <v>0.4</v>
      </c>
      <c r="G115" s="729"/>
      <c r="H115" s="729">
        <f t="shared" si="4"/>
        <v>0</v>
      </c>
      <c r="I115" s="729"/>
      <c r="J115" s="729">
        <f t="shared" si="5"/>
        <v>0</v>
      </c>
      <c r="K115" s="729"/>
      <c r="L115" s="729">
        <f t="shared" si="6"/>
        <v>0</v>
      </c>
      <c r="M115" s="729">
        <f t="shared" si="7"/>
        <v>0</v>
      </c>
    </row>
    <row r="116" spans="1:13" s="968" customFormat="1" ht="51">
      <c r="A116" s="634">
        <v>7</v>
      </c>
      <c r="B116" s="629" t="s">
        <v>1172</v>
      </c>
      <c r="C116" s="822" t="s">
        <v>1173</v>
      </c>
      <c r="D116" s="846" t="s">
        <v>58</v>
      </c>
      <c r="E116" s="859"/>
      <c r="F116" s="846">
        <v>1</v>
      </c>
      <c r="G116" s="729"/>
      <c r="H116" s="729">
        <f t="shared" si="4"/>
        <v>0</v>
      </c>
      <c r="I116" s="729"/>
      <c r="J116" s="729">
        <f t="shared" si="5"/>
        <v>0</v>
      </c>
      <c r="K116" s="729"/>
      <c r="L116" s="729">
        <f t="shared" si="6"/>
        <v>0</v>
      </c>
      <c r="M116" s="729">
        <f t="shared" si="7"/>
        <v>0</v>
      </c>
    </row>
    <row r="117" spans="1:13" s="968" customFormat="1" ht="15">
      <c r="A117" s="634"/>
      <c r="B117" s="980" t="s">
        <v>900</v>
      </c>
      <c r="C117" s="634" t="s">
        <v>738</v>
      </c>
      <c r="D117" s="696" t="s">
        <v>1166</v>
      </c>
      <c r="E117" s="634">
        <v>1</v>
      </c>
      <c r="F117" s="947">
        <f>F116*E117</f>
        <v>1</v>
      </c>
      <c r="G117" s="729"/>
      <c r="H117" s="729">
        <f t="shared" si="4"/>
        <v>0</v>
      </c>
      <c r="I117" s="729"/>
      <c r="J117" s="729">
        <f t="shared" si="5"/>
        <v>0</v>
      </c>
      <c r="K117" s="729"/>
      <c r="L117" s="729">
        <f t="shared" si="6"/>
        <v>0</v>
      </c>
      <c r="M117" s="729">
        <f t="shared" si="7"/>
        <v>0</v>
      </c>
    </row>
    <row r="118" spans="1:13" s="968" customFormat="1" ht="15">
      <c r="A118" s="634"/>
      <c r="B118" s="980"/>
      <c r="C118" s="634" t="s">
        <v>897</v>
      </c>
      <c r="D118" s="634" t="s">
        <v>45</v>
      </c>
      <c r="E118" s="634">
        <v>0.13</v>
      </c>
      <c r="F118" s="947">
        <f>F116*E118</f>
        <v>0.13</v>
      </c>
      <c r="G118" s="729"/>
      <c r="H118" s="729">
        <f t="shared" si="4"/>
        <v>0</v>
      </c>
      <c r="I118" s="729"/>
      <c r="J118" s="729">
        <f t="shared" si="5"/>
        <v>0</v>
      </c>
      <c r="K118" s="729"/>
      <c r="L118" s="729">
        <f t="shared" si="6"/>
        <v>0</v>
      </c>
      <c r="M118" s="729">
        <f t="shared" si="7"/>
        <v>0</v>
      </c>
    </row>
    <row r="119" spans="1:13" s="968" customFormat="1" ht="15">
      <c r="A119" s="696"/>
      <c r="B119" s="1020"/>
      <c r="C119" s="822" t="s">
        <v>1174</v>
      </c>
      <c r="D119" s="823" t="s">
        <v>1166</v>
      </c>
      <c r="E119" s="833"/>
      <c r="F119" s="823">
        <f>F116</f>
        <v>1</v>
      </c>
      <c r="G119" s="729"/>
      <c r="H119" s="729">
        <f t="shared" si="4"/>
        <v>0</v>
      </c>
      <c r="I119" s="729"/>
      <c r="J119" s="729">
        <f t="shared" si="5"/>
        <v>0</v>
      </c>
      <c r="K119" s="729"/>
      <c r="L119" s="729">
        <f t="shared" si="6"/>
        <v>0</v>
      </c>
      <c r="M119" s="729">
        <f t="shared" si="7"/>
        <v>0</v>
      </c>
    </row>
    <row r="120" spans="1:13" s="968" customFormat="1" ht="15">
      <c r="A120" s="1016"/>
      <c r="B120" s="629"/>
      <c r="C120" s="1017" t="s">
        <v>437</v>
      </c>
      <c r="D120" s="1017" t="s">
        <v>45</v>
      </c>
      <c r="E120" s="1018">
        <v>0.94</v>
      </c>
      <c r="F120" s="1019">
        <f>F116*E120</f>
        <v>0.94</v>
      </c>
      <c r="G120" s="729"/>
      <c r="H120" s="729">
        <f t="shared" si="4"/>
        <v>0</v>
      </c>
      <c r="I120" s="729"/>
      <c r="J120" s="729">
        <f t="shared" si="5"/>
        <v>0</v>
      </c>
      <c r="K120" s="729"/>
      <c r="L120" s="729">
        <f t="shared" si="6"/>
        <v>0</v>
      </c>
      <c r="M120" s="729">
        <f t="shared" si="7"/>
        <v>0</v>
      </c>
    </row>
    <row r="121" spans="1:13" s="968" customFormat="1" ht="54">
      <c r="A121" s="844">
        <v>8</v>
      </c>
      <c r="B121" s="629" t="s">
        <v>1175</v>
      </c>
      <c r="C121" s="623" t="s">
        <v>1176</v>
      </c>
      <c r="D121" s="132" t="s">
        <v>58</v>
      </c>
      <c r="E121" s="132"/>
      <c r="F121" s="846">
        <v>1</v>
      </c>
      <c r="G121" s="729"/>
      <c r="H121" s="729">
        <f t="shared" si="4"/>
        <v>0</v>
      </c>
      <c r="I121" s="729"/>
      <c r="J121" s="729">
        <f t="shared" si="5"/>
        <v>0</v>
      </c>
      <c r="K121" s="729"/>
      <c r="L121" s="729">
        <f t="shared" si="6"/>
        <v>0</v>
      </c>
      <c r="M121" s="729">
        <f t="shared" si="7"/>
        <v>0</v>
      </c>
    </row>
    <row r="122" spans="1:13" s="968" customFormat="1" ht="15">
      <c r="A122" s="634"/>
      <c r="B122" s="980" t="s">
        <v>900</v>
      </c>
      <c r="C122" s="634" t="s">
        <v>738</v>
      </c>
      <c r="D122" s="696" t="s">
        <v>1166</v>
      </c>
      <c r="E122" s="634">
        <v>1</v>
      </c>
      <c r="F122" s="947">
        <f>F121*E122</f>
        <v>1</v>
      </c>
      <c r="G122" s="729"/>
      <c r="H122" s="729">
        <f t="shared" si="4"/>
        <v>0</v>
      </c>
      <c r="I122" s="729"/>
      <c r="J122" s="729">
        <f t="shared" si="5"/>
        <v>0</v>
      </c>
      <c r="K122" s="729"/>
      <c r="L122" s="729">
        <f t="shared" si="6"/>
        <v>0</v>
      </c>
      <c r="M122" s="729">
        <f t="shared" si="7"/>
        <v>0</v>
      </c>
    </row>
    <row r="123" spans="1:13" s="968" customFormat="1" ht="15">
      <c r="A123" s="634"/>
      <c r="B123" s="980"/>
      <c r="C123" s="634" t="s">
        <v>897</v>
      </c>
      <c r="D123" s="634" t="s">
        <v>45</v>
      </c>
      <c r="E123" s="634">
        <v>0.2</v>
      </c>
      <c r="F123" s="947">
        <f>F121*E123</f>
        <v>0.2</v>
      </c>
      <c r="G123" s="729"/>
      <c r="H123" s="729">
        <f t="shared" si="4"/>
        <v>0</v>
      </c>
      <c r="I123" s="729"/>
      <c r="J123" s="729">
        <f t="shared" si="5"/>
        <v>0</v>
      </c>
      <c r="K123" s="729"/>
      <c r="L123" s="729">
        <f t="shared" si="6"/>
        <v>0</v>
      </c>
      <c r="M123" s="729">
        <f t="shared" si="7"/>
        <v>0</v>
      </c>
    </row>
    <row r="124" spans="1:13" s="968" customFormat="1" ht="31.5">
      <c r="A124" s="696"/>
      <c r="B124" s="1020"/>
      <c r="C124" s="623" t="s">
        <v>1177</v>
      </c>
      <c r="D124" s="823" t="s">
        <v>1166</v>
      </c>
      <c r="E124" s="833"/>
      <c r="F124" s="823">
        <f>F121</f>
        <v>1</v>
      </c>
      <c r="G124" s="729"/>
      <c r="H124" s="729">
        <f t="shared" si="4"/>
        <v>0</v>
      </c>
      <c r="I124" s="729"/>
      <c r="J124" s="729">
        <f t="shared" si="5"/>
        <v>0</v>
      </c>
      <c r="K124" s="729"/>
      <c r="L124" s="729">
        <f t="shared" si="6"/>
        <v>0</v>
      </c>
      <c r="M124" s="729">
        <f t="shared" si="7"/>
        <v>0</v>
      </c>
    </row>
    <row r="125" spans="1:13" s="968" customFormat="1" ht="15">
      <c r="A125" s="1016"/>
      <c r="B125" s="629"/>
      <c r="C125" s="1017" t="s">
        <v>437</v>
      </c>
      <c r="D125" s="1017" t="s">
        <v>45</v>
      </c>
      <c r="E125" s="1018">
        <v>0.65</v>
      </c>
      <c r="F125" s="1019">
        <f>F121*E125</f>
        <v>0.65</v>
      </c>
      <c r="G125" s="729"/>
      <c r="H125" s="729">
        <f t="shared" si="4"/>
        <v>0</v>
      </c>
      <c r="I125" s="729"/>
      <c r="J125" s="729">
        <f t="shared" si="5"/>
        <v>0</v>
      </c>
      <c r="K125" s="729"/>
      <c r="L125" s="729">
        <f t="shared" si="6"/>
        <v>0</v>
      </c>
      <c r="M125" s="729">
        <f t="shared" si="7"/>
        <v>0</v>
      </c>
    </row>
    <row r="126" spans="1:13" s="968" customFormat="1" ht="15">
      <c r="A126" s="844"/>
      <c r="B126" s="844"/>
      <c r="C126" s="974" t="s">
        <v>0</v>
      </c>
      <c r="D126" s="132"/>
      <c r="E126" s="132"/>
      <c r="F126" s="975"/>
      <c r="G126" s="976"/>
      <c r="H126" s="977">
        <f>SUM(H9:H125)</f>
        <v>0</v>
      </c>
      <c r="I126" s="977"/>
      <c r="J126" s="977">
        <f>SUM(J9:J125)</f>
        <v>0</v>
      </c>
      <c r="K126" s="977"/>
      <c r="L126" s="977">
        <f>SUM(L9:L125)</f>
        <v>0</v>
      </c>
      <c r="M126" s="977">
        <f>H126+J126+L126</f>
        <v>0</v>
      </c>
    </row>
    <row r="127" spans="1:13" s="968" customFormat="1" ht="15">
      <c r="A127" s="634"/>
      <c r="B127" s="634"/>
      <c r="C127" s="978" t="s">
        <v>1099</v>
      </c>
      <c r="D127" s="979">
        <v>0</v>
      </c>
      <c r="E127" s="980"/>
      <c r="F127" s="981"/>
      <c r="G127" s="729"/>
      <c r="H127" s="729"/>
      <c r="I127" s="729"/>
      <c r="J127" s="729"/>
      <c r="K127" s="729"/>
      <c r="L127" s="729"/>
      <c r="M127" s="668">
        <f>M126*D127</f>
        <v>0</v>
      </c>
    </row>
    <row r="128" spans="1:13" s="968" customFormat="1" ht="15">
      <c r="A128" s="634"/>
      <c r="B128" s="634"/>
      <c r="C128" s="978" t="s">
        <v>0</v>
      </c>
      <c r="D128" s="980"/>
      <c r="E128" s="980"/>
      <c r="F128" s="981"/>
      <c r="G128" s="729"/>
      <c r="H128" s="729"/>
      <c r="I128" s="729"/>
      <c r="J128" s="729"/>
      <c r="K128" s="729"/>
      <c r="L128" s="729"/>
      <c r="M128" s="668">
        <f>SUM(M126:M127)</f>
        <v>0</v>
      </c>
    </row>
    <row r="129" spans="1:13" s="968" customFormat="1" ht="15">
      <c r="A129" s="634"/>
      <c r="B129" s="634"/>
      <c r="C129" s="978" t="s">
        <v>1178</v>
      </c>
      <c r="D129" s="979">
        <v>0</v>
      </c>
      <c r="E129" s="980"/>
      <c r="F129" s="981"/>
      <c r="G129" s="668"/>
      <c r="H129" s="668"/>
      <c r="I129" s="668"/>
      <c r="J129" s="668"/>
      <c r="K129" s="668"/>
      <c r="L129" s="668"/>
      <c r="M129" s="668">
        <f>M128*0.08</f>
        <v>0</v>
      </c>
    </row>
    <row r="130" spans="1:13" s="968" customFormat="1" ht="15">
      <c r="A130" s="634"/>
      <c r="B130" s="963"/>
      <c r="C130" s="982" t="s">
        <v>0</v>
      </c>
      <c r="D130" s="965"/>
      <c r="E130" s="965"/>
      <c r="F130" s="966"/>
      <c r="G130" s="967"/>
      <c r="H130" s="967"/>
      <c r="I130" s="967"/>
      <c r="J130" s="967"/>
      <c r="K130" s="967"/>
      <c r="L130" s="967"/>
      <c r="M130" s="668">
        <f>SUM(M128:M129)</f>
        <v>0</v>
      </c>
    </row>
  </sheetData>
  <sheetProtection/>
  <mergeCells count="12">
    <mergeCell ref="K4:L4"/>
    <mergeCell ref="M4:M5"/>
    <mergeCell ref="A1:M1"/>
    <mergeCell ref="A2:M2"/>
    <mergeCell ref="A3:M3"/>
    <mergeCell ref="A4:A5"/>
    <mergeCell ref="B4:B5"/>
    <mergeCell ref="C4:C5"/>
    <mergeCell ref="D4:D5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2"/>
  <sheetViews>
    <sheetView view="pageBreakPreview" zoomScaleSheetLayoutView="100" zoomScalePageLayoutView="0" workbookViewId="0" topLeftCell="A1">
      <selection activeCell="Q136" sqref="Q136"/>
    </sheetView>
  </sheetViews>
  <sheetFormatPr defaultColWidth="9.140625" defaultRowHeight="15"/>
  <cols>
    <col min="1" max="1" width="3.8515625" style="983" customWidth="1"/>
    <col min="2" max="2" width="8.421875" style="983" customWidth="1"/>
    <col min="3" max="3" width="41.140625" style="984" customWidth="1"/>
    <col min="4" max="4" width="5.140625" style="847" customWidth="1"/>
    <col min="5" max="5" width="7.421875" style="847" customWidth="1"/>
    <col min="6" max="7" width="8.00390625" style="847" customWidth="1"/>
    <col min="8" max="8" width="10.421875" style="985" customWidth="1"/>
    <col min="9" max="9" width="7.421875" style="847" customWidth="1"/>
    <col min="10" max="10" width="10.421875" style="847" bestFit="1" customWidth="1"/>
    <col min="11" max="11" width="6.7109375" style="847" bestFit="1" customWidth="1"/>
    <col min="12" max="12" width="10.00390625" style="847" customWidth="1"/>
    <col min="13" max="13" width="10.7109375" style="847" customWidth="1"/>
    <col min="14" max="16" width="9.140625" style="847" hidden="1" customWidth="1"/>
    <col min="17" max="16384" width="9.140625" style="847" customWidth="1"/>
  </cols>
  <sheetData>
    <row r="1" spans="1:13" ht="67.5" customHeight="1">
      <c r="A1" s="1138" t="s">
        <v>1218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</row>
    <row r="2" spans="1:13" s="942" customFormat="1" ht="19.5" customHeight="1">
      <c r="A2" s="1139" t="s">
        <v>1180</v>
      </c>
      <c r="B2" s="1139"/>
      <c r="C2" s="1139"/>
      <c r="D2" s="1139"/>
      <c r="E2" s="1139"/>
      <c r="F2" s="1139"/>
      <c r="G2" s="1139"/>
      <c r="H2" s="1139"/>
      <c r="I2" s="1139"/>
      <c r="J2" s="1139"/>
      <c r="K2" s="1139"/>
      <c r="L2" s="1139"/>
      <c r="M2" s="1139"/>
    </row>
    <row r="3" spans="1:13" s="1026" customFormat="1" ht="19.5" customHeight="1">
      <c r="A3" s="1139" t="s">
        <v>1208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</row>
    <row r="4" spans="1:13" ht="15.75">
      <c r="A4" s="1146" t="s">
        <v>930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3" s="841" customFormat="1" ht="30" customHeight="1">
      <c r="A5" s="1147" t="s">
        <v>931</v>
      </c>
      <c r="B5" s="1148" t="s">
        <v>72</v>
      </c>
      <c r="C5" s="1148" t="s">
        <v>932</v>
      </c>
      <c r="D5" s="1148" t="s">
        <v>77</v>
      </c>
      <c r="E5" s="1150" t="s">
        <v>612</v>
      </c>
      <c r="F5" s="1151"/>
      <c r="G5" s="1150" t="s">
        <v>75</v>
      </c>
      <c r="H5" s="1151"/>
      <c r="I5" s="1150" t="s">
        <v>74</v>
      </c>
      <c r="J5" s="1151"/>
      <c r="K5" s="1150" t="s">
        <v>933</v>
      </c>
      <c r="L5" s="1151"/>
      <c r="M5" s="1148" t="s">
        <v>0</v>
      </c>
    </row>
    <row r="6" spans="1:13" s="841" customFormat="1" ht="22.5">
      <c r="A6" s="1147"/>
      <c r="B6" s="1149"/>
      <c r="C6" s="1149"/>
      <c r="D6" s="1149"/>
      <c r="E6" s="1027" t="s">
        <v>84</v>
      </c>
      <c r="F6" s="1027" t="s">
        <v>79</v>
      </c>
      <c r="G6" s="1027" t="s">
        <v>80</v>
      </c>
      <c r="H6" s="1027" t="s">
        <v>0</v>
      </c>
      <c r="I6" s="1027" t="s">
        <v>80</v>
      </c>
      <c r="J6" s="1027" t="s">
        <v>0</v>
      </c>
      <c r="K6" s="1027" t="s">
        <v>80</v>
      </c>
      <c r="L6" s="1027" t="s">
        <v>0</v>
      </c>
      <c r="M6" s="1149"/>
    </row>
    <row r="7" spans="1:13" ht="15.75">
      <c r="A7" s="1028">
        <v>1</v>
      </c>
      <c r="B7" s="1028">
        <v>2</v>
      </c>
      <c r="C7" s="1028">
        <v>3</v>
      </c>
      <c r="D7" s="1028">
        <v>4</v>
      </c>
      <c r="E7" s="1028">
        <v>5</v>
      </c>
      <c r="F7" s="1028">
        <v>6</v>
      </c>
      <c r="G7" s="1028">
        <v>7</v>
      </c>
      <c r="H7" s="1028">
        <v>8</v>
      </c>
      <c r="I7" s="1028">
        <v>9</v>
      </c>
      <c r="J7" s="1028">
        <v>10</v>
      </c>
      <c r="K7" s="1028">
        <v>11</v>
      </c>
      <c r="L7" s="1028">
        <v>12</v>
      </c>
      <c r="M7" s="1028">
        <v>13</v>
      </c>
    </row>
    <row r="8" spans="1:13" ht="48" customHeight="1">
      <c r="A8" s="1028"/>
      <c r="B8" s="1028"/>
      <c r="C8" s="945" t="s">
        <v>1181</v>
      </c>
      <c r="D8" s="1028"/>
      <c r="E8" s="1028"/>
      <c r="F8" s="1028"/>
      <c r="G8" s="1028"/>
      <c r="H8" s="1028"/>
      <c r="I8" s="1028"/>
      <c r="J8" s="1028"/>
      <c r="K8" s="1028"/>
      <c r="L8" s="1028"/>
      <c r="M8" s="1028"/>
    </row>
    <row r="9" spans="1:13" ht="25.5">
      <c r="A9" s="844">
        <v>1</v>
      </c>
      <c r="B9" s="629" t="s">
        <v>910</v>
      </c>
      <c r="C9" s="1029" t="s">
        <v>1182</v>
      </c>
      <c r="D9" s="846" t="s">
        <v>51</v>
      </c>
      <c r="E9" s="846"/>
      <c r="F9" s="846">
        <v>2</v>
      </c>
      <c r="G9" s="729"/>
      <c r="H9" s="729">
        <f aca="true" t="shared" si="0" ref="H9:H72">F9*G9</f>
        <v>0</v>
      </c>
      <c r="I9" s="729"/>
      <c r="J9" s="729">
        <f aca="true" t="shared" si="1" ref="J9:J72">F9*I9</f>
        <v>0</v>
      </c>
      <c r="K9" s="729"/>
      <c r="L9" s="729">
        <f aca="true" t="shared" si="2" ref="L9:L72">F9*K9</f>
        <v>0</v>
      </c>
      <c r="M9" s="729">
        <f aca="true" t="shared" si="3" ref="M9:M72">H9+J9+L9</f>
        <v>0</v>
      </c>
    </row>
    <row r="10" spans="1:13" s="842" customFormat="1" ht="27">
      <c r="A10" s="662"/>
      <c r="B10" s="629"/>
      <c r="C10" s="662" t="s">
        <v>738</v>
      </c>
      <c r="D10" s="825" t="s">
        <v>15</v>
      </c>
      <c r="E10" s="662">
        <v>1.54</v>
      </c>
      <c r="F10" s="826">
        <f>F9*E10</f>
        <v>3.08</v>
      </c>
      <c r="G10" s="827"/>
      <c r="H10" s="729">
        <f t="shared" si="0"/>
        <v>0</v>
      </c>
      <c r="I10" s="827"/>
      <c r="J10" s="729">
        <f t="shared" si="1"/>
        <v>0</v>
      </c>
      <c r="K10" s="827"/>
      <c r="L10" s="729">
        <f t="shared" si="2"/>
        <v>0</v>
      </c>
      <c r="M10" s="729">
        <f t="shared" si="3"/>
        <v>0</v>
      </c>
    </row>
    <row r="11" spans="1:13" s="842" customFormat="1" ht="27">
      <c r="A11" s="662"/>
      <c r="B11" s="629"/>
      <c r="C11" s="662" t="s">
        <v>897</v>
      </c>
      <c r="D11" s="662" t="s">
        <v>45</v>
      </c>
      <c r="E11" s="662">
        <v>0.29</v>
      </c>
      <c r="F11" s="826">
        <f>F9*E11</f>
        <v>0.58</v>
      </c>
      <c r="G11" s="827"/>
      <c r="H11" s="729">
        <f t="shared" si="0"/>
        <v>0</v>
      </c>
      <c r="I11" s="827"/>
      <c r="J11" s="729">
        <f t="shared" si="1"/>
        <v>0</v>
      </c>
      <c r="K11" s="827"/>
      <c r="L11" s="729">
        <f t="shared" si="2"/>
        <v>0</v>
      </c>
      <c r="M11" s="729">
        <f t="shared" si="3"/>
        <v>0</v>
      </c>
    </row>
    <row r="12" spans="1:13" s="841" customFormat="1" ht="27">
      <c r="A12" s="696"/>
      <c r="B12" s="629"/>
      <c r="C12" s="822" t="s">
        <v>1183</v>
      </c>
      <c r="D12" s="823" t="s">
        <v>112</v>
      </c>
      <c r="E12" s="833"/>
      <c r="F12" s="823">
        <v>2</v>
      </c>
      <c r="G12" s="806"/>
      <c r="H12" s="729">
        <f t="shared" si="0"/>
        <v>0</v>
      </c>
      <c r="I12" s="806"/>
      <c r="J12" s="729">
        <f t="shared" si="1"/>
        <v>0</v>
      </c>
      <c r="K12" s="806"/>
      <c r="L12" s="729">
        <f t="shared" si="2"/>
        <v>0</v>
      </c>
      <c r="M12" s="729">
        <f t="shared" si="3"/>
        <v>0</v>
      </c>
    </row>
    <row r="13" spans="1:13" s="841" customFormat="1" ht="13.5">
      <c r="A13" s="696"/>
      <c r="B13" s="629"/>
      <c r="C13" s="822" t="s">
        <v>1184</v>
      </c>
      <c r="D13" s="823" t="s">
        <v>112</v>
      </c>
      <c r="E13" s="833"/>
      <c r="F13" s="823">
        <v>16</v>
      </c>
      <c r="G13" s="806"/>
      <c r="H13" s="729">
        <f t="shared" si="0"/>
        <v>0</v>
      </c>
      <c r="I13" s="806"/>
      <c r="J13" s="729">
        <f t="shared" si="1"/>
        <v>0</v>
      </c>
      <c r="K13" s="806"/>
      <c r="L13" s="729">
        <f t="shared" si="2"/>
        <v>0</v>
      </c>
      <c r="M13" s="729">
        <f t="shared" si="3"/>
        <v>0</v>
      </c>
    </row>
    <row r="14" spans="1:13" s="824" customFormat="1" ht="27">
      <c r="A14" s="828"/>
      <c r="B14" s="629"/>
      <c r="C14" s="829" t="s">
        <v>437</v>
      </c>
      <c r="D14" s="829" t="s">
        <v>45</v>
      </c>
      <c r="E14" s="1030">
        <v>0.58</v>
      </c>
      <c r="F14" s="831">
        <f>F9*E14</f>
        <v>1.16</v>
      </c>
      <c r="G14" s="806"/>
      <c r="H14" s="729">
        <f t="shared" si="0"/>
        <v>0</v>
      </c>
      <c r="I14" s="806"/>
      <c r="J14" s="729">
        <f t="shared" si="1"/>
        <v>0</v>
      </c>
      <c r="K14" s="806"/>
      <c r="L14" s="729">
        <f t="shared" si="2"/>
        <v>0</v>
      </c>
      <c r="M14" s="729">
        <f t="shared" si="3"/>
        <v>0</v>
      </c>
    </row>
    <row r="15" spans="1:13" ht="15.75">
      <c r="A15" s="844">
        <v>2</v>
      </c>
      <c r="B15" s="629" t="s">
        <v>905</v>
      </c>
      <c r="C15" s="623" t="s">
        <v>1185</v>
      </c>
      <c r="D15" s="845" t="s">
        <v>614</v>
      </c>
      <c r="E15" s="845"/>
      <c r="F15" s="846">
        <v>10</v>
      </c>
      <c r="G15" s="729"/>
      <c r="H15" s="729">
        <f t="shared" si="0"/>
        <v>0</v>
      </c>
      <c r="I15" s="729"/>
      <c r="J15" s="729">
        <f t="shared" si="1"/>
        <v>0</v>
      </c>
      <c r="K15" s="729"/>
      <c r="L15" s="729">
        <f t="shared" si="2"/>
        <v>0</v>
      </c>
      <c r="M15" s="729">
        <f t="shared" si="3"/>
        <v>0</v>
      </c>
    </row>
    <row r="16" spans="1:13" s="842" customFormat="1" ht="27">
      <c r="A16" s="662"/>
      <c r="B16" s="629"/>
      <c r="C16" s="662" t="s">
        <v>738</v>
      </c>
      <c r="D16" s="825" t="s">
        <v>15</v>
      </c>
      <c r="E16" s="662">
        <v>0.22</v>
      </c>
      <c r="F16" s="826">
        <f>F15*E16</f>
        <v>2.2</v>
      </c>
      <c r="G16" s="827"/>
      <c r="H16" s="729">
        <f t="shared" si="0"/>
        <v>0</v>
      </c>
      <c r="I16" s="827"/>
      <c r="J16" s="729">
        <f t="shared" si="1"/>
        <v>0</v>
      </c>
      <c r="K16" s="827"/>
      <c r="L16" s="729">
        <f t="shared" si="2"/>
        <v>0</v>
      </c>
      <c r="M16" s="729">
        <f t="shared" si="3"/>
        <v>0</v>
      </c>
    </row>
    <row r="17" spans="1:13" s="842" customFormat="1" ht="27">
      <c r="A17" s="662"/>
      <c r="B17" s="629"/>
      <c r="C17" s="662" t="s">
        <v>897</v>
      </c>
      <c r="D17" s="662" t="s">
        <v>45</v>
      </c>
      <c r="E17" s="662">
        <v>0.0002</v>
      </c>
      <c r="F17" s="826">
        <f>F15*E17</f>
        <v>0.002</v>
      </c>
      <c r="G17" s="827"/>
      <c r="H17" s="729">
        <f t="shared" si="0"/>
        <v>0</v>
      </c>
      <c r="I17" s="827"/>
      <c r="J17" s="729">
        <f t="shared" si="1"/>
        <v>0</v>
      </c>
      <c r="K17" s="827"/>
      <c r="L17" s="729">
        <f t="shared" si="2"/>
        <v>0</v>
      </c>
      <c r="M17" s="729">
        <f t="shared" si="3"/>
        <v>0</v>
      </c>
    </row>
    <row r="18" spans="1:13" s="841" customFormat="1" ht="13.5">
      <c r="A18" s="696"/>
      <c r="B18" s="629"/>
      <c r="C18" s="840" t="s">
        <v>1186</v>
      </c>
      <c r="D18" s="823" t="s">
        <v>112</v>
      </c>
      <c r="E18" s="833"/>
      <c r="F18" s="823">
        <v>10</v>
      </c>
      <c r="G18" s="806"/>
      <c r="H18" s="729">
        <f t="shared" si="0"/>
        <v>0</v>
      </c>
      <c r="I18" s="806"/>
      <c r="J18" s="729">
        <f t="shared" si="1"/>
        <v>0</v>
      </c>
      <c r="K18" s="806"/>
      <c r="L18" s="729">
        <f t="shared" si="2"/>
        <v>0</v>
      </c>
      <c r="M18" s="729">
        <f t="shared" si="3"/>
        <v>0</v>
      </c>
    </row>
    <row r="19" spans="1:13" s="824" customFormat="1" ht="27">
      <c r="A19" s="828"/>
      <c r="B19" s="629"/>
      <c r="C19" s="829" t="s">
        <v>437</v>
      </c>
      <c r="D19" s="829" t="s">
        <v>45</v>
      </c>
      <c r="E19" s="830">
        <v>0.0828</v>
      </c>
      <c r="F19" s="831">
        <f>F15*E19</f>
        <v>0.828</v>
      </c>
      <c r="G19" s="806"/>
      <c r="H19" s="729">
        <f t="shared" si="0"/>
        <v>0</v>
      </c>
      <c r="I19" s="806"/>
      <c r="J19" s="729">
        <f t="shared" si="1"/>
        <v>0</v>
      </c>
      <c r="K19" s="806"/>
      <c r="L19" s="729">
        <f t="shared" si="2"/>
        <v>0</v>
      </c>
      <c r="M19" s="729">
        <f t="shared" si="3"/>
        <v>0</v>
      </c>
    </row>
    <row r="20" spans="1:13" s="841" customFormat="1" ht="16.5" customHeight="1">
      <c r="A20" s="696">
        <v>3</v>
      </c>
      <c r="B20" s="629" t="s">
        <v>903</v>
      </c>
      <c r="C20" s="840" t="s">
        <v>1187</v>
      </c>
      <c r="D20" s="696" t="s">
        <v>614</v>
      </c>
      <c r="E20" s="833"/>
      <c r="F20" s="823">
        <v>8</v>
      </c>
      <c r="G20" s="806"/>
      <c r="H20" s="729">
        <f t="shared" si="0"/>
        <v>0</v>
      </c>
      <c r="I20" s="806"/>
      <c r="J20" s="729">
        <f t="shared" si="1"/>
        <v>0</v>
      </c>
      <c r="K20" s="806"/>
      <c r="L20" s="729">
        <f t="shared" si="2"/>
        <v>0</v>
      </c>
      <c r="M20" s="729">
        <f t="shared" si="3"/>
        <v>0</v>
      </c>
    </row>
    <row r="21" spans="1:13" s="842" customFormat="1" ht="27">
      <c r="A21" s="662"/>
      <c r="B21" s="629"/>
      <c r="C21" s="662" t="s">
        <v>738</v>
      </c>
      <c r="D21" s="825" t="s">
        <v>15</v>
      </c>
      <c r="E21" s="662">
        <v>0.2</v>
      </c>
      <c r="F21" s="826">
        <f>F20*E21</f>
        <v>1.6</v>
      </c>
      <c r="G21" s="827"/>
      <c r="H21" s="729">
        <f t="shared" si="0"/>
        <v>0</v>
      </c>
      <c r="I21" s="827"/>
      <c r="J21" s="729">
        <f t="shared" si="1"/>
        <v>0</v>
      </c>
      <c r="K21" s="827"/>
      <c r="L21" s="729">
        <f t="shared" si="2"/>
        <v>0</v>
      </c>
      <c r="M21" s="729">
        <f t="shared" si="3"/>
        <v>0</v>
      </c>
    </row>
    <row r="22" spans="1:13" s="842" customFormat="1" ht="27">
      <c r="A22" s="662"/>
      <c r="B22" s="629"/>
      <c r="C22" s="662" t="s">
        <v>897</v>
      </c>
      <c r="D22" s="662" t="s">
        <v>45</v>
      </c>
      <c r="E22" s="662">
        <v>0.0005</v>
      </c>
      <c r="F22" s="826">
        <f>F20*E22</f>
        <v>0.004</v>
      </c>
      <c r="G22" s="827"/>
      <c r="H22" s="729">
        <f t="shared" si="0"/>
        <v>0</v>
      </c>
      <c r="I22" s="827"/>
      <c r="J22" s="729">
        <f t="shared" si="1"/>
        <v>0</v>
      </c>
      <c r="K22" s="827"/>
      <c r="L22" s="729">
        <f t="shared" si="2"/>
        <v>0</v>
      </c>
      <c r="M22" s="729">
        <f t="shared" si="3"/>
        <v>0</v>
      </c>
    </row>
    <row r="23" spans="1:13" s="942" customFormat="1" ht="13.5">
      <c r="A23" s="833"/>
      <c r="B23" s="629"/>
      <c r="C23" s="840" t="s">
        <v>1188</v>
      </c>
      <c r="D23" s="634" t="s">
        <v>614</v>
      </c>
      <c r="E23" s="634"/>
      <c r="F23" s="823">
        <v>8</v>
      </c>
      <c r="G23" s="729"/>
      <c r="H23" s="729">
        <f t="shared" si="0"/>
        <v>0</v>
      </c>
      <c r="I23" s="729"/>
      <c r="J23" s="729">
        <f t="shared" si="1"/>
        <v>0</v>
      </c>
      <c r="K23" s="729"/>
      <c r="L23" s="729">
        <f t="shared" si="2"/>
        <v>0</v>
      </c>
      <c r="M23" s="729">
        <f t="shared" si="3"/>
        <v>0</v>
      </c>
    </row>
    <row r="24" spans="1:13" s="824" customFormat="1" ht="27">
      <c r="A24" s="828"/>
      <c r="B24" s="629"/>
      <c r="C24" s="829" t="s">
        <v>437</v>
      </c>
      <c r="D24" s="829" t="s">
        <v>45</v>
      </c>
      <c r="E24" s="830">
        <v>0.0825</v>
      </c>
      <c r="F24" s="831">
        <f>F20*E24</f>
        <v>0.66</v>
      </c>
      <c r="G24" s="806"/>
      <c r="H24" s="729">
        <f t="shared" si="0"/>
        <v>0</v>
      </c>
      <c r="I24" s="806"/>
      <c r="J24" s="729">
        <f t="shared" si="1"/>
        <v>0</v>
      </c>
      <c r="K24" s="806"/>
      <c r="L24" s="729">
        <f t="shared" si="2"/>
        <v>0</v>
      </c>
      <c r="M24" s="729">
        <f t="shared" si="3"/>
        <v>0</v>
      </c>
    </row>
    <row r="25" spans="1:13" s="824" customFormat="1" ht="13.5">
      <c r="A25" s="696">
        <v>4</v>
      </c>
      <c r="B25" s="629" t="s">
        <v>895</v>
      </c>
      <c r="C25" s="822" t="s">
        <v>1189</v>
      </c>
      <c r="D25" s="823" t="s">
        <v>896</v>
      </c>
      <c r="E25" s="696"/>
      <c r="F25" s="823"/>
      <c r="G25" s="806"/>
      <c r="H25" s="729">
        <f t="shared" si="0"/>
        <v>0</v>
      </c>
      <c r="I25" s="806"/>
      <c r="J25" s="729">
        <f t="shared" si="1"/>
        <v>0</v>
      </c>
      <c r="K25" s="806"/>
      <c r="L25" s="729">
        <f t="shared" si="2"/>
        <v>0</v>
      </c>
      <c r="M25" s="729">
        <f t="shared" si="3"/>
        <v>0</v>
      </c>
    </row>
    <row r="26" spans="1:13" s="824" customFormat="1" ht="27">
      <c r="A26" s="662"/>
      <c r="B26" s="629"/>
      <c r="C26" s="662" t="s">
        <v>738</v>
      </c>
      <c r="D26" s="825" t="s">
        <v>15</v>
      </c>
      <c r="E26" s="662">
        <v>0.41</v>
      </c>
      <c r="F26" s="826">
        <f>F25*E26</f>
        <v>0</v>
      </c>
      <c r="G26" s="827"/>
      <c r="H26" s="729">
        <f t="shared" si="0"/>
        <v>0</v>
      </c>
      <c r="I26" s="827"/>
      <c r="J26" s="729">
        <f t="shared" si="1"/>
        <v>0</v>
      </c>
      <c r="K26" s="827"/>
      <c r="L26" s="729">
        <f t="shared" si="2"/>
        <v>0</v>
      </c>
      <c r="M26" s="729">
        <f t="shared" si="3"/>
        <v>0</v>
      </c>
    </row>
    <row r="27" spans="1:13" s="824" customFormat="1" ht="27">
      <c r="A27" s="662"/>
      <c r="B27" s="629"/>
      <c r="C27" s="662" t="s">
        <v>897</v>
      </c>
      <c r="D27" s="662" t="s">
        <v>45</v>
      </c>
      <c r="E27" s="662">
        <v>0.262</v>
      </c>
      <c r="F27" s="826">
        <f>F25*E27</f>
        <v>0</v>
      </c>
      <c r="G27" s="827"/>
      <c r="H27" s="729">
        <f t="shared" si="0"/>
        <v>0</v>
      </c>
      <c r="I27" s="827"/>
      <c r="J27" s="729">
        <f t="shared" si="1"/>
        <v>0</v>
      </c>
      <c r="K27" s="827"/>
      <c r="L27" s="729">
        <f t="shared" si="2"/>
        <v>0</v>
      </c>
      <c r="M27" s="729">
        <f t="shared" si="3"/>
        <v>0</v>
      </c>
    </row>
    <row r="28" spans="1:13" s="824" customFormat="1" ht="40.5">
      <c r="A28" s="833"/>
      <c r="B28" s="629"/>
      <c r="C28" s="822" t="s">
        <v>1190</v>
      </c>
      <c r="D28" s="823" t="s">
        <v>896</v>
      </c>
      <c r="E28" s="823"/>
      <c r="F28" s="823">
        <v>100</v>
      </c>
      <c r="G28" s="806"/>
      <c r="H28" s="729">
        <f t="shared" si="0"/>
        <v>0</v>
      </c>
      <c r="I28" s="806"/>
      <c r="J28" s="729">
        <f t="shared" si="1"/>
        <v>0</v>
      </c>
      <c r="K28" s="729"/>
      <c r="L28" s="729">
        <f t="shared" si="2"/>
        <v>0</v>
      </c>
      <c r="M28" s="729">
        <f t="shared" si="3"/>
        <v>0</v>
      </c>
    </row>
    <row r="29" spans="1:13" s="824" customFormat="1" ht="40.5">
      <c r="A29" s="833"/>
      <c r="B29" s="629"/>
      <c r="C29" s="822" t="s">
        <v>1191</v>
      </c>
      <c r="D29" s="823" t="s">
        <v>896</v>
      </c>
      <c r="E29" s="823"/>
      <c r="F29" s="823">
        <v>150</v>
      </c>
      <c r="G29" s="806"/>
      <c r="H29" s="729">
        <f t="shared" si="0"/>
        <v>0</v>
      </c>
      <c r="I29" s="806"/>
      <c r="J29" s="729">
        <f t="shared" si="1"/>
        <v>0</v>
      </c>
      <c r="K29" s="729"/>
      <c r="L29" s="729">
        <f t="shared" si="2"/>
        <v>0</v>
      </c>
      <c r="M29" s="729">
        <f t="shared" si="3"/>
        <v>0</v>
      </c>
    </row>
    <row r="30" spans="1:13" s="824" customFormat="1" ht="40.5">
      <c r="A30" s="833"/>
      <c r="B30" s="629"/>
      <c r="C30" s="822" t="s">
        <v>1192</v>
      </c>
      <c r="D30" s="823" t="s">
        <v>896</v>
      </c>
      <c r="E30" s="823"/>
      <c r="F30" s="823">
        <v>50</v>
      </c>
      <c r="G30" s="806"/>
      <c r="H30" s="729">
        <f t="shared" si="0"/>
        <v>0</v>
      </c>
      <c r="I30" s="806"/>
      <c r="J30" s="729">
        <f t="shared" si="1"/>
        <v>0</v>
      </c>
      <c r="K30" s="729"/>
      <c r="L30" s="729">
        <f t="shared" si="2"/>
        <v>0</v>
      </c>
      <c r="M30" s="729">
        <f t="shared" si="3"/>
        <v>0</v>
      </c>
    </row>
    <row r="31" spans="1:13" s="824" customFormat="1" ht="27">
      <c r="A31" s="828"/>
      <c r="B31" s="629"/>
      <c r="C31" s="829" t="s">
        <v>437</v>
      </c>
      <c r="D31" s="829" t="s">
        <v>45</v>
      </c>
      <c r="E31" s="830">
        <v>0.148</v>
      </c>
      <c r="F31" s="831">
        <f>F25*E31</f>
        <v>0</v>
      </c>
      <c r="G31" s="806"/>
      <c r="H31" s="729">
        <f t="shared" si="0"/>
        <v>0</v>
      </c>
      <c r="I31" s="806"/>
      <c r="J31" s="729">
        <f t="shared" si="1"/>
        <v>0</v>
      </c>
      <c r="K31" s="806"/>
      <c r="L31" s="729">
        <f t="shared" si="2"/>
        <v>0</v>
      </c>
      <c r="M31" s="729">
        <f t="shared" si="3"/>
        <v>0</v>
      </c>
    </row>
    <row r="32" spans="1:13" s="824" customFormat="1" ht="13.5">
      <c r="A32" s="833">
        <v>5</v>
      </c>
      <c r="B32" s="629" t="s">
        <v>899</v>
      </c>
      <c r="C32" s="822" t="s">
        <v>1193</v>
      </c>
      <c r="D32" s="823" t="s">
        <v>896</v>
      </c>
      <c r="E32" s="823"/>
      <c r="F32" s="823">
        <v>100</v>
      </c>
      <c r="G32" s="806"/>
      <c r="H32" s="729">
        <f t="shared" si="0"/>
        <v>0</v>
      </c>
      <c r="I32" s="806"/>
      <c r="J32" s="729">
        <f t="shared" si="1"/>
        <v>0</v>
      </c>
      <c r="K32" s="729"/>
      <c r="L32" s="729">
        <f t="shared" si="2"/>
        <v>0</v>
      </c>
      <c r="M32" s="729">
        <f t="shared" si="3"/>
        <v>0</v>
      </c>
    </row>
    <row r="33" spans="1:13" s="824" customFormat="1" ht="27">
      <c r="A33" s="662"/>
      <c r="B33" s="629"/>
      <c r="C33" s="662" t="s">
        <v>738</v>
      </c>
      <c r="D33" s="825" t="s">
        <v>15</v>
      </c>
      <c r="E33" s="662">
        <v>0.27</v>
      </c>
      <c r="F33" s="826">
        <f>F32*E33</f>
        <v>27</v>
      </c>
      <c r="G33" s="827"/>
      <c r="H33" s="729">
        <f t="shared" si="0"/>
        <v>0</v>
      </c>
      <c r="I33" s="827"/>
      <c r="J33" s="729">
        <f t="shared" si="1"/>
        <v>0</v>
      </c>
      <c r="K33" s="827"/>
      <c r="L33" s="729">
        <f t="shared" si="2"/>
        <v>0</v>
      </c>
      <c r="M33" s="729">
        <f t="shared" si="3"/>
        <v>0</v>
      </c>
    </row>
    <row r="34" spans="1:13" s="824" customFormat="1" ht="27">
      <c r="A34" s="662"/>
      <c r="B34" s="629"/>
      <c r="C34" s="662" t="s">
        <v>897</v>
      </c>
      <c r="D34" s="662" t="s">
        <v>45</v>
      </c>
      <c r="E34" s="662">
        <v>0.202</v>
      </c>
      <c r="F34" s="826">
        <f>F32*E34</f>
        <v>20.200000000000003</v>
      </c>
      <c r="G34" s="827"/>
      <c r="H34" s="729">
        <f t="shared" si="0"/>
        <v>0</v>
      </c>
      <c r="I34" s="827"/>
      <c r="J34" s="729">
        <f t="shared" si="1"/>
        <v>0</v>
      </c>
      <c r="K34" s="827"/>
      <c r="L34" s="729">
        <f t="shared" si="2"/>
        <v>0</v>
      </c>
      <c r="M34" s="729">
        <f t="shared" si="3"/>
        <v>0</v>
      </c>
    </row>
    <row r="35" spans="1:13" s="824" customFormat="1" ht="13.5">
      <c r="A35" s="662"/>
      <c r="B35" s="629"/>
      <c r="C35" s="822" t="s">
        <v>1194</v>
      </c>
      <c r="D35" s="823" t="s">
        <v>896</v>
      </c>
      <c r="E35" s="823"/>
      <c r="F35" s="823">
        <v>50</v>
      </c>
      <c r="G35" s="806"/>
      <c r="H35" s="729">
        <f t="shared" si="0"/>
        <v>0</v>
      </c>
      <c r="I35" s="806"/>
      <c r="J35" s="729">
        <f t="shared" si="1"/>
        <v>0</v>
      </c>
      <c r="K35" s="729"/>
      <c r="L35" s="729">
        <f t="shared" si="2"/>
        <v>0</v>
      </c>
      <c r="M35" s="729">
        <f t="shared" si="3"/>
        <v>0</v>
      </c>
    </row>
    <row r="36" spans="1:13" s="824" customFormat="1" ht="27">
      <c r="A36" s="828"/>
      <c r="B36" s="629"/>
      <c r="C36" s="829" t="s">
        <v>437</v>
      </c>
      <c r="D36" s="829" t="s">
        <v>45</v>
      </c>
      <c r="E36" s="830">
        <v>0.003</v>
      </c>
      <c r="F36" s="831">
        <f>F32*E36</f>
        <v>0.3</v>
      </c>
      <c r="G36" s="806"/>
      <c r="H36" s="729">
        <f t="shared" si="0"/>
        <v>0</v>
      </c>
      <c r="I36" s="806"/>
      <c r="J36" s="729">
        <f t="shared" si="1"/>
        <v>0</v>
      </c>
      <c r="K36" s="806"/>
      <c r="L36" s="729">
        <f t="shared" si="2"/>
        <v>0</v>
      </c>
      <c r="M36" s="729">
        <f t="shared" si="3"/>
        <v>0</v>
      </c>
    </row>
    <row r="37" spans="1:13" s="853" customFormat="1" ht="13.5">
      <c r="A37" s="849">
        <v>6</v>
      </c>
      <c r="B37" s="629" t="s">
        <v>907</v>
      </c>
      <c r="C37" s="848" t="s">
        <v>908</v>
      </c>
      <c r="D37" s="634" t="s">
        <v>614</v>
      </c>
      <c r="E37" s="849"/>
      <c r="F37" s="851">
        <v>8</v>
      </c>
      <c r="G37" s="852"/>
      <c r="H37" s="729">
        <f t="shared" si="0"/>
        <v>0</v>
      </c>
      <c r="I37" s="852"/>
      <c r="J37" s="729">
        <f t="shared" si="1"/>
        <v>0</v>
      </c>
      <c r="K37" s="852"/>
      <c r="L37" s="729">
        <f t="shared" si="2"/>
        <v>0</v>
      </c>
      <c r="M37" s="729">
        <f t="shared" si="3"/>
        <v>0</v>
      </c>
    </row>
    <row r="38" spans="1:13" s="853" customFormat="1" ht="14.25">
      <c r="A38" s="854"/>
      <c r="B38" s="629"/>
      <c r="C38" s="856" t="s">
        <v>909</v>
      </c>
      <c r="D38" s="634" t="s">
        <v>31</v>
      </c>
      <c r="E38" s="857">
        <v>1</v>
      </c>
      <c r="F38" s="858">
        <f>F37*E38</f>
        <v>8</v>
      </c>
      <c r="G38" s="852"/>
      <c r="H38" s="729">
        <f t="shared" si="0"/>
        <v>0</v>
      </c>
      <c r="I38" s="852"/>
      <c r="J38" s="729">
        <f t="shared" si="1"/>
        <v>0</v>
      </c>
      <c r="K38" s="852"/>
      <c r="L38" s="729">
        <f t="shared" si="2"/>
        <v>0</v>
      </c>
      <c r="M38" s="729">
        <f t="shared" si="3"/>
        <v>0</v>
      </c>
    </row>
    <row r="39" spans="1:13" s="853" customFormat="1" ht="14.25">
      <c r="A39" s="854"/>
      <c r="B39" s="629"/>
      <c r="C39" s="1012" t="s">
        <v>913</v>
      </c>
      <c r="D39" s="634" t="s">
        <v>32</v>
      </c>
      <c r="E39" s="1031">
        <v>0.05</v>
      </c>
      <c r="F39" s="858">
        <f>F37*E39</f>
        <v>0.4</v>
      </c>
      <c r="G39" s="852"/>
      <c r="H39" s="729">
        <f t="shared" si="0"/>
        <v>0</v>
      </c>
      <c r="I39" s="852"/>
      <c r="J39" s="729">
        <f t="shared" si="1"/>
        <v>0</v>
      </c>
      <c r="K39" s="852"/>
      <c r="L39" s="729">
        <f t="shared" si="2"/>
        <v>0</v>
      </c>
      <c r="M39" s="729">
        <f t="shared" si="3"/>
        <v>0</v>
      </c>
    </row>
    <row r="40" spans="1:13" s="824" customFormat="1" ht="27">
      <c r="A40" s="833"/>
      <c r="B40" s="629"/>
      <c r="C40" s="848" t="s">
        <v>1195</v>
      </c>
      <c r="D40" s="829" t="s">
        <v>614</v>
      </c>
      <c r="E40" s="1032"/>
      <c r="F40" s="831">
        <v>2</v>
      </c>
      <c r="G40" s="806"/>
      <c r="H40" s="729">
        <f t="shared" si="0"/>
        <v>0</v>
      </c>
      <c r="I40" s="806"/>
      <c r="J40" s="729">
        <f t="shared" si="1"/>
        <v>0</v>
      </c>
      <c r="K40" s="806"/>
      <c r="L40" s="729">
        <f t="shared" si="2"/>
        <v>0</v>
      </c>
      <c r="M40" s="729">
        <f t="shared" si="3"/>
        <v>0</v>
      </c>
    </row>
    <row r="41" spans="1:13" s="824" customFormat="1" ht="27">
      <c r="A41" s="833"/>
      <c r="B41" s="629"/>
      <c r="C41" s="848" t="s">
        <v>1196</v>
      </c>
      <c r="D41" s="829" t="s">
        <v>614</v>
      </c>
      <c r="E41" s="1032"/>
      <c r="F41" s="831">
        <v>6</v>
      </c>
      <c r="G41" s="806"/>
      <c r="H41" s="729">
        <f t="shared" si="0"/>
        <v>0</v>
      </c>
      <c r="I41" s="806"/>
      <c r="J41" s="729">
        <f t="shared" si="1"/>
        <v>0</v>
      </c>
      <c r="K41" s="806"/>
      <c r="L41" s="729">
        <f t="shared" si="2"/>
        <v>0</v>
      </c>
      <c r="M41" s="729">
        <f t="shared" si="3"/>
        <v>0</v>
      </c>
    </row>
    <row r="42" spans="1:13" s="824" customFormat="1" ht="27">
      <c r="A42" s="828"/>
      <c r="B42" s="696"/>
      <c r="C42" s="829" t="s">
        <v>437</v>
      </c>
      <c r="D42" s="829" t="s">
        <v>45</v>
      </c>
      <c r="E42" s="830">
        <v>1.07</v>
      </c>
      <c r="F42" s="831">
        <f>E42*F37</f>
        <v>8.56</v>
      </c>
      <c r="G42" s="806"/>
      <c r="H42" s="729">
        <f t="shared" si="0"/>
        <v>0</v>
      </c>
      <c r="I42" s="806"/>
      <c r="J42" s="729">
        <f t="shared" si="1"/>
        <v>0</v>
      </c>
      <c r="K42" s="806"/>
      <c r="L42" s="729">
        <f t="shared" si="2"/>
        <v>0</v>
      </c>
      <c r="M42" s="729">
        <f t="shared" si="3"/>
        <v>0</v>
      </c>
    </row>
    <row r="43" spans="1:13" ht="27">
      <c r="A43" s="844">
        <v>7</v>
      </c>
      <c r="B43" s="629" t="s">
        <v>900</v>
      </c>
      <c r="C43" s="623" t="s">
        <v>1197</v>
      </c>
      <c r="D43" s="132"/>
      <c r="E43" s="132"/>
      <c r="F43" s="946">
        <v>6</v>
      </c>
      <c r="G43" s="729"/>
      <c r="H43" s="729">
        <f t="shared" si="0"/>
        <v>0</v>
      </c>
      <c r="I43" s="729"/>
      <c r="J43" s="729">
        <f t="shared" si="1"/>
        <v>0</v>
      </c>
      <c r="K43" s="729"/>
      <c r="L43" s="729">
        <f t="shared" si="2"/>
        <v>0</v>
      </c>
      <c r="M43" s="729">
        <f t="shared" si="3"/>
        <v>0</v>
      </c>
    </row>
    <row r="44" spans="1:13" ht="63">
      <c r="A44" s="844"/>
      <c r="B44" s="629"/>
      <c r="C44" s="1033" t="s">
        <v>998</v>
      </c>
      <c r="D44" s="132"/>
      <c r="E44" s="132"/>
      <c r="F44" s="946"/>
      <c r="G44" s="729"/>
      <c r="H44" s="729">
        <f t="shared" si="0"/>
        <v>0</v>
      </c>
      <c r="I44" s="729"/>
      <c r="J44" s="729">
        <f t="shared" si="1"/>
        <v>0</v>
      </c>
      <c r="K44" s="729"/>
      <c r="L44" s="729">
        <f t="shared" si="2"/>
        <v>0</v>
      </c>
      <c r="M44" s="729">
        <f t="shared" si="3"/>
        <v>0</v>
      </c>
    </row>
    <row r="45" spans="1:13" ht="28.5">
      <c r="A45" s="844">
        <v>1</v>
      </c>
      <c r="B45" s="839" t="s">
        <v>910</v>
      </c>
      <c r="C45" s="1029" t="s">
        <v>1198</v>
      </c>
      <c r="D45" s="846" t="s">
        <v>51</v>
      </c>
      <c r="E45" s="846"/>
      <c r="F45" s="846">
        <v>8</v>
      </c>
      <c r="G45" s="729"/>
      <c r="H45" s="729">
        <f t="shared" si="0"/>
        <v>0</v>
      </c>
      <c r="I45" s="729"/>
      <c r="J45" s="729">
        <f t="shared" si="1"/>
        <v>0</v>
      </c>
      <c r="K45" s="729"/>
      <c r="L45" s="729">
        <f t="shared" si="2"/>
        <v>0</v>
      </c>
      <c r="M45" s="729">
        <f t="shared" si="3"/>
        <v>0</v>
      </c>
    </row>
    <row r="46" spans="1:13" ht="27">
      <c r="A46" s="662"/>
      <c r="B46" s="662"/>
      <c r="C46" s="662" t="s">
        <v>738</v>
      </c>
      <c r="D46" s="825" t="s">
        <v>15</v>
      </c>
      <c r="E46" s="662">
        <v>1.54</v>
      </c>
      <c r="F46" s="826">
        <f>F45*E46</f>
        <v>12.32</v>
      </c>
      <c r="G46" s="827"/>
      <c r="H46" s="729">
        <f t="shared" si="0"/>
        <v>0</v>
      </c>
      <c r="I46" s="827"/>
      <c r="J46" s="729">
        <f t="shared" si="1"/>
        <v>0</v>
      </c>
      <c r="K46" s="827"/>
      <c r="L46" s="729">
        <f t="shared" si="2"/>
        <v>0</v>
      </c>
      <c r="M46" s="729">
        <f t="shared" si="3"/>
        <v>0</v>
      </c>
    </row>
    <row r="47" spans="1:13" ht="27">
      <c r="A47" s="662"/>
      <c r="B47" s="662"/>
      <c r="C47" s="662" t="s">
        <v>897</v>
      </c>
      <c r="D47" s="662" t="s">
        <v>45</v>
      </c>
      <c r="E47" s="662">
        <v>0.29</v>
      </c>
      <c r="F47" s="826">
        <f>F45*E47</f>
        <v>2.32</v>
      </c>
      <c r="G47" s="827"/>
      <c r="H47" s="729">
        <f t="shared" si="0"/>
        <v>0</v>
      </c>
      <c r="I47" s="827"/>
      <c r="J47" s="729">
        <f t="shared" si="1"/>
        <v>0</v>
      </c>
      <c r="K47" s="827"/>
      <c r="L47" s="729">
        <f t="shared" si="2"/>
        <v>0</v>
      </c>
      <c r="M47" s="729">
        <f t="shared" si="3"/>
        <v>0</v>
      </c>
    </row>
    <row r="48" spans="1:13" ht="27">
      <c r="A48" s="696"/>
      <c r="B48" s="839"/>
      <c r="C48" s="822" t="s">
        <v>1183</v>
      </c>
      <c r="D48" s="823" t="s">
        <v>112</v>
      </c>
      <c r="E48" s="833"/>
      <c r="F48" s="823">
        <v>8</v>
      </c>
      <c r="G48" s="806"/>
      <c r="H48" s="729">
        <f t="shared" si="0"/>
        <v>0</v>
      </c>
      <c r="I48" s="806"/>
      <c r="J48" s="729">
        <f t="shared" si="1"/>
        <v>0</v>
      </c>
      <c r="K48" s="806"/>
      <c r="L48" s="729">
        <f t="shared" si="2"/>
        <v>0</v>
      </c>
      <c r="M48" s="729">
        <f t="shared" si="3"/>
        <v>0</v>
      </c>
    </row>
    <row r="49" spans="1:13" ht="27">
      <c r="A49" s="828"/>
      <c r="B49" s="696"/>
      <c r="C49" s="829" t="s">
        <v>437</v>
      </c>
      <c r="D49" s="829" t="s">
        <v>45</v>
      </c>
      <c r="E49" s="1030">
        <v>0.58</v>
      </c>
      <c r="F49" s="831">
        <f>F45*E49</f>
        <v>4.64</v>
      </c>
      <c r="G49" s="806"/>
      <c r="H49" s="729">
        <f t="shared" si="0"/>
        <v>0</v>
      </c>
      <c r="I49" s="806"/>
      <c r="J49" s="729">
        <f t="shared" si="1"/>
        <v>0</v>
      </c>
      <c r="K49" s="806"/>
      <c r="L49" s="729">
        <f t="shared" si="2"/>
        <v>0</v>
      </c>
      <c r="M49" s="729">
        <f t="shared" si="3"/>
        <v>0</v>
      </c>
    </row>
    <row r="50" spans="1:13" ht="15.75">
      <c r="A50" s="844">
        <v>2</v>
      </c>
      <c r="B50" s="839" t="s">
        <v>905</v>
      </c>
      <c r="C50" s="623" t="s">
        <v>1185</v>
      </c>
      <c r="D50" s="845" t="s">
        <v>614</v>
      </c>
      <c r="E50" s="845"/>
      <c r="F50" s="846">
        <v>12</v>
      </c>
      <c r="G50" s="729"/>
      <c r="H50" s="729">
        <f t="shared" si="0"/>
        <v>0</v>
      </c>
      <c r="I50" s="729"/>
      <c r="J50" s="729">
        <f t="shared" si="1"/>
        <v>0</v>
      </c>
      <c r="K50" s="729"/>
      <c r="L50" s="729">
        <f t="shared" si="2"/>
        <v>0</v>
      </c>
      <c r="M50" s="729">
        <f t="shared" si="3"/>
        <v>0</v>
      </c>
    </row>
    <row r="51" spans="1:13" ht="27">
      <c r="A51" s="662"/>
      <c r="B51" s="662"/>
      <c r="C51" s="662" t="s">
        <v>738</v>
      </c>
      <c r="D51" s="825" t="s">
        <v>15</v>
      </c>
      <c r="E51" s="662">
        <v>0.22</v>
      </c>
      <c r="F51" s="826">
        <f>F50*E51</f>
        <v>2.64</v>
      </c>
      <c r="G51" s="827"/>
      <c r="H51" s="729">
        <f t="shared" si="0"/>
        <v>0</v>
      </c>
      <c r="I51" s="827"/>
      <c r="J51" s="729">
        <f t="shared" si="1"/>
        <v>0</v>
      </c>
      <c r="K51" s="827"/>
      <c r="L51" s="729">
        <f t="shared" si="2"/>
        <v>0</v>
      </c>
      <c r="M51" s="729">
        <f t="shared" si="3"/>
        <v>0</v>
      </c>
    </row>
    <row r="52" spans="1:13" ht="27">
      <c r="A52" s="662"/>
      <c r="B52" s="662"/>
      <c r="C52" s="662" t="s">
        <v>897</v>
      </c>
      <c r="D52" s="662" t="s">
        <v>45</v>
      </c>
      <c r="E52" s="662">
        <v>0.0002</v>
      </c>
      <c r="F52" s="826">
        <f>F50*E52</f>
        <v>0.0024000000000000002</v>
      </c>
      <c r="G52" s="827"/>
      <c r="H52" s="729">
        <f t="shared" si="0"/>
        <v>0</v>
      </c>
      <c r="I52" s="827"/>
      <c r="J52" s="729">
        <f t="shared" si="1"/>
        <v>0</v>
      </c>
      <c r="K52" s="827"/>
      <c r="L52" s="729">
        <f t="shared" si="2"/>
        <v>0</v>
      </c>
      <c r="M52" s="729">
        <f t="shared" si="3"/>
        <v>0</v>
      </c>
    </row>
    <row r="53" spans="1:13" ht="15.75">
      <c r="A53" s="696"/>
      <c r="B53" s="839"/>
      <c r="C53" s="840" t="s">
        <v>1186</v>
      </c>
      <c r="D53" s="823" t="s">
        <v>112</v>
      </c>
      <c r="E53" s="833"/>
      <c r="F53" s="823">
        <v>8</v>
      </c>
      <c r="G53" s="806"/>
      <c r="H53" s="729">
        <f t="shared" si="0"/>
        <v>0</v>
      </c>
      <c r="I53" s="806"/>
      <c r="J53" s="729">
        <f t="shared" si="1"/>
        <v>0</v>
      </c>
      <c r="K53" s="806"/>
      <c r="L53" s="729">
        <f t="shared" si="2"/>
        <v>0</v>
      </c>
      <c r="M53" s="729">
        <f t="shared" si="3"/>
        <v>0</v>
      </c>
    </row>
    <row r="54" spans="1:13" ht="27">
      <c r="A54" s="828"/>
      <c r="B54" s="696"/>
      <c r="C54" s="829" t="s">
        <v>437</v>
      </c>
      <c r="D54" s="829" t="s">
        <v>45</v>
      </c>
      <c r="E54" s="830">
        <v>0.0828</v>
      </c>
      <c r="F54" s="831">
        <f>F50*E54</f>
        <v>0.9936</v>
      </c>
      <c r="G54" s="806"/>
      <c r="H54" s="729">
        <f t="shared" si="0"/>
        <v>0</v>
      </c>
      <c r="I54" s="806"/>
      <c r="J54" s="729">
        <f t="shared" si="1"/>
        <v>0</v>
      </c>
      <c r="K54" s="806"/>
      <c r="L54" s="729">
        <f t="shared" si="2"/>
        <v>0</v>
      </c>
      <c r="M54" s="729">
        <f t="shared" si="3"/>
        <v>0</v>
      </c>
    </row>
    <row r="55" spans="1:13" ht="15.75">
      <c r="A55" s="696">
        <v>3</v>
      </c>
      <c r="B55" s="839" t="s">
        <v>903</v>
      </c>
      <c r="C55" s="840" t="s">
        <v>1187</v>
      </c>
      <c r="D55" s="696" t="s">
        <v>614</v>
      </c>
      <c r="E55" s="833"/>
      <c r="F55" s="823">
        <v>6</v>
      </c>
      <c r="G55" s="806"/>
      <c r="H55" s="729">
        <f t="shared" si="0"/>
        <v>0</v>
      </c>
      <c r="I55" s="806"/>
      <c r="J55" s="729">
        <f t="shared" si="1"/>
        <v>0</v>
      </c>
      <c r="K55" s="806"/>
      <c r="L55" s="729">
        <f t="shared" si="2"/>
        <v>0</v>
      </c>
      <c r="M55" s="729">
        <f t="shared" si="3"/>
        <v>0</v>
      </c>
    </row>
    <row r="56" spans="1:13" ht="27">
      <c r="A56" s="662"/>
      <c r="B56" s="662"/>
      <c r="C56" s="662" t="s">
        <v>738</v>
      </c>
      <c r="D56" s="825" t="s">
        <v>15</v>
      </c>
      <c r="E56" s="662">
        <v>0.2</v>
      </c>
      <c r="F56" s="826">
        <f>F55*E56</f>
        <v>1.2000000000000002</v>
      </c>
      <c r="G56" s="827"/>
      <c r="H56" s="729">
        <f t="shared" si="0"/>
        <v>0</v>
      </c>
      <c r="I56" s="827"/>
      <c r="J56" s="729">
        <f t="shared" si="1"/>
        <v>0</v>
      </c>
      <c r="K56" s="827"/>
      <c r="L56" s="729">
        <f t="shared" si="2"/>
        <v>0</v>
      </c>
      <c r="M56" s="729">
        <f t="shared" si="3"/>
        <v>0</v>
      </c>
    </row>
    <row r="57" spans="1:13" ht="27">
      <c r="A57" s="662"/>
      <c r="B57" s="662"/>
      <c r="C57" s="662" t="s">
        <v>897</v>
      </c>
      <c r="D57" s="662" t="s">
        <v>45</v>
      </c>
      <c r="E57" s="662">
        <v>0.0005</v>
      </c>
      <c r="F57" s="826">
        <f>F55*E57</f>
        <v>0.003</v>
      </c>
      <c r="G57" s="827"/>
      <c r="H57" s="729">
        <f t="shared" si="0"/>
        <v>0</v>
      </c>
      <c r="I57" s="827"/>
      <c r="J57" s="729">
        <f t="shared" si="1"/>
        <v>0</v>
      </c>
      <c r="K57" s="827"/>
      <c r="L57" s="729">
        <f t="shared" si="2"/>
        <v>0</v>
      </c>
      <c r="M57" s="729">
        <f t="shared" si="3"/>
        <v>0</v>
      </c>
    </row>
    <row r="58" spans="1:13" ht="15.75">
      <c r="A58" s="833"/>
      <c r="B58" s="696"/>
      <c r="C58" s="840" t="s">
        <v>1187</v>
      </c>
      <c r="D58" s="634" t="s">
        <v>614</v>
      </c>
      <c r="E58" s="634"/>
      <c r="F58" s="823">
        <f>F55</f>
        <v>6</v>
      </c>
      <c r="G58" s="729"/>
      <c r="H58" s="729">
        <f t="shared" si="0"/>
        <v>0</v>
      </c>
      <c r="I58" s="729"/>
      <c r="J58" s="729">
        <f t="shared" si="1"/>
        <v>0</v>
      </c>
      <c r="K58" s="729"/>
      <c r="L58" s="729">
        <f t="shared" si="2"/>
        <v>0</v>
      </c>
      <c r="M58" s="729">
        <f t="shared" si="3"/>
        <v>0</v>
      </c>
    </row>
    <row r="59" spans="1:13" ht="27">
      <c r="A59" s="828"/>
      <c r="B59" s="696"/>
      <c r="C59" s="829" t="s">
        <v>437</v>
      </c>
      <c r="D59" s="829" t="s">
        <v>45</v>
      </c>
      <c r="E59" s="830">
        <v>0.0825</v>
      </c>
      <c r="F59" s="831">
        <f>F55*E59</f>
        <v>0.495</v>
      </c>
      <c r="G59" s="806"/>
      <c r="H59" s="729">
        <f t="shared" si="0"/>
        <v>0</v>
      </c>
      <c r="I59" s="806"/>
      <c r="J59" s="729">
        <f t="shared" si="1"/>
        <v>0</v>
      </c>
      <c r="K59" s="806"/>
      <c r="L59" s="729">
        <f t="shared" si="2"/>
        <v>0</v>
      </c>
      <c r="M59" s="729">
        <f t="shared" si="3"/>
        <v>0</v>
      </c>
    </row>
    <row r="60" spans="1:13" ht="15.75">
      <c r="A60" s="696">
        <v>4</v>
      </c>
      <c r="B60" s="1034" t="s">
        <v>895</v>
      </c>
      <c r="C60" s="822" t="s">
        <v>1189</v>
      </c>
      <c r="D60" s="823" t="s">
        <v>896</v>
      </c>
      <c r="E60" s="696"/>
      <c r="F60" s="823"/>
      <c r="G60" s="806"/>
      <c r="H60" s="729">
        <f t="shared" si="0"/>
        <v>0</v>
      </c>
      <c r="I60" s="806"/>
      <c r="J60" s="729">
        <f t="shared" si="1"/>
        <v>0</v>
      </c>
      <c r="K60" s="806"/>
      <c r="L60" s="729">
        <f t="shared" si="2"/>
        <v>0</v>
      </c>
      <c r="M60" s="729">
        <f t="shared" si="3"/>
        <v>0</v>
      </c>
    </row>
    <row r="61" spans="1:13" ht="27">
      <c r="A61" s="662"/>
      <c r="B61" s="662"/>
      <c r="C61" s="662" t="s">
        <v>738</v>
      </c>
      <c r="D61" s="825" t="s">
        <v>15</v>
      </c>
      <c r="E61" s="662">
        <v>0.41</v>
      </c>
      <c r="F61" s="826">
        <f>F60*E61</f>
        <v>0</v>
      </c>
      <c r="G61" s="827"/>
      <c r="H61" s="729">
        <f t="shared" si="0"/>
        <v>0</v>
      </c>
      <c r="I61" s="827"/>
      <c r="J61" s="729">
        <f t="shared" si="1"/>
        <v>0</v>
      </c>
      <c r="K61" s="827"/>
      <c r="L61" s="729">
        <f t="shared" si="2"/>
        <v>0</v>
      </c>
      <c r="M61" s="729">
        <f t="shared" si="3"/>
        <v>0</v>
      </c>
    </row>
    <row r="62" spans="1:13" ht="27">
      <c r="A62" s="662"/>
      <c r="B62" s="662"/>
      <c r="C62" s="662" t="s">
        <v>897</v>
      </c>
      <c r="D62" s="662" t="s">
        <v>45</v>
      </c>
      <c r="E62" s="662">
        <v>0.262</v>
      </c>
      <c r="F62" s="826">
        <f>F60*E62</f>
        <v>0</v>
      </c>
      <c r="G62" s="827"/>
      <c r="H62" s="729">
        <f t="shared" si="0"/>
        <v>0</v>
      </c>
      <c r="I62" s="827"/>
      <c r="J62" s="729">
        <f t="shared" si="1"/>
        <v>0</v>
      </c>
      <c r="K62" s="827"/>
      <c r="L62" s="729">
        <f t="shared" si="2"/>
        <v>0</v>
      </c>
      <c r="M62" s="729">
        <f t="shared" si="3"/>
        <v>0</v>
      </c>
    </row>
    <row r="63" spans="1:13" ht="40.5">
      <c r="A63" s="833"/>
      <c r="B63" s="696"/>
      <c r="C63" s="822" t="s">
        <v>1190</v>
      </c>
      <c r="D63" s="823" t="s">
        <v>896</v>
      </c>
      <c r="E63" s="823"/>
      <c r="F63" s="823">
        <v>200</v>
      </c>
      <c r="G63" s="806"/>
      <c r="H63" s="729">
        <f t="shared" si="0"/>
        <v>0</v>
      </c>
      <c r="I63" s="806"/>
      <c r="J63" s="729">
        <f t="shared" si="1"/>
        <v>0</v>
      </c>
      <c r="K63" s="729"/>
      <c r="L63" s="729">
        <f t="shared" si="2"/>
        <v>0</v>
      </c>
      <c r="M63" s="729">
        <f t="shared" si="3"/>
        <v>0</v>
      </c>
    </row>
    <row r="64" spans="1:13" ht="40.5">
      <c r="A64" s="833"/>
      <c r="B64" s="696"/>
      <c r="C64" s="822" t="s">
        <v>1191</v>
      </c>
      <c r="D64" s="823" t="s">
        <v>896</v>
      </c>
      <c r="E64" s="823"/>
      <c r="F64" s="823">
        <v>200</v>
      </c>
      <c r="G64" s="806"/>
      <c r="H64" s="729">
        <f t="shared" si="0"/>
        <v>0</v>
      </c>
      <c r="I64" s="806"/>
      <c r="J64" s="729">
        <f t="shared" si="1"/>
        <v>0</v>
      </c>
      <c r="K64" s="729"/>
      <c r="L64" s="729">
        <f t="shared" si="2"/>
        <v>0</v>
      </c>
      <c r="M64" s="729">
        <f t="shared" si="3"/>
        <v>0</v>
      </c>
    </row>
    <row r="65" spans="1:13" ht="40.5">
      <c r="A65" s="833"/>
      <c r="B65" s="696"/>
      <c r="C65" s="822" t="s">
        <v>1192</v>
      </c>
      <c r="D65" s="823" t="s">
        <v>896</v>
      </c>
      <c r="E65" s="823"/>
      <c r="F65" s="823">
        <v>50</v>
      </c>
      <c r="G65" s="806"/>
      <c r="H65" s="729">
        <f t="shared" si="0"/>
        <v>0</v>
      </c>
      <c r="I65" s="806"/>
      <c r="J65" s="729">
        <f t="shared" si="1"/>
        <v>0</v>
      </c>
      <c r="K65" s="729"/>
      <c r="L65" s="729">
        <f t="shared" si="2"/>
        <v>0</v>
      </c>
      <c r="M65" s="729">
        <f t="shared" si="3"/>
        <v>0</v>
      </c>
    </row>
    <row r="66" spans="1:13" ht="27">
      <c r="A66" s="828"/>
      <c r="B66" s="696"/>
      <c r="C66" s="829" t="s">
        <v>437</v>
      </c>
      <c r="D66" s="829" t="s">
        <v>45</v>
      </c>
      <c r="E66" s="830">
        <v>0.148</v>
      </c>
      <c r="F66" s="831">
        <f>F60*E66</f>
        <v>0</v>
      </c>
      <c r="G66" s="806"/>
      <c r="H66" s="729">
        <f t="shared" si="0"/>
        <v>0</v>
      </c>
      <c r="I66" s="806"/>
      <c r="J66" s="729">
        <f t="shared" si="1"/>
        <v>0</v>
      </c>
      <c r="K66" s="806"/>
      <c r="L66" s="729">
        <f t="shared" si="2"/>
        <v>0</v>
      </c>
      <c r="M66" s="729">
        <f t="shared" si="3"/>
        <v>0</v>
      </c>
    </row>
    <row r="67" spans="1:13" ht="15.75">
      <c r="A67" s="833">
        <v>6</v>
      </c>
      <c r="B67" s="1034" t="s">
        <v>899</v>
      </c>
      <c r="C67" s="822" t="s">
        <v>1193</v>
      </c>
      <c r="D67" s="823" t="s">
        <v>896</v>
      </c>
      <c r="E67" s="823"/>
      <c r="F67" s="823">
        <v>250</v>
      </c>
      <c r="G67" s="806"/>
      <c r="H67" s="729">
        <f t="shared" si="0"/>
        <v>0</v>
      </c>
      <c r="I67" s="806"/>
      <c r="J67" s="729">
        <f t="shared" si="1"/>
        <v>0</v>
      </c>
      <c r="K67" s="729"/>
      <c r="L67" s="729">
        <f t="shared" si="2"/>
        <v>0</v>
      </c>
      <c r="M67" s="729">
        <f t="shared" si="3"/>
        <v>0</v>
      </c>
    </row>
    <row r="68" spans="1:13" ht="27">
      <c r="A68" s="662"/>
      <c r="B68" s="662"/>
      <c r="C68" s="662" t="s">
        <v>738</v>
      </c>
      <c r="D68" s="825" t="s">
        <v>15</v>
      </c>
      <c r="E68" s="662">
        <v>0.27</v>
      </c>
      <c r="F68" s="826">
        <f>F67*E68</f>
        <v>67.5</v>
      </c>
      <c r="G68" s="827"/>
      <c r="H68" s="729">
        <f t="shared" si="0"/>
        <v>0</v>
      </c>
      <c r="I68" s="827"/>
      <c r="J68" s="729">
        <f t="shared" si="1"/>
        <v>0</v>
      </c>
      <c r="K68" s="827"/>
      <c r="L68" s="729">
        <f t="shared" si="2"/>
        <v>0</v>
      </c>
      <c r="M68" s="729">
        <f t="shared" si="3"/>
        <v>0</v>
      </c>
    </row>
    <row r="69" spans="1:13" ht="27">
      <c r="A69" s="662"/>
      <c r="B69" s="662"/>
      <c r="C69" s="662" t="s">
        <v>897</v>
      </c>
      <c r="D69" s="662" t="s">
        <v>45</v>
      </c>
      <c r="E69" s="662">
        <v>0.202</v>
      </c>
      <c r="F69" s="826">
        <f>F67*E69</f>
        <v>50.5</v>
      </c>
      <c r="G69" s="827"/>
      <c r="H69" s="729">
        <f t="shared" si="0"/>
        <v>0</v>
      </c>
      <c r="I69" s="827"/>
      <c r="J69" s="729">
        <f t="shared" si="1"/>
        <v>0</v>
      </c>
      <c r="K69" s="827"/>
      <c r="L69" s="729">
        <f t="shared" si="2"/>
        <v>0</v>
      </c>
      <c r="M69" s="729">
        <f t="shared" si="3"/>
        <v>0</v>
      </c>
    </row>
    <row r="70" spans="1:13" ht="15.75">
      <c r="A70" s="662"/>
      <c r="B70" s="662"/>
      <c r="C70" s="822" t="s">
        <v>1194</v>
      </c>
      <c r="D70" s="823" t="s">
        <v>896</v>
      </c>
      <c r="E70" s="823"/>
      <c r="F70" s="823">
        <v>250</v>
      </c>
      <c r="G70" s="806"/>
      <c r="H70" s="729">
        <f t="shared" si="0"/>
        <v>0</v>
      </c>
      <c r="I70" s="806"/>
      <c r="J70" s="729">
        <f t="shared" si="1"/>
        <v>0</v>
      </c>
      <c r="K70" s="729"/>
      <c r="L70" s="729">
        <f t="shared" si="2"/>
        <v>0</v>
      </c>
      <c r="M70" s="729">
        <f t="shared" si="3"/>
        <v>0</v>
      </c>
    </row>
    <row r="71" spans="1:13" ht="27">
      <c r="A71" s="828"/>
      <c r="B71" s="696"/>
      <c r="C71" s="829" t="s">
        <v>437</v>
      </c>
      <c r="D71" s="829" t="s">
        <v>45</v>
      </c>
      <c r="E71" s="830">
        <v>0.003</v>
      </c>
      <c r="F71" s="831">
        <f>F67*E71</f>
        <v>0.75</v>
      </c>
      <c r="G71" s="806"/>
      <c r="H71" s="729">
        <f t="shared" si="0"/>
        <v>0</v>
      </c>
      <c r="I71" s="806"/>
      <c r="J71" s="729">
        <f t="shared" si="1"/>
        <v>0</v>
      </c>
      <c r="K71" s="806"/>
      <c r="L71" s="729">
        <f t="shared" si="2"/>
        <v>0</v>
      </c>
      <c r="M71" s="729">
        <f t="shared" si="3"/>
        <v>0</v>
      </c>
    </row>
    <row r="72" spans="1:13" ht="15.75">
      <c r="A72" s="849">
        <v>6</v>
      </c>
      <c r="B72" s="850" t="s">
        <v>907</v>
      </c>
      <c r="C72" s="848" t="s">
        <v>908</v>
      </c>
      <c r="D72" s="634" t="s">
        <v>614</v>
      </c>
      <c r="E72" s="849"/>
      <c r="F72" s="851">
        <v>5</v>
      </c>
      <c r="G72" s="852"/>
      <c r="H72" s="729">
        <f t="shared" si="0"/>
        <v>0</v>
      </c>
      <c r="I72" s="852"/>
      <c r="J72" s="729">
        <f t="shared" si="1"/>
        <v>0</v>
      </c>
      <c r="K72" s="852"/>
      <c r="L72" s="729">
        <f t="shared" si="2"/>
        <v>0</v>
      </c>
      <c r="M72" s="729">
        <f t="shared" si="3"/>
        <v>0</v>
      </c>
    </row>
    <row r="73" spans="1:13" ht="15.75">
      <c r="A73" s="854"/>
      <c r="B73" s="855"/>
      <c r="C73" s="856" t="s">
        <v>909</v>
      </c>
      <c r="D73" s="634" t="s">
        <v>31</v>
      </c>
      <c r="E73" s="857">
        <v>1</v>
      </c>
      <c r="F73" s="858">
        <f>F72*E73</f>
        <v>5</v>
      </c>
      <c r="G73" s="852"/>
      <c r="H73" s="729">
        <f aca="true" t="shared" si="4" ref="H73:H122">F73*G73</f>
        <v>0</v>
      </c>
      <c r="I73" s="852"/>
      <c r="J73" s="729">
        <f aca="true" t="shared" si="5" ref="J73:J122">F73*I73</f>
        <v>0</v>
      </c>
      <c r="K73" s="852"/>
      <c r="L73" s="729">
        <f aca="true" t="shared" si="6" ref="L73:L122">F73*K73</f>
        <v>0</v>
      </c>
      <c r="M73" s="729">
        <f aca="true" t="shared" si="7" ref="M73:M122">H73+J73+L73</f>
        <v>0</v>
      </c>
    </row>
    <row r="74" spans="1:13" ht="15.75">
      <c r="A74" s="854"/>
      <c r="B74" s="855"/>
      <c r="C74" s="1012" t="s">
        <v>913</v>
      </c>
      <c r="D74" s="634" t="s">
        <v>32</v>
      </c>
      <c r="E74" s="1031">
        <v>0.05</v>
      </c>
      <c r="F74" s="858">
        <f>F72*E74</f>
        <v>0.25</v>
      </c>
      <c r="G74" s="852"/>
      <c r="H74" s="729">
        <f t="shared" si="4"/>
        <v>0</v>
      </c>
      <c r="I74" s="852"/>
      <c r="J74" s="729">
        <f t="shared" si="5"/>
        <v>0</v>
      </c>
      <c r="K74" s="852"/>
      <c r="L74" s="729">
        <f t="shared" si="6"/>
        <v>0</v>
      </c>
      <c r="M74" s="729">
        <f t="shared" si="7"/>
        <v>0</v>
      </c>
    </row>
    <row r="75" spans="1:13" ht="27">
      <c r="A75" s="833"/>
      <c r="B75" s="696"/>
      <c r="C75" s="848" t="s">
        <v>1195</v>
      </c>
      <c r="D75" s="829" t="s">
        <v>614</v>
      </c>
      <c r="E75" s="1032"/>
      <c r="F75" s="831">
        <v>1</v>
      </c>
      <c r="G75" s="806"/>
      <c r="H75" s="729">
        <f t="shared" si="4"/>
        <v>0</v>
      </c>
      <c r="I75" s="806"/>
      <c r="J75" s="729">
        <f t="shared" si="5"/>
        <v>0</v>
      </c>
      <c r="K75" s="806"/>
      <c r="L75" s="729">
        <f t="shared" si="6"/>
        <v>0</v>
      </c>
      <c r="M75" s="729">
        <f t="shared" si="7"/>
        <v>0</v>
      </c>
    </row>
    <row r="76" spans="1:13" ht="27">
      <c r="A76" s="833"/>
      <c r="B76" s="696"/>
      <c r="C76" s="848" t="s">
        <v>1196</v>
      </c>
      <c r="D76" s="829" t="s">
        <v>614</v>
      </c>
      <c r="E76" s="1032"/>
      <c r="F76" s="831">
        <v>4</v>
      </c>
      <c r="G76" s="806"/>
      <c r="H76" s="729">
        <f t="shared" si="4"/>
        <v>0</v>
      </c>
      <c r="I76" s="806"/>
      <c r="J76" s="729">
        <f t="shared" si="5"/>
        <v>0</v>
      </c>
      <c r="K76" s="806"/>
      <c r="L76" s="729">
        <f t="shared" si="6"/>
        <v>0</v>
      </c>
      <c r="M76" s="729">
        <f t="shared" si="7"/>
        <v>0</v>
      </c>
    </row>
    <row r="77" spans="1:13" ht="27">
      <c r="A77" s="828"/>
      <c r="B77" s="696"/>
      <c r="C77" s="829" t="s">
        <v>437</v>
      </c>
      <c r="D77" s="829" t="s">
        <v>45</v>
      </c>
      <c r="E77" s="830">
        <v>1.07</v>
      </c>
      <c r="F77" s="831">
        <f>E77*F72</f>
        <v>5.3500000000000005</v>
      </c>
      <c r="G77" s="806"/>
      <c r="H77" s="729">
        <f t="shared" si="4"/>
        <v>0</v>
      </c>
      <c r="I77" s="806"/>
      <c r="J77" s="729">
        <f t="shared" si="5"/>
        <v>0</v>
      </c>
      <c r="K77" s="806"/>
      <c r="L77" s="729">
        <f t="shared" si="6"/>
        <v>0</v>
      </c>
      <c r="M77" s="729">
        <f t="shared" si="7"/>
        <v>0</v>
      </c>
    </row>
    <row r="78" spans="1:13" ht="48.75" customHeight="1">
      <c r="A78" s="844"/>
      <c r="B78" s="629"/>
      <c r="C78" s="1033" t="s">
        <v>1027</v>
      </c>
      <c r="D78" s="132"/>
      <c r="E78" s="132"/>
      <c r="F78" s="946"/>
      <c r="G78" s="729"/>
      <c r="H78" s="729">
        <f t="shared" si="4"/>
        <v>0</v>
      </c>
      <c r="I78" s="729"/>
      <c r="J78" s="729">
        <f t="shared" si="5"/>
        <v>0</v>
      </c>
      <c r="K78" s="729"/>
      <c r="L78" s="729">
        <f t="shared" si="6"/>
        <v>0</v>
      </c>
      <c r="M78" s="729">
        <f t="shared" si="7"/>
        <v>0</v>
      </c>
    </row>
    <row r="79" spans="1:13" ht="42.75">
      <c r="A79" s="844">
        <v>1</v>
      </c>
      <c r="B79" s="1020" t="s">
        <v>1199</v>
      </c>
      <c r="C79" s="1029" t="s">
        <v>1200</v>
      </c>
      <c r="D79" s="846" t="s">
        <v>112</v>
      </c>
      <c r="E79" s="846"/>
      <c r="F79" s="846">
        <v>144</v>
      </c>
      <c r="G79" s="729"/>
      <c r="H79" s="729">
        <f t="shared" si="4"/>
        <v>0</v>
      </c>
      <c r="I79" s="729"/>
      <c r="J79" s="729">
        <f t="shared" si="5"/>
        <v>0</v>
      </c>
      <c r="K79" s="729"/>
      <c r="L79" s="729">
        <f t="shared" si="6"/>
        <v>0</v>
      </c>
      <c r="M79" s="729">
        <f t="shared" si="7"/>
        <v>0</v>
      </c>
    </row>
    <row r="80" spans="1:13" ht="27">
      <c r="A80" s="662"/>
      <c r="B80" s="835"/>
      <c r="C80" s="662" t="s">
        <v>738</v>
      </c>
      <c r="D80" s="825" t="s">
        <v>15</v>
      </c>
      <c r="E80" s="662">
        <v>0.77</v>
      </c>
      <c r="F80" s="826">
        <f>F79*E80</f>
        <v>110.88</v>
      </c>
      <c r="G80" s="827"/>
      <c r="H80" s="729">
        <f t="shared" si="4"/>
        <v>0</v>
      </c>
      <c r="I80" s="827"/>
      <c r="J80" s="729">
        <f t="shared" si="5"/>
        <v>0</v>
      </c>
      <c r="K80" s="827"/>
      <c r="L80" s="729">
        <f t="shared" si="6"/>
        <v>0</v>
      </c>
      <c r="M80" s="729">
        <f t="shared" si="7"/>
        <v>0</v>
      </c>
    </row>
    <row r="81" spans="1:13" ht="27">
      <c r="A81" s="662"/>
      <c r="B81" s="835"/>
      <c r="C81" s="662" t="s">
        <v>897</v>
      </c>
      <c r="D81" s="662" t="s">
        <v>45</v>
      </c>
      <c r="E81" s="662">
        <v>0.145</v>
      </c>
      <c r="F81" s="826">
        <f>F79*E81</f>
        <v>20.88</v>
      </c>
      <c r="G81" s="827"/>
      <c r="H81" s="729">
        <f t="shared" si="4"/>
        <v>0</v>
      </c>
      <c r="I81" s="827"/>
      <c r="J81" s="729">
        <f t="shared" si="5"/>
        <v>0</v>
      </c>
      <c r="K81" s="827"/>
      <c r="L81" s="729">
        <f t="shared" si="6"/>
        <v>0</v>
      </c>
      <c r="M81" s="729">
        <f t="shared" si="7"/>
        <v>0</v>
      </c>
    </row>
    <row r="82" spans="1:13" ht="25.5">
      <c r="A82" s="696">
        <v>2</v>
      </c>
      <c r="B82" s="834" t="s">
        <v>1201</v>
      </c>
      <c r="C82" s="822" t="s">
        <v>1189</v>
      </c>
      <c r="D82" s="823" t="s">
        <v>461</v>
      </c>
      <c r="E82" s="696"/>
      <c r="F82" s="823">
        <v>500</v>
      </c>
      <c r="G82" s="806"/>
      <c r="H82" s="729">
        <f t="shared" si="4"/>
        <v>0</v>
      </c>
      <c r="I82" s="806"/>
      <c r="J82" s="729">
        <f t="shared" si="5"/>
        <v>0</v>
      </c>
      <c r="K82" s="806"/>
      <c r="L82" s="729">
        <f t="shared" si="6"/>
        <v>0</v>
      </c>
      <c r="M82" s="729">
        <f t="shared" si="7"/>
        <v>0</v>
      </c>
    </row>
    <row r="83" spans="1:13" ht="27">
      <c r="A83" s="662"/>
      <c r="B83" s="835"/>
      <c r="C83" s="662" t="s">
        <v>738</v>
      </c>
      <c r="D83" s="825" t="s">
        <v>15</v>
      </c>
      <c r="E83" s="662">
        <v>0.123</v>
      </c>
      <c r="F83" s="826">
        <f>F82*E83</f>
        <v>61.5</v>
      </c>
      <c r="G83" s="827"/>
      <c r="H83" s="729">
        <f t="shared" si="4"/>
        <v>0</v>
      </c>
      <c r="I83" s="827"/>
      <c r="J83" s="729">
        <f t="shared" si="5"/>
        <v>0</v>
      </c>
      <c r="K83" s="827"/>
      <c r="L83" s="729">
        <f t="shared" si="6"/>
        <v>0</v>
      </c>
      <c r="M83" s="729">
        <f t="shared" si="7"/>
        <v>0</v>
      </c>
    </row>
    <row r="84" spans="1:13" ht="27">
      <c r="A84" s="662"/>
      <c r="B84" s="835"/>
      <c r="C84" s="662" t="s">
        <v>897</v>
      </c>
      <c r="D84" s="662" t="s">
        <v>45</v>
      </c>
      <c r="E84" s="662">
        <v>0.0786</v>
      </c>
      <c r="F84" s="826">
        <f>F82*E84</f>
        <v>39.300000000000004</v>
      </c>
      <c r="G84" s="827"/>
      <c r="H84" s="729">
        <f t="shared" si="4"/>
        <v>0</v>
      </c>
      <c r="I84" s="827"/>
      <c r="J84" s="729">
        <f t="shared" si="5"/>
        <v>0</v>
      </c>
      <c r="K84" s="827"/>
      <c r="L84" s="729">
        <f t="shared" si="6"/>
        <v>0</v>
      </c>
      <c r="M84" s="729">
        <f t="shared" si="7"/>
        <v>0</v>
      </c>
    </row>
    <row r="85" spans="1:13" ht="25.5">
      <c r="A85" s="833">
        <v>3</v>
      </c>
      <c r="B85" s="834" t="s">
        <v>1202</v>
      </c>
      <c r="C85" s="822" t="s">
        <v>1203</v>
      </c>
      <c r="D85" s="823" t="s">
        <v>896</v>
      </c>
      <c r="E85" s="823"/>
      <c r="F85" s="823">
        <v>200</v>
      </c>
      <c r="G85" s="806"/>
      <c r="H85" s="729">
        <f t="shared" si="4"/>
        <v>0</v>
      </c>
      <c r="I85" s="806"/>
      <c r="J85" s="729">
        <f t="shared" si="5"/>
        <v>0</v>
      </c>
      <c r="K85" s="729"/>
      <c r="L85" s="729">
        <f t="shared" si="6"/>
        <v>0</v>
      </c>
      <c r="M85" s="729">
        <f t="shared" si="7"/>
        <v>0</v>
      </c>
    </row>
    <row r="86" spans="1:13" ht="27">
      <c r="A86" s="662"/>
      <c r="B86" s="662"/>
      <c r="C86" s="662" t="s">
        <v>738</v>
      </c>
      <c r="D86" s="825" t="s">
        <v>15</v>
      </c>
      <c r="E86" s="662">
        <v>0.081</v>
      </c>
      <c r="F86" s="826">
        <f>F85*E86</f>
        <v>16.2</v>
      </c>
      <c r="G86" s="827"/>
      <c r="H86" s="729">
        <f t="shared" si="4"/>
        <v>0</v>
      </c>
      <c r="I86" s="827"/>
      <c r="J86" s="729">
        <f t="shared" si="5"/>
        <v>0</v>
      </c>
      <c r="K86" s="827"/>
      <c r="L86" s="729">
        <f t="shared" si="6"/>
        <v>0</v>
      </c>
      <c r="M86" s="729">
        <f t="shared" si="7"/>
        <v>0</v>
      </c>
    </row>
    <row r="87" spans="1:13" ht="27">
      <c r="A87" s="662"/>
      <c r="B87" s="662"/>
      <c r="C87" s="662" t="s">
        <v>897</v>
      </c>
      <c r="D87" s="662" t="s">
        <v>45</v>
      </c>
      <c r="E87" s="662">
        <v>0.0606</v>
      </c>
      <c r="F87" s="826">
        <f>F85*E87</f>
        <v>12.120000000000001</v>
      </c>
      <c r="G87" s="827"/>
      <c r="H87" s="729">
        <f t="shared" si="4"/>
        <v>0</v>
      </c>
      <c r="I87" s="827"/>
      <c r="J87" s="729">
        <f t="shared" si="5"/>
        <v>0</v>
      </c>
      <c r="K87" s="827"/>
      <c r="L87" s="729">
        <f t="shared" si="6"/>
        <v>0</v>
      </c>
      <c r="M87" s="729">
        <f t="shared" si="7"/>
        <v>0</v>
      </c>
    </row>
    <row r="88" spans="1:13" ht="47.25">
      <c r="A88" s="844"/>
      <c r="B88" s="629"/>
      <c r="C88" s="1033" t="s">
        <v>1204</v>
      </c>
      <c r="D88" s="132"/>
      <c r="E88" s="132"/>
      <c r="F88" s="946"/>
      <c r="G88" s="729"/>
      <c r="H88" s="729">
        <f t="shared" si="4"/>
        <v>0</v>
      </c>
      <c r="I88" s="729"/>
      <c r="J88" s="729">
        <f t="shared" si="5"/>
        <v>0</v>
      </c>
      <c r="K88" s="729"/>
      <c r="L88" s="729">
        <f t="shared" si="6"/>
        <v>0</v>
      </c>
      <c r="M88" s="729">
        <f t="shared" si="7"/>
        <v>0</v>
      </c>
    </row>
    <row r="89" spans="1:13" ht="28.5">
      <c r="A89" s="844">
        <v>1</v>
      </c>
      <c r="B89" s="839" t="s">
        <v>910</v>
      </c>
      <c r="C89" s="1029" t="s">
        <v>1205</v>
      </c>
      <c r="D89" s="846" t="s">
        <v>51</v>
      </c>
      <c r="E89" s="846"/>
      <c r="F89" s="846">
        <v>12</v>
      </c>
      <c r="G89" s="729"/>
      <c r="H89" s="729">
        <f t="shared" si="4"/>
        <v>0</v>
      </c>
      <c r="I89" s="729"/>
      <c r="J89" s="729">
        <f t="shared" si="5"/>
        <v>0</v>
      </c>
      <c r="K89" s="729"/>
      <c r="L89" s="729">
        <f t="shared" si="6"/>
        <v>0</v>
      </c>
      <c r="M89" s="729">
        <f t="shared" si="7"/>
        <v>0</v>
      </c>
    </row>
    <row r="90" spans="1:13" ht="27">
      <c r="A90" s="696"/>
      <c r="B90" s="696"/>
      <c r="C90" s="696" t="s">
        <v>738</v>
      </c>
      <c r="D90" s="696" t="s">
        <v>15</v>
      </c>
      <c r="E90" s="696">
        <v>1.54</v>
      </c>
      <c r="F90" s="823">
        <f>F89*E90</f>
        <v>18.48</v>
      </c>
      <c r="G90" s="806"/>
      <c r="H90" s="729">
        <f t="shared" si="4"/>
        <v>0</v>
      </c>
      <c r="I90" s="806"/>
      <c r="J90" s="729">
        <f t="shared" si="5"/>
        <v>0</v>
      </c>
      <c r="K90" s="806"/>
      <c r="L90" s="729">
        <f t="shared" si="6"/>
        <v>0</v>
      </c>
      <c r="M90" s="729">
        <f t="shared" si="7"/>
        <v>0</v>
      </c>
    </row>
    <row r="91" spans="1:13" ht="27">
      <c r="A91" s="696"/>
      <c r="B91" s="696"/>
      <c r="C91" s="696" t="s">
        <v>897</v>
      </c>
      <c r="D91" s="696" t="s">
        <v>45</v>
      </c>
      <c r="E91" s="696">
        <v>0.29</v>
      </c>
      <c r="F91" s="823">
        <f>F89*E91</f>
        <v>3.4799999999999995</v>
      </c>
      <c r="G91" s="806"/>
      <c r="H91" s="729">
        <f t="shared" si="4"/>
        <v>0</v>
      </c>
      <c r="I91" s="806"/>
      <c r="J91" s="729">
        <f t="shared" si="5"/>
        <v>0</v>
      </c>
      <c r="K91" s="806"/>
      <c r="L91" s="729">
        <f t="shared" si="6"/>
        <v>0</v>
      </c>
      <c r="M91" s="729">
        <f t="shared" si="7"/>
        <v>0</v>
      </c>
    </row>
    <row r="92" spans="1:13" ht="27">
      <c r="A92" s="696"/>
      <c r="B92" s="839"/>
      <c r="C92" s="822" t="s">
        <v>1183</v>
      </c>
      <c r="D92" s="823" t="s">
        <v>112</v>
      </c>
      <c r="E92" s="833"/>
      <c r="F92" s="823">
        <v>6</v>
      </c>
      <c r="G92" s="806"/>
      <c r="H92" s="729">
        <f t="shared" si="4"/>
        <v>0</v>
      </c>
      <c r="I92" s="806"/>
      <c r="J92" s="729">
        <f t="shared" si="5"/>
        <v>0</v>
      </c>
      <c r="K92" s="806"/>
      <c r="L92" s="729">
        <f t="shared" si="6"/>
        <v>0</v>
      </c>
      <c r="M92" s="729">
        <f t="shared" si="7"/>
        <v>0</v>
      </c>
    </row>
    <row r="93" spans="1:13" ht="15.75">
      <c r="A93" s="696"/>
      <c r="B93" s="839"/>
      <c r="C93" s="822" t="s">
        <v>1206</v>
      </c>
      <c r="D93" s="823" t="s">
        <v>112</v>
      </c>
      <c r="E93" s="833"/>
      <c r="F93" s="823">
        <v>6</v>
      </c>
      <c r="G93" s="806"/>
      <c r="H93" s="729">
        <f t="shared" si="4"/>
        <v>0</v>
      </c>
      <c r="I93" s="806"/>
      <c r="J93" s="729">
        <f t="shared" si="5"/>
        <v>0</v>
      </c>
      <c r="K93" s="806"/>
      <c r="L93" s="729">
        <f t="shared" si="6"/>
        <v>0</v>
      </c>
      <c r="M93" s="729">
        <f t="shared" si="7"/>
        <v>0</v>
      </c>
    </row>
    <row r="94" spans="1:13" ht="27">
      <c r="A94" s="828"/>
      <c r="B94" s="696"/>
      <c r="C94" s="829" t="s">
        <v>437</v>
      </c>
      <c r="D94" s="829" t="s">
        <v>45</v>
      </c>
      <c r="E94" s="1030">
        <v>0.58</v>
      </c>
      <c r="F94" s="831">
        <f>F89*E94</f>
        <v>6.959999999999999</v>
      </c>
      <c r="G94" s="806"/>
      <c r="H94" s="729">
        <f t="shared" si="4"/>
        <v>0</v>
      </c>
      <c r="I94" s="806"/>
      <c r="J94" s="729">
        <f t="shared" si="5"/>
        <v>0</v>
      </c>
      <c r="K94" s="806"/>
      <c r="L94" s="729">
        <f t="shared" si="6"/>
        <v>0</v>
      </c>
      <c r="M94" s="729">
        <f t="shared" si="7"/>
        <v>0</v>
      </c>
    </row>
    <row r="95" spans="1:13" ht="15.75">
      <c r="A95" s="844">
        <v>3</v>
      </c>
      <c r="B95" s="839" t="s">
        <v>905</v>
      </c>
      <c r="C95" s="623" t="s">
        <v>1185</v>
      </c>
      <c r="D95" s="845" t="s">
        <v>614</v>
      </c>
      <c r="E95" s="845"/>
      <c r="F95" s="846">
        <v>8</v>
      </c>
      <c r="G95" s="729"/>
      <c r="H95" s="729">
        <f t="shared" si="4"/>
        <v>0</v>
      </c>
      <c r="I95" s="729"/>
      <c r="J95" s="729">
        <f t="shared" si="5"/>
        <v>0</v>
      </c>
      <c r="K95" s="729"/>
      <c r="L95" s="729">
        <f t="shared" si="6"/>
        <v>0</v>
      </c>
      <c r="M95" s="729">
        <f t="shared" si="7"/>
        <v>0</v>
      </c>
    </row>
    <row r="96" spans="1:13" ht="27">
      <c r="A96" s="696"/>
      <c r="B96" s="696"/>
      <c r="C96" s="696" t="s">
        <v>738</v>
      </c>
      <c r="D96" s="696" t="s">
        <v>15</v>
      </c>
      <c r="E96" s="696">
        <v>0.22</v>
      </c>
      <c r="F96" s="823">
        <f>F95*E96</f>
        <v>1.76</v>
      </c>
      <c r="G96" s="806"/>
      <c r="H96" s="729">
        <f t="shared" si="4"/>
        <v>0</v>
      </c>
      <c r="I96" s="806"/>
      <c r="J96" s="729">
        <f t="shared" si="5"/>
        <v>0</v>
      </c>
      <c r="K96" s="806"/>
      <c r="L96" s="729">
        <f t="shared" si="6"/>
        <v>0</v>
      </c>
      <c r="M96" s="729">
        <f t="shared" si="7"/>
        <v>0</v>
      </c>
    </row>
    <row r="97" spans="1:13" ht="27">
      <c r="A97" s="696"/>
      <c r="B97" s="696"/>
      <c r="C97" s="696" t="s">
        <v>897</v>
      </c>
      <c r="D97" s="696" t="s">
        <v>45</v>
      </c>
      <c r="E97" s="696">
        <v>0.0002</v>
      </c>
      <c r="F97" s="823">
        <f>F95*E97</f>
        <v>0.0016</v>
      </c>
      <c r="G97" s="806"/>
      <c r="H97" s="729">
        <f t="shared" si="4"/>
        <v>0</v>
      </c>
      <c r="I97" s="806"/>
      <c r="J97" s="729">
        <f t="shared" si="5"/>
        <v>0</v>
      </c>
      <c r="K97" s="806"/>
      <c r="L97" s="729">
        <f t="shared" si="6"/>
        <v>0</v>
      </c>
      <c r="M97" s="729">
        <f t="shared" si="7"/>
        <v>0</v>
      </c>
    </row>
    <row r="98" spans="1:13" ht="15.75">
      <c r="A98" s="696"/>
      <c r="B98" s="839"/>
      <c r="C98" s="840" t="s">
        <v>1186</v>
      </c>
      <c r="D98" s="823" t="s">
        <v>112</v>
      </c>
      <c r="E98" s="833"/>
      <c r="F98" s="823">
        <v>8</v>
      </c>
      <c r="G98" s="806"/>
      <c r="H98" s="729">
        <f t="shared" si="4"/>
        <v>0</v>
      </c>
      <c r="I98" s="806"/>
      <c r="J98" s="729">
        <f t="shared" si="5"/>
        <v>0</v>
      </c>
      <c r="K98" s="806"/>
      <c r="L98" s="729">
        <f t="shared" si="6"/>
        <v>0</v>
      </c>
      <c r="M98" s="729">
        <f t="shared" si="7"/>
        <v>0</v>
      </c>
    </row>
    <row r="99" spans="1:13" ht="27">
      <c r="A99" s="828"/>
      <c r="B99" s="696"/>
      <c r="C99" s="829" t="s">
        <v>437</v>
      </c>
      <c r="D99" s="829" t="s">
        <v>45</v>
      </c>
      <c r="E99" s="830">
        <v>0.0828</v>
      </c>
      <c r="F99" s="831">
        <f>F95*E99</f>
        <v>0.6624</v>
      </c>
      <c r="G99" s="806"/>
      <c r="H99" s="729">
        <f t="shared" si="4"/>
        <v>0</v>
      </c>
      <c r="I99" s="806"/>
      <c r="J99" s="729">
        <f t="shared" si="5"/>
        <v>0</v>
      </c>
      <c r="K99" s="806"/>
      <c r="L99" s="729">
        <f t="shared" si="6"/>
        <v>0</v>
      </c>
      <c r="M99" s="729">
        <f t="shared" si="7"/>
        <v>0</v>
      </c>
    </row>
    <row r="100" spans="1:13" ht="15.75">
      <c r="A100" s="696">
        <v>4</v>
      </c>
      <c r="B100" s="839" t="s">
        <v>903</v>
      </c>
      <c r="C100" s="840" t="s">
        <v>1187</v>
      </c>
      <c r="D100" s="696" t="s">
        <v>614</v>
      </c>
      <c r="E100" s="833"/>
      <c r="F100" s="823">
        <v>4</v>
      </c>
      <c r="G100" s="806"/>
      <c r="H100" s="729">
        <f t="shared" si="4"/>
        <v>0</v>
      </c>
      <c r="I100" s="806"/>
      <c r="J100" s="729">
        <f t="shared" si="5"/>
        <v>0</v>
      </c>
      <c r="K100" s="806"/>
      <c r="L100" s="729">
        <f t="shared" si="6"/>
        <v>0</v>
      </c>
      <c r="M100" s="729">
        <f t="shared" si="7"/>
        <v>0</v>
      </c>
    </row>
    <row r="101" spans="1:13" ht="27">
      <c r="A101" s="696"/>
      <c r="B101" s="696"/>
      <c r="C101" s="696" t="s">
        <v>738</v>
      </c>
      <c r="D101" s="696" t="s">
        <v>15</v>
      </c>
      <c r="E101" s="696">
        <v>0.2</v>
      </c>
      <c r="F101" s="823">
        <f>F100*E101</f>
        <v>0.8</v>
      </c>
      <c r="G101" s="806"/>
      <c r="H101" s="729">
        <f t="shared" si="4"/>
        <v>0</v>
      </c>
      <c r="I101" s="806"/>
      <c r="J101" s="729">
        <f t="shared" si="5"/>
        <v>0</v>
      </c>
      <c r="K101" s="806"/>
      <c r="L101" s="729">
        <f t="shared" si="6"/>
        <v>0</v>
      </c>
      <c r="M101" s="729">
        <f t="shared" si="7"/>
        <v>0</v>
      </c>
    </row>
    <row r="102" spans="1:13" ht="27">
      <c r="A102" s="696"/>
      <c r="B102" s="696"/>
      <c r="C102" s="696" t="s">
        <v>897</v>
      </c>
      <c r="D102" s="696" t="s">
        <v>45</v>
      </c>
      <c r="E102" s="696">
        <v>0.0005</v>
      </c>
      <c r="F102" s="823">
        <f>F100*E102</f>
        <v>0.002</v>
      </c>
      <c r="G102" s="806"/>
      <c r="H102" s="729">
        <f t="shared" si="4"/>
        <v>0</v>
      </c>
      <c r="I102" s="806"/>
      <c r="J102" s="729">
        <f t="shared" si="5"/>
        <v>0</v>
      </c>
      <c r="K102" s="806"/>
      <c r="L102" s="729">
        <f t="shared" si="6"/>
        <v>0</v>
      </c>
      <c r="M102" s="729">
        <f t="shared" si="7"/>
        <v>0</v>
      </c>
    </row>
    <row r="103" spans="1:13" ht="15.75">
      <c r="A103" s="833"/>
      <c r="B103" s="696"/>
      <c r="C103" s="840" t="s">
        <v>1187</v>
      </c>
      <c r="D103" s="634" t="s">
        <v>614</v>
      </c>
      <c r="E103" s="634"/>
      <c r="F103" s="823">
        <f>F100</f>
        <v>4</v>
      </c>
      <c r="G103" s="729"/>
      <c r="H103" s="729">
        <f t="shared" si="4"/>
        <v>0</v>
      </c>
      <c r="I103" s="729"/>
      <c r="J103" s="729">
        <f t="shared" si="5"/>
        <v>0</v>
      </c>
      <c r="K103" s="729"/>
      <c r="L103" s="729">
        <f t="shared" si="6"/>
        <v>0</v>
      </c>
      <c r="M103" s="729">
        <f t="shared" si="7"/>
        <v>0</v>
      </c>
    </row>
    <row r="104" spans="1:13" ht="27">
      <c r="A104" s="828"/>
      <c r="B104" s="696"/>
      <c r="C104" s="829" t="s">
        <v>437</v>
      </c>
      <c r="D104" s="829" t="s">
        <v>45</v>
      </c>
      <c r="E104" s="830">
        <v>0.0825</v>
      </c>
      <c r="F104" s="831">
        <f>F100*E104</f>
        <v>0.33</v>
      </c>
      <c r="G104" s="806"/>
      <c r="H104" s="729">
        <f t="shared" si="4"/>
        <v>0</v>
      </c>
      <c r="I104" s="806"/>
      <c r="J104" s="729">
        <f t="shared" si="5"/>
        <v>0</v>
      </c>
      <c r="K104" s="806"/>
      <c r="L104" s="729">
        <f t="shared" si="6"/>
        <v>0</v>
      </c>
      <c r="M104" s="729">
        <f t="shared" si="7"/>
        <v>0</v>
      </c>
    </row>
    <row r="105" spans="1:13" ht="15.75">
      <c r="A105" s="696">
        <v>5</v>
      </c>
      <c r="B105" s="1034" t="s">
        <v>895</v>
      </c>
      <c r="C105" s="822" t="s">
        <v>1189</v>
      </c>
      <c r="D105" s="823" t="s">
        <v>896</v>
      </c>
      <c r="E105" s="696"/>
      <c r="F105" s="823">
        <f>F108+F109+F110</f>
        <v>220</v>
      </c>
      <c r="G105" s="806"/>
      <c r="H105" s="729">
        <f t="shared" si="4"/>
        <v>0</v>
      </c>
      <c r="I105" s="806"/>
      <c r="J105" s="729">
        <f t="shared" si="5"/>
        <v>0</v>
      </c>
      <c r="K105" s="806"/>
      <c r="L105" s="729">
        <f t="shared" si="6"/>
        <v>0</v>
      </c>
      <c r="M105" s="729">
        <f t="shared" si="7"/>
        <v>0</v>
      </c>
    </row>
    <row r="106" spans="1:13" ht="27">
      <c r="A106" s="696"/>
      <c r="B106" s="696"/>
      <c r="C106" s="696" t="s">
        <v>738</v>
      </c>
      <c r="D106" s="696" t="s">
        <v>15</v>
      </c>
      <c r="E106" s="696">
        <v>0.41</v>
      </c>
      <c r="F106" s="823">
        <f>F105*E106</f>
        <v>90.19999999999999</v>
      </c>
      <c r="G106" s="806"/>
      <c r="H106" s="729">
        <f t="shared" si="4"/>
        <v>0</v>
      </c>
      <c r="I106" s="806"/>
      <c r="J106" s="729">
        <f t="shared" si="5"/>
        <v>0</v>
      </c>
      <c r="K106" s="806"/>
      <c r="L106" s="729">
        <f t="shared" si="6"/>
        <v>0</v>
      </c>
      <c r="M106" s="729">
        <f t="shared" si="7"/>
        <v>0</v>
      </c>
    </row>
    <row r="107" spans="1:13" ht="27">
      <c r="A107" s="696"/>
      <c r="B107" s="696"/>
      <c r="C107" s="696" t="s">
        <v>897</v>
      </c>
      <c r="D107" s="696" t="s">
        <v>45</v>
      </c>
      <c r="E107" s="696">
        <v>0.262</v>
      </c>
      <c r="F107" s="823">
        <f>F105*E107</f>
        <v>57.64</v>
      </c>
      <c r="G107" s="806"/>
      <c r="H107" s="729">
        <f t="shared" si="4"/>
        <v>0</v>
      </c>
      <c r="I107" s="806"/>
      <c r="J107" s="729">
        <f t="shared" si="5"/>
        <v>0</v>
      </c>
      <c r="K107" s="806"/>
      <c r="L107" s="729">
        <f t="shared" si="6"/>
        <v>0</v>
      </c>
      <c r="M107" s="729">
        <f t="shared" si="7"/>
        <v>0</v>
      </c>
    </row>
    <row r="108" spans="1:13" ht="40.5">
      <c r="A108" s="833"/>
      <c r="B108" s="696"/>
      <c r="C108" s="822" t="s">
        <v>1190</v>
      </c>
      <c r="D108" s="823" t="s">
        <v>896</v>
      </c>
      <c r="E108" s="823"/>
      <c r="F108" s="823">
        <v>100</v>
      </c>
      <c r="G108" s="806"/>
      <c r="H108" s="729">
        <f t="shared" si="4"/>
        <v>0</v>
      </c>
      <c r="I108" s="806"/>
      <c r="J108" s="729">
        <f t="shared" si="5"/>
        <v>0</v>
      </c>
      <c r="K108" s="729"/>
      <c r="L108" s="729">
        <f t="shared" si="6"/>
        <v>0</v>
      </c>
      <c r="M108" s="729">
        <f t="shared" si="7"/>
        <v>0</v>
      </c>
    </row>
    <row r="109" spans="1:13" ht="40.5">
      <c r="A109" s="833"/>
      <c r="B109" s="696"/>
      <c r="C109" s="822" t="s">
        <v>1191</v>
      </c>
      <c r="D109" s="823" t="s">
        <v>896</v>
      </c>
      <c r="E109" s="823"/>
      <c r="F109" s="823">
        <v>100</v>
      </c>
      <c r="G109" s="806"/>
      <c r="H109" s="729">
        <f t="shared" si="4"/>
        <v>0</v>
      </c>
      <c r="I109" s="806"/>
      <c r="J109" s="729">
        <f t="shared" si="5"/>
        <v>0</v>
      </c>
      <c r="K109" s="729"/>
      <c r="L109" s="729">
        <f t="shared" si="6"/>
        <v>0</v>
      </c>
      <c r="M109" s="729">
        <f t="shared" si="7"/>
        <v>0</v>
      </c>
    </row>
    <row r="110" spans="1:13" ht="40.5">
      <c r="A110" s="833"/>
      <c r="B110" s="696"/>
      <c r="C110" s="822" t="s">
        <v>1192</v>
      </c>
      <c r="D110" s="823" t="s">
        <v>896</v>
      </c>
      <c r="E110" s="823"/>
      <c r="F110" s="823">
        <v>20</v>
      </c>
      <c r="G110" s="806"/>
      <c r="H110" s="729">
        <f t="shared" si="4"/>
        <v>0</v>
      </c>
      <c r="I110" s="806"/>
      <c r="J110" s="729">
        <f t="shared" si="5"/>
        <v>0</v>
      </c>
      <c r="K110" s="729"/>
      <c r="L110" s="729">
        <f t="shared" si="6"/>
        <v>0</v>
      </c>
      <c r="M110" s="729">
        <f t="shared" si="7"/>
        <v>0</v>
      </c>
    </row>
    <row r="111" spans="1:13" ht="27">
      <c r="A111" s="828"/>
      <c r="B111" s="696"/>
      <c r="C111" s="829" t="s">
        <v>437</v>
      </c>
      <c r="D111" s="829" t="s">
        <v>45</v>
      </c>
      <c r="E111" s="830">
        <v>0.148</v>
      </c>
      <c r="F111" s="831">
        <f>F105*E111</f>
        <v>32.559999999999995</v>
      </c>
      <c r="G111" s="806"/>
      <c r="H111" s="729">
        <f t="shared" si="4"/>
        <v>0</v>
      </c>
      <c r="I111" s="806"/>
      <c r="J111" s="729">
        <f t="shared" si="5"/>
        <v>0</v>
      </c>
      <c r="K111" s="806"/>
      <c r="L111" s="729">
        <f t="shared" si="6"/>
        <v>0</v>
      </c>
      <c r="M111" s="729">
        <f t="shared" si="7"/>
        <v>0</v>
      </c>
    </row>
    <row r="112" spans="1:13" ht="15.75">
      <c r="A112" s="833">
        <v>6</v>
      </c>
      <c r="B112" s="1034" t="s">
        <v>899</v>
      </c>
      <c r="C112" s="822" t="s">
        <v>1193</v>
      </c>
      <c r="D112" s="823" t="s">
        <v>896</v>
      </c>
      <c r="E112" s="823"/>
      <c r="F112" s="823">
        <v>100</v>
      </c>
      <c r="G112" s="806"/>
      <c r="H112" s="729">
        <f t="shared" si="4"/>
        <v>0</v>
      </c>
      <c r="I112" s="806"/>
      <c r="J112" s="729">
        <f t="shared" si="5"/>
        <v>0</v>
      </c>
      <c r="K112" s="729"/>
      <c r="L112" s="729">
        <f t="shared" si="6"/>
        <v>0</v>
      </c>
      <c r="M112" s="729">
        <f t="shared" si="7"/>
        <v>0</v>
      </c>
    </row>
    <row r="113" spans="1:13" ht="27">
      <c r="A113" s="696"/>
      <c r="B113" s="696"/>
      <c r="C113" s="696" t="s">
        <v>738</v>
      </c>
      <c r="D113" s="696" t="s">
        <v>15</v>
      </c>
      <c r="E113" s="696">
        <v>0.27</v>
      </c>
      <c r="F113" s="823">
        <f>F112*E113</f>
        <v>27</v>
      </c>
      <c r="G113" s="806"/>
      <c r="H113" s="729">
        <f t="shared" si="4"/>
        <v>0</v>
      </c>
      <c r="I113" s="806"/>
      <c r="J113" s="729">
        <f t="shared" si="5"/>
        <v>0</v>
      </c>
      <c r="K113" s="806"/>
      <c r="L113" s="729">
        <f t="shared" si="6"/>
        <v>0</v>
      </c>
      <c r="M113" s="729">
        <f t="shared" si="7"/>
        <v>0</v>
      </c>
    </row>
    <row r="114" spans="1:13" ht="27">
      <c r="A114" s="696"/>
      <c r="B114" s="696"/>
      <c r="C114" s="696" t="s">
        <v>897</v>
      </c>
      <c r="D114" s="696" t="s">
        <v>45</v>
      </c>
      <c r="E114" s="696">
        <v>0.202</v>
      </c>
      <c r="F114" s="823">
        <f>F112*E114</f>
        <v>20.200000000000003</v>
      </c>
      <c r="G114" s="806"/>
      <c r="H114" s="729">
        <f t="shared" si="4"/>
        <v>0</v>
      </c>
      <c r="I114" s="806"/>
      <c r="J114" s="729">
        <f t="shared" si="5"/>
        <v>0</v>
      </c>
      <c r="K114" s="806"/>
      <c r="L114" s="729">
        <f t="shared" si="6"/>
        <v>0</v>
      </c>
      <c r="M114" s="729">
        <f t="shared" si="7"/>
        <v>0</v>
      </c>
    </row>
    <row r="115" spans="1:13" ht="15.75">
      <c r="A115" s="696"/>
      <c r="B115" s="696"/>
      <c r="C115" s="822" t="s">
        <v>1194</v>
      </c>
      <c r="D115" s="823" t="s">
        <v>896</v>
      </c>
      <c r="E115" s="823"/>
      <c r="F115" s="823">
        <v>100</v>
      </c>
      <c r="G115" s="806"/>
      <c r="H115" s="729">
        <f t="shared" si="4"/>
        <v>0</v>
      </c>
      <c r="I115" s="806"/>
      <c r="J115" s="729">
        <f t="shared" si="5"/>
        <v>0</v>
      </c>
      <c r="K115" s="729"/>
      <c r="L115" s="729">
        <f t="shared" si="6"/>
        <v>0</v>
      </c>
      <c r="M115" s="729">
        <f t="shared" si="7"/>
        <v>0</v>
      </c>
    </row>
    <row r="116" spans="1:13" ht="27">
      <c r="A116" s="828"/>
      <c r="B116" s="696"/>
      <c r="C116" s="829" t="s">
        <v>437</v>
      </c>
      <c r="D116" s="829" t="s">
        <v>45</v>
      </c>
      <c r="E116" s="830">
        <v>0.003</v>
      </c>
      <c r="F116" s="831">
        <f>F112*E116</f>
        <v>0.3</v>
      </c>
      <c r="G116" s="806"/>
      <c r="H116" s="729">
        <f t="shared" si="4"/>
        <v>0</v>
      </c>
      <c r="I116" s="806"/>
      <c r="J116" s="729">
        <f t="shared" si="5"/>
        <v>0</v>
      </c>
      <c r="K116" s="806"/>
      <c r="L116" s="729">
        <f t="shared" si="6"/>
        <v>0</v>
      </c>
      <c r="M116" s="729">
        <f t="shared" si="7"/>
        <v>0</v>
      </c>
    </row>
    <row r="117" spans="1:13" ht="15.75">
      <c r="A117" s="849">
        <v>7</v>
      </c>
      <c r="B117" s="850" t="s">
        <v>907</v>
      </c>
      <c r="C117" s="848" t="s">
        <v>908</v>
      </c>
      <c r="D117" s="634" t="s">
        <v>614</v>
      </c>
      <c r="E117" s="849"/>
      <c r="F117" s="851">
        <v>6</v>
      </c>
      <c r="G117" s="852"/>
      <c r="H117" s="729">
        <f t="shared" si="4"/>
        <v>0</v>
      </c>
      <c r="I117" s="852"/>
      <c r="J117" s="729">
        <f t="shared" si="5"/>
        <v>0</v>
      </c>
      <c r="K117" s="852"/>
      <c r="L117" s="729">
        <f t="shared" si="6"/>
        <v>0</v>
      </c>
      <c r="M117" s="729">
        <f t="shared" si="7"/>
        <v>0</v>
      </c>
    </row>
    <row r="118" spans="1:13" ht="15.75">
      <c r="A118" s="854"/>
      <c r="B118" s="855"/>
      <c r="C118" s="856" t="s">
        <v>909</v>
      </c>
      <c r="D118" s="634" t="s">
        <v>31</v>
      </c>
      <c r="E118" s="857">
        <v>1</v>
      </c>
      <c r="F118" s="858">
        <f>F117*E118</f>
        <v>6</v>
      </c>
      <c r="G118" s="852"/>
      <c r="H118" s="729">
        <f t="shared" si="4"/>
        <v>0</v>
      </c>
      <c r="I118" s="852"/>
      <c r="J118" s="729">
        <f t="shared" si="5"/>
        <v>0</v>
      </c>
      <c r="K118" s="852"/>
      <c r="L118" s="729">
        <f t="shared" si="6"/>
        <v>0</v>
      </c>
      <c r="M118" s="729">
        <f t="shared" si="7"/>
        <v>0</v>
      </c>
    </row>
    <row r="119" spans="1:13" ht="15.75">
      <c r="A119" s="854"/>
      <c r="B119" s="855"/>
      <c r="C119" s="1012" t="s">
        <v>913</v>
      </c>
      <c r="D119" s="634" t="s">
        <v>32</v>
      </c>
      <c r="E119" s="1031">
        <v>0.05</v>
      </c>
      <c r="F119" s="858">
        <f>F117*E119</f>
        <v>0.30000000000000004</v>
      </c>
      <c r="G119" s="852"/>
      <c r="H119" s="729">
        <f t="shared" si="4"/>
        <v>0</v>
      </c>
      <c r="I119" s="852"/>
      <c r="J119" s="729">
        <f t="shared" si="5"/>
        <v>0</v>
      </c>
      <c r="K119" s="852"/>
      <c r="L119" s="729">
        <f t="shared" si="6"/>
        <v>0</v>
      </c>
      <c r="M119" s="729">
        <f t="shared" si="7"/>
        <v>0</v>
      </c>
    </row>
    <row r="120" spans="1:13" ht="27">
      <c r="A120" s="833"/>
      <c r="B120" s="696"/>
      <c r="C120" s="848" t="s">
        <v>1195</v>
      </c>
      <c r="D120" s="829" t="s">
        <v>614</v>
      </c>
      <c r="E120" s="1032"/>
      <c r="F120" s="831">
        <v>1</v>
      </c>
      <c r="G120" s="806"/>
      <c r="H120" s="729">
        <f t="shared" si="4"/>
        <v>0</v>
      </c>
      <c r="I120" s="806"/>
      <c r="J120" s="729">
        <f t="shared" si="5"/>
        <v>0</v>
      </c>
      <c r="K120" s="806"/>
      <c r="L120" s="729">
        <f t="shared" si="6"/>
        <v>0</v>
      </c>
      <c r="M120" s="729">
        <f t="shared" si="7"/>
        <v>0</v>
      </c>
    </row>
    <row r="121" spans="1:13" ht="27">
      <c r="A121" s="833"/>
      <c r="B121" s="696"/>
      <c r="C121" s="848" t="s">
        <v>1196</v>
      </c>
      <c r="D121" s="829" t="s">
        <v>614</v>
      </c>
      <c r="E121" s="1032"/>
      <c r="F121" s="831">
        <v>3</v>
      </c>
      <c r="G121" s="806"/>
      <c r="H121" s="729">
        <f t="shared" si="4"/>
        <v>0</v>
      </c>
      <c r="I121" s="806"/>
      <c r="J121" s="729">
        <f t="shared" si="5"/>
        <v>0</v>
      </c>
      <c r="K121" s="806"/>
      <c r="L121" s="729">
        <f t="shared" si="6"/>
        <v>0</v>
      </c>
      <c r="M121" s="729">
        <f t="shared" si="7"/>
        <v>0</v>
      </c>
    </row>
    <row r="122" spans="1:13" ht="27">
      <c r="A122" s="828"/>
      <c r="B122" s="696"/>
      <c r="C122" s="829" t="s">
        <v>437</v>
      </c>
      <c r="D122" s="829" t="s">
        <v>45</v>
      </c>
      <c r="E122" s="830">
        <v>1.07</v>
      </c>
      <c r="F122" s="831">
        <f>E122*F117</f>
        <v>6.42</v>
      </c>
      <c r="G122" s="806"/>
      <c r="H122" s="729">
        <f t="shared" si="4"/>
        <v>0</v>
      </c>
      <c r="I122" s="806"/>
      <c r="J122" s="729">
        <f t="shared" si="5"/>
        <v>0</v>
      </c>
      <c r="K122" s="806"/>
      <c r="L122" s="729">
        <f t="shared" si="6"/>
        <v>0</v>
      </c>
      <c r="M122" s="729">
        <f t="shared" si="7"/>
        <v>0</v>
      </c>
    </row>
    <row r="123" spans="1:13" ht="14.25">
      <c r="A123" s="844"/>
      <c r="B123" s="844"/>
      <c r="C123" s="974" t="s">
        <v>0</v>
      </c>
      <c r="D123" s="665"/>
      <c r="E123" s="665"/>
      <c r="F123" s="1035"/>
      <c r="G123" s="1036"/>
      <c r="H123" s="977">
        <f>SUM(H9:H122)</f>
        <v>0</v>
      </c>
      <c r="I123" s="977"/>
      <c r="J123" s="977">
        <f>SUM(J9:J122)</f>
        <v>0</v>
      </c>
      <c r="K123" s="977"/>
      <c r="L123" s="977">
        <f>SUM(L9:L122)</f>
        <v>0</v>
      </c>
      <c r="M123" s="977">
        <f>H123+J123+L123</f>
        <v>0</v>
      </c>
    </row>
    <row r="124" spans="1:13" s="841" customFormat="1" ht="27">
      <c r="A124" s="1037"/>
      <c r="B124" s="1037"/>
      <c r="C124" s="1038" t="s">
        <v>1207</v>
      </c>
      <c r="D124" s="1039">
        <v>0</v>
      </c>
      <c r="E124" s="629"/>
      <c r="F124" s="629"/>
      <c r="G124" s="1040"/>
      <c r="H124" s="1040"/>
      <c r="I124" s="1040"/>
      <c r="J124" s="1040"/>
      <c r="K124" s="1040"/>
      <c r="L124" s="1040"/>
      <c r="M124" s="1040">
        <f>H123*D124</f>
        <v>0</v>
      </c>
    </row>
    <row r="125" spans="1:13" s="841" customFormat="1" ht="13.5">
      <c r="A125" s="1037"/>
      <c r="B125" s="1037"/>
      <c r="C125" s="1041" t="s">
        <v>0</v>
      </c>
      <c r="D125" s="629"/>
      <c r="E125" s="629"/>
      <c r="F125" s="629"/>
      <c r="G125" s="1040"/>
      <c r="H125" s="1040"/>
      <c r="I125" s="1040"/>
      <c r="J125" s="1040"/>
      <c r="K125" s="1040"/>
      <c r="L125" s="1040"/>
      <c r="M125" s="1040">
        <f>SUM(M123:M124)</f>
        <v>0</v>
      </c>
    </row>
    <row r="126" spans="1:13" s="841" customFormat="1" ht="12.75">
      <c r="A126" s="696"/>
      <c r="B126" s="696"/>
      <c r="C126" s="978" t="s">
        <v>1178</v>
      </c>
      <c r="D126" s="1039">
        <v>0</v>
      </c>
      <c r="E126" s="629"/>
      <c r="F126" s="1042"/>
      <c r="G126" s="1040"/>
      <c r="H126" s="1040"/>
      <c r="I126" s="1040"/>
      <c r="J126" s="1040"/>
      <c r="K126" s="1040"/>
      <c r="L126" s="1040"/>
      <c r="M126" s="1040">
        <f>M125*D126</f>
        <v>0</v>
      </c>
    </row>
    <row r="127" spans="1:13" s="841" customFormat="1" ht="12.75">
      <c r="A127" s="696"/>
      <c r="B127" s="1043"/>
      <c r="C127" s="982" t="s">
        <v>0</v>
      </c>
      <c r="D127" s="1044"/>
      <c r="E127" s="1044"/>
      <c r="F127" s="1045"/>
      <c r="G127" s="1046"/>
      <c r="H127" s="1046"/>
      <c r="I127" s="1046"/>
      <c r="J127" s="1046"/>
      <c r="K127" s="1046"/>
      <c r="L127" s="1046"/>
      <c r="M127" s="1040">
        <f>SUM(M125:M126)</f>
        <v>0</v>
      </c>
    </row>
    <row r="128" spans="1:13" ht="14.25">
      <c r="A128" s="638"/>
      <c r="B128" s="638"/>
      <c r="C128" s="638"/>
      <c r="D128" s="1021"/>
      <c r="E128" s="1047"/>
      <c r="F128" s="1047"/>
      <c r="G128" s="1047"/>
      <c r="H128" s="1047"/>
      <c r="I128" s="1047"/>
      <c r="J128" s="1047"/>
      <c r="K128" s="632"/>
      <c r="L128" s="632"/>
      <c r="M128" s="1048"/>
    </row>
    <row r="129" spans="1:8" ht="14.25">
      <c r="A129" s="847"/>
      <c r="B129" s="847"/>
      <c r="C129" s="847"/>
      <c r="H129" s="847"/>
    </row>
    <row r="130" spans="1:8" ht="15.75">
      <c r="A130" s="847"/>
      <c r="B130" s="847"/>
      <c r="C130" s="847"/>
      <c r="H130" s="847"/>
    </row>
    <row r="131" spans="1:8" ht="15.75">
      <c r="A131" s="847"/>
      <c r="B131" s="847"/>
      <c r="C131" s="847"/>
      <c r="H131" s="847"/>
    </row>
    <row r="132" spans="1:8" ht="15.75">
      <c r="A132" s="847"/>
      <c r="B132" s="847"/>
      <c r="C132" s="847"/>
      <c r="H132" s="847"/>
    </row>
    <row r="133" spans="1:8" ht="15.75">
      <c r="A133" s="847"/>
      <c r="B133" s="847"/>
      <c r="C133" s="847"/>
      <c r="H133" s="847"/>
    </row>
    <row r="134" spans="1:8" ht="15.75">
      <c r="A134" s="847"/>
      <c r="B134" s="847"/>
      <c r="C134" s="847"/>
      <c r="H134" s="847"/>
    </row>
    <row r="135" spans="1:8" ht="15.75">
      <c r="A135" s="847"/>
      <c r="B135" s="847"/>
      <c r="C135" s="847"/>
      <c r="H135" s="847"/>
    </row>
    <row r="136" spans="1:8" ht="15.75">
      <c r="A136" s="847"/>
      <c r="B136" s="847"/>
      <c r="C136" s="847"/>
      <c r="H136" s="847"/>
    </row>
    <row r="137" spans="1:8" ht="15.75">
      <c r="A137" s="847"/>
      <c r="B137" s="847"/>
      <c r="C137" s="847"/>
      <c r="H137" s="847"/>
    </row>
    <row r="138" spans="1:8" ht="15.75">
      <c r="A138" s="847"/>
      <c r="B138" s="847"/>
      <c r="C138" s="847"/>
      <c r="H138" s="847"/>
    </row>
    <row r="139" spans="1:8" ht="15.75">
      <c r="A139" s="847"/>
      <c r="B139" s="847"/>
      <c r="C139" s="847"/>
      <c r="H139" s="847"/>
    </row>
    <row r="140" spans="1:8" ht="15.75">
      <c r="A140" s="847"/>
      <c r="B140" s="847"/>
      <c r="C140" s="847"/>
      <c r="H140" s="847"/>
    </row>
    <row r="141" spans="1:8" ht="15.75">
      <c r="A141" s="847"/>
      <c r="B141" s="847"/>
      <c r="C141" s="847"/>
      <c r="H141" s="847"/>
    </row>
    <row r="142" spans="1:8" ht="15.75">
      <c r="A142" s="847"/>
      <c r="B142" s="847"/>
      <c r="C142" s="847"/>
      <c r="H142" s="847"/>
    </row>
    <row r="143" spans="1:8" ht="15.75">
      <c r="A143" s="847"/>
      <c r="B143" s="847"/>
      <c r="C143" s="847"/>
      <c r="H143" s="847"/>
    </row>
    <row r="144" spans="1:13" ht="15.75">
      <c r="A144" s="1022"/>
      <c r="B144" s="1022"/>
      <c r="C144" s="1023"/>
      <c r="D144" s="1024"/>
      <c r="E144" s="1024"/>
      <c r="F144" s="1024"/>
      <c r="G144" s="1024"/>
      <c r="H144" s="1025"/>
      <c r="I144" s="1024"/>
      <c r="J144" s="1024"/>
      <c r="K144" s="1024"/>
      <c r="L144" s="1024"/>
      <c r="M144" s="1024"/>
    </row>
    <row r="145" spans="1:13" ht="15.75">
      <c r="A145" s="1022"/>
      <c r="B145" s="1022"/>
      <c r="C145" s="1023"/>
      <c r="D145" s="1024"/>
      <c r="E145" s="1024"/>
      <c r="F145" s="1024"/>
      <c r="G145" s="1024"/>
      <c r="H145" s="1025"/>
      <c r="I145" s="1024"/>
      <c r="J145" s="1024"/>
      <c r="K145" s="1024"/>
      <c r="L145" s="1024"/>
      <c r="M145" s="1024"/>
    </row>
    <row r="146" spans="1:13" ht="15.75">
      <c r="A146" s="1022"/>
      <c r="B146" s="1022"/>
      <c r="C146" s="1023"/>
      <c r="D146" s="1024"/>
      <c r="E146" s="1024"/>
      <c r="F146" s="1024"/>
      <c r="G146" s="1024"/>
      <c r="H146" s="1025"/>
      <c r="I146" s="1024"/>
      <c r="J146" s="1024"/>
      <c r="K146" s="1024"/>
      <c r="L146" s="1024"/>
      <c r="M146" s="1024"/>
    </row>
    <row r="147" spans="1:13" ht="15.75">
      <c r="A147" s="1022"/>
      <c r="B147" s="1022"/>
      <c r="C147" s="1023"/>
      <c r="D147" s="1024"/>
      <c r="E147" s="1024"/>
      <c r="F147" s="1024"/>
      <c r="G147" s="1024"/>
      <c r="H147" s="1025"/>
      <c r="I147" s="1024"/>
      <c r="J147" s="1024"/>
      <c r="K147" s="1024"/>
      <c r="L147" s="1024"/>
      <c r="M147" s="1024"/>
    </row>
    <row r="148" spans="1:13" ht="15.75">
      <c r="A148" s="1022"/>
      <c r="B148" s="1022"/>
      <c r="C148" s="1023"/>
      <c r="D148" s="1024"/>
      <c r="E148" s="1024"/>
      <c r="F148" s="1024"/>
      <c r="G148" s="1024"/>
      <c r="H148" s="1025"/>
      <c r="I148" s="1024"/>
      <c r="J148" s="1024"/>
      <c r="K148" s="1024"/>
      <c r="L148" s="1024"/>
      <c r="M148" s="1024"/>
    </row>
    <row r="149" spans="1:13" ht="15.75">
      <c r="A149" s="1022"/>
      <c r="B149" s="1022"/>
      <c r="C149" s="1023"/>
      <c r="D149" s="1024"/>
      <c r="E149" s="1024"/>
      <c r="F149" s="1024"/>
      <c r="G149" s="1024"/>
      <c r="H149" s="1025"/>
      <c r="I149" s="1024"/>
      <c r="J149" s="1024"/>
      <c r="K149" s="1024"/>
      <c r="L149" s="1024"/>
      <c r="M149" s="1024"/>
    </row>
    <row r="150" spans="1:13" ht="15.75">
      <c r="A150" s="1022"/>
      <c r="B150" s="1022"/>
      <c r="C150" s="1023"/>
      <c r="D150" s="1024"/>
      <c r="E150" s="1024"/>
      <c r="F150" s="1024"/>
      <c r="G150" s="1024"/>
      <c r="H150" s="1025"/>
      <c r="I150" s="1024"/>
      <c r="J150" s="1024"/>
      <c r="K150" s="1024"/>
      <c r="L150" s="1024"/>
      <c r="M150" s="1024"/>
    </row>
    <row r="151" spans="1:13" ht="15.75">
      <c r="A151" s="1022"/>
      <c r="B151" s="1022"/>
      <c r="C151" s="1023"/>
      <c r="D151" s="1024"/>
      <c r="E151" s="1024"/>
      <c r="F151" s="1024"/>
      <c r="G151" s="1024"/>
      <c r="H151" s="1025"/>
      <c r="I151" s="1024"/>
      <c r="J151" s="1024"/>
      <c r="K151" s="1024"/>
      <c r="L151" s="1024"/>
      <c r="M151" s="1024"/>
    </row>
    <row r="152" spans="1:13" ht="15.75">
      <c r="A152" s="1022"/>
      <c r="B152" s="1022"/>
      <c r="C152" s="1023"/>
      <c r="D152" s="1024"/>
      <c r="E152" s="1024"/>
      <c r="F152" s="1024"/>
      <c r="G152" s="1024"/>
      <c r="H152" s="1025"/>
      <c r="I152" s="1024"/>
      <c r="J152" s="1024"/>
      <c r="K152" s="1024"/>
      <c r="L152" s="1024"/>
      <c r="M152" s="1024"/>
    </row>
    <row r="153" spans="1:13" ht="15.75">
      <c r="A153" s="1022"/>
      <c r="B153" s="1022"/>
      <c r="C153" s="1023"/>
      <c r="D153" s="1024"/>
      <c r="E153" s="1024"/>
      <c r="F153" s="1024"/>
      <c r="G153" s="1024"/>
      <c r="H153" s="1025"/>
      <c r="I153" s="1024"/>
      <c r="J153" s="1024"/>
      <c r="K153" s="1024"/>
      <c r="L153" s="1024"/>
      <c r="M153" s="1024"/>
    </row>
    <row r="154" spans="1:13" ht="15.75">
      <c r="A154" s="1022"/>
      <c r="B154" s="1022"/>
      <c r="C154" s="1023"/>
      <c r="D154" s="1024"/>
      <c r="E154" s="1024"/>
      <c r="F154" s="1024"/>
      <c r="G154" s="1024"/>
      <c r="H154" s="1025"/>
      <c r="I154" s="1024"/>
      <c r="J154" s="1024"/>
      <c r="K154" s="1024"/>
      <c r="L154" s="1024"/>
      <c r="M154" s="1024"/>
    </row>
    <row r="155" spans="1:13" ht="15.75">
      <c r="A155" s="1022"/>
      <c r="B155" s="1022"/>
      <c r="C155" s="1023"/>
      <c r="D155" s="1024"/>
      <c r="E155" s="1024"/>
      <c r="F155" s="1024"/>
      <c r="G155" s="1024"/>
      <c r="H155" s="1025"/>
      <c r="I155" s="1024"/>
      <c r="J155" s="1024"/>
      <c r="K155" s="1024"/>
      <c r="L155" s="1024"/>
      <c r="M155" s="1024"/>
    </row>
    <row r="156" spans="1:13" ht="15.75">
      <c r="A156" s="1022"/>
      <c r="B156" s="1022"/>
      <c r="C156" s="1023"/>
      <c r="D156" s="1024"/>
      <c r="E156" s="1024"/>
      <c r="F156" s="1024"/>
      <c r="G156" s="1024"/>
      <c r="H156" s="1025"/>
      <c r="I156" s="1024"/>
      <c r="J156" s="1024"/>
      <c r="K156" s="1024"/>
      <c r="L156" s="1024"/>
      <c r="M156" s="1024"/>
    </row>
    <row r="157" spans="1:13" ht="15.75">
      <c r="A157" s="1022"/>
      <c r="B157" s="1022"/>
      <c r="C157" s="1023"/>
      <c r="D157" s="1024"/>
      <c r="E157" s="1024"/>
      <c r="F157" s="1024"/>
      <c r="G157" s="1024"/>
      <c r="H157" s="1025"/>
      <c r="I157" s="1024"/>
      <c r="J157" s="1024"/>
      <c r="K157" s="1024"/>
      <c r="L157" s="1024"/>
      <c r="M157" s="1024"/>
    </row>
    <row r="158" spans="1:13" ht="15.75">
      <c r="A158" s="1022"/>
      <c r="B158" s="1022"/>
      <c r="C158" s="1023"/>
      <c r="D158" s="1024"/>
      <c r="E158" s="1024"/>
      <c r="F158" s="1024"/>
      <c r="G158" s="1024"/>
      <c r="H158" s="1025"/>
      <c r="I158" s="1024"/>
      <c r="J158" s="1024"/>
      <c r="K158" s="1024"/>
      <c r="L158" s="1024"/>
      <c r="M158" s="1024"/>
    </row>
    <row r="159" spans="1:13" ht="15.75">
      <c r="A159" s="1022"/>
      <c r="B159" s="1022"/>
      <c r="C159" s="1023"/>
      <c r="D159" s="1024"/>
      <c r="E159" s="1024"/>
      <c r="F159" s="1024"/>
      <c r="G159" s="1024"/>
      <c r="H159" s="1025"/>
      <c r="I159" s="1024"/>
      <c r="J159" s="1024"/>
      <c r="K159" s="1024"/>
      <c r="L159" s="1024"/>
      <c r="M159" s="1024"/>
    </row>
    <row r="160" spans="1:13" ht="15.75">
      <c r="A160" s="1022"/>
      <c r="B160" s="1022"/>
      <c r="C160" s="1023"/>
      <c r="D160" s="1024"/>
      <c r="E160" s="1024"/>
      <c r="F160" s="1024"/>
      <c r="G160" s="1024"/>
      <c r="H160" s="1025"/>
      <c r="I160" s="1024"/>
      <c r="J160" s="1024"/>
      <c r="K160" s="1024"/>
      <c r="L160" s="1024"/>
      <c r="M160" s="1024"/>
    </row>
    <row r="161" spans="1:13" ht="15.75">
      <c r="A161" s="1022"/>
      <c r="B161" s="1022"/>
      <c r="C161" s="1023"/>
      <c r="D161" s="1024"/>
      <c r="E161" s="1024"/>
      <c r="F161" s="1024"/>
      <c r="G161" s="1024"/>
      <c r="H161" s="1025"/>
      <c r="I161" s="1024"/>
      <c r="J161" s="1024"/>
      <c r="K161" s="1024"/>
      <c r="L161" s="1024"/>
      <c r="M161" s="1024"/>
    </row>
    <row r="162" spans="1:13" ht="15.75">
      <c r="A162" s="1022"/>
      <c r="B162" s="1022"/>
      <c r="C162" s="1023"/>
      <c r="D162" s="1024"/>
      <c r="E162" s="1024"/>
      <c r="F162" s="1024"/>
      <c r="G162" s="1024"/>
      <c r="H162" s="1025"/>
      <c r="I162" s="1024"/>
      <c r="J162" s="1024"/>
      <c r="K162" s="1024"/>
      <c r="L162" s="1024"/>
      <c r="M162" s="1024"/>
    </row>
    <row r="163" spans="1:13" ht="15.75">
      <c r="A163" s="1022"/>
      <c r="B163" s="1022"/>
      <c r="C163" s="1023"/>
      <c r="D163" s="1024"/>
      <c r="E163" s="1024"/>
      <c r="F163" s="1024"/>
      <c r="G163" s="1024"/>
      <c r="H163" s="1025"/>
      <c r="I163" s="1024"/>
      <c r="J163" s="1024"/>
      <c r="K163" s="1024"/>
      <c r="L163" s="1024"/>
      <c r="M163" s="1024"/>
    </row>
    <row r="164" spans="1:13" ht="15.75">
      <c r="A164" s="1022"/>
      <c r="B164" s="1022"/>
      <c r="C164" s="1023"/>
      <c r="D164" s="1024"/>
      <c r="E164" s="1024"/>
      <c r="F164" s="1024"/>
      <c r="G164" s="1024"/>
      <c r="H164" s="1025"/>
      <c r="I164" s="1024"/>
      <c r="J164" s="1024"/>
      <c r="K164" s="1024"/>
      <c r="L164" s="1024"/>
      <c r="M164" s="1024"/>
    </row>
    <row r="165" spans="1:13" ht="15.75">
      <c r="A165" s="1022"/>
      <c r="B165" s="1022"/>
      <c r="C165" s="1023"/>
      <c r="D165" s="1024"/>
      <c r="E165" s="1024"/>
      <c r="F165" s="1024"/>
      <c r="G165" s="1024"/>
      <c r="H165" s="1025"/>
      <c r="I165" s="1024"/>
      <c r="J165" s="1024"/>
      <c r="K165" s="1024"/>
      <c r="L165" s="1024"/>
      <c r="M165" s="1024"/>
    </row>
    <row r="166" spans="1:13" ht="15.75">
      <c r="A166" s="1022"/>
      <c r="B166" s="1022"/>
      <c r="C166" s="1023"/>
      <c r="D166" s="1024"/>
      <c r="E166" s="1024"/>
      <c r="F166" s="1024"/>
      <c r="G166" s="1024"/>
      <c r="H166" s="1025"/>
      <c r="I166" s="1024"/>
      <c r="J166" s="1024"/>
      <c r="K166" s="1024"/>
      <c r="L166" s="1024"/>
      <c r="M166" s="1024"/>
    </row>
    <row r="167" spans="1:13" ht="15.75">
      <c r="A167" s="1022"/>
      <c r="B167" s="1022"/>
      <c r="C167" s="1023"/>
      <c r="D167" s="1024"/>
      <c r="E167" s="1024"/>
      <c r="F167" s="1024"/>
      <c r="G167" s="1024"/>
      <c r="H167" s="1025"/>
      <c r="I167" s="1024"/>
      <c r="J167" s="1024"/>
      <c r="K167" s="1024"/>
      <c r="L167" s="1024"/>
      <c r="M167" s="1024"/>
    </row>
    <row r="168" spans="1:13" ht="15.75">
      <c r="A168" s="1022"/>
      <c r="B168" s="1022"/>
      <c r="C168" s="1023"/>
      <c r="D168" s="1024"/>
      <c r="E168" s="1024"/>
      <c r="F168" s="1024"/>
      <c r="G168" s="1024"/>
      <c r="H168" s="1025"/>
      <c r="I168" s="1024"/>
      <c r="J168" s="1024"/>
      <c r="K168" s="1024"/>
      <c r="L168" s="1024"/>
      <c r="M168" s="1024"/>
    </row>
    <row r="169" spans="1:13" ht="15.75">
      <c r="A169" s="1022"/>
      <c r="B169" s="1022"/>
      <c r="C169" s="1023"/>
      <c r="D169" s="1024"/>
      <c r="E169" s="1024"/>
      <c r="F169" s="1024"/>
      <c r="G169" s="1024"/>
      <c r="H169" s="1025"/>
      <c r="I169" s="1024"/>
      <c r="J169" s="1024"/>
      <c r="K169" s="1024"/>
      <c r="L169" s="1024"/>
      <c r="M169" s="1024"/>
    </row>
    <row r="170" spans="1:13" ht="15.75">
      <c r="A170" s="1022"/>
      <c r="B170" s="1022"/>
      <c r="C170" s="1023"/>
      <c r="D170" s="1024"/>
      <c r="E170" s="1024"/>
      <c r="F170" s="1024"/>
      <c r="G170" s="1024"/>
      <c r="H170" s="1025"/>
      <c r="I170" s="1024"/>
      <c r="J170" s="1024"/>
      <c r="K170" s="1024"/>
      <c r="L170" s="1024"/>
      <c r="M170" s="1024"/>
    </row>
    <row r="171" spans="1:13" ht="15.75">
      <c r="A171" s="1022"/>
      <c r="B171" s="1022"/>
      <c r="C171" s="1023"/>
      <c r="D171" s="1024"/>
      <c r="E171" s="1024"/>
      <c r="F171" s="1024"/>
      <c r="G171" s="1024"/>
      <c r="H171" s="1025"/>
      <c r="I171" s="1024"/>
      <c r="J171" s="1024"/>
      <c r="K171" s="1024"/>
      <c r="L171" s="1024"/>
      <c r="M171" s="1024"/>
    </row>
    <row r="172" spans="1:13" ht="15.75">
      <c r="A172" s="1022"/>
      <c r="B172" s="1022"/>
      <c r="C172" s="1023"/>
      <c r="D172" s="1024"/>
      <c r="E172" s="1024"/>
      <c r="F172" s="1024"/>
      <c r="G172" s="1024"/>
      <c r="H172" s="1025"/>
      <c r="I172" s="1024"/>
      <c r="J172" s="1024"/>
      <c r="K172" s="1024"/>
      <c r="L172" s="1024"/>
      <c r="M172" s="1024"/>
    </row>
    <row r="173" spans="1:13" ht="15.75">
      <c r="A173" s="1022"/>
      <c r="B173" s="1022"/>
      <c r="C173" s="1023"/>
      <c r="D173" s="1024"/>
      <c r="E173" s="1024"/>
      <c r="F173" s="1024"/>
      <c r="G173" s="1024"/>
      <c r="H173" s="1025"/>
      <c r="I173" s="1024"/>
      <c r="J173" s="1024"/>
      <c r="K173" s="1024"/>
      <c r="L173" s="1024"/>
      <c r="M173" s="1024"/>
    </row>
    <row r="174" spans="1:13" ht="15.75">
      <c r="A174" s="1022"/>
      <c r="B174" s="1022"/>
      <c r="C174" s="1023"/>
      <c r="D174" s="1024"/>
      <c r="E174" s="1024"/>
      <c r="F174" s="1024"/>
      <c r="G174" s="1024"/>
      <c r="H174" s="1025"/>
      <c r="I174" s="1024"/>
      <c r="J174" s="1024"/>
      <c r="K174" s="1024"/>
      <c r="L174" s="1024"/>
      <c r="M174" s="1024"/>
    </row>
    <row r="175" spans="1:13" ht="15.75">
      <c r="A175" s="1022"/>
      <c r="B175" s="1022"/>
      <c r="C175" s="1023"/>
      <c r="D175" s="1024"/>
      <c r="E175" s="1024"/>
      <c r="F175" s="1024"/>
      <c r="G175" s="1024"/>
      <c r="H175" s="1025"/>
      <c r="I175" s="1024"/>
      <c r="J175" s="1024"/>
      <c r="K175" s="1024"/>
      <c r="L175" s="1024"/>
      <c r="M175" s="1024"/>
    </row>
    <row r="176" spans="1:13" ht="15.75">
      <c r="A176" s="1022"/>
      <c r="B176" s="1022"/>
      <c r="C176" s="1023"/>
      <c r="D176" s="1024"/>
      <c r="E176" s="1024"/>
      <c r="F176" s="1024"/>
      <c r="G176" s="1024"/>
      <c r="H176" s="1025"/>
      <c r="I176" s="1024"/>
      <c r="J176" s="1024"/>
      <c r="K176" s="1024"/>
      <c r="L176" s="1024"/>
      <c r="M176" s="1024"/>
    </row>
    <row r="177" spans="1:13" ht="15.75">
      <c r="A177" s="1022"/>
      <c r="B177" s="1022"/>
      <c r="C177" s="1023"/>
      <c r="D177" s="1024"/>
      <c r="E177" s="1024"/>
      <c r="F177" s="1024"/>
      <c r="G177" s="1024"/>
      <c r="H177" s="1025"/>
      <c r="I177" s="1024"/>
      <c r="J177" s="1024"/>
      <c r="K177" s="1024"/>
      <c r="L177" s="1024"/>
      <c r="M177" s="1024"/>
    </row>
    <row r="178" spans="1:13" ht="15.75">
      <c r="A178" s="1022"/>
      <c r="B178" s="1022"/>
      <c r="C178" s="1023"/>
      <c r="D178" s="1024"/>
      <c r="E178" s="1024"/>
      <c r="F178" s="1024"/>
      <c r="G178" s="1024"/>
      <c r="H178" s="1025"/>
      <c r="I178" s="1024"/>
      <c r="J178" s="1024"/>
      <c r="K178" s="1024"/>
      <c r="L178" s="1024"/>
      <c r="M178" s="1024"/>
    </row>
    <row r="179" spans="1:13" ht="15.75">
      <c r="A179" s="1022"/>
      <c r="B179" s="1022"/>
      <c r="C179" s="1023"/>
      <c r="D179" s="1024"/>
      <c r="E179" s="1024"/>
      <c r="F179" s="1024"/>
      <c r="G179" s="1024"/>
      <c r="H179" s="1025"/>
      <c r="I179" s="1024"/>
      <c r="J179" s="1024"/>
      <c r="K179" s="1024"/>
      <c r="L179" s="1024"/>
      <c r="M179" s="1024"/>
    </row>
    <row r="180" spans="1:13" ht="15.75">
      <c r="A180" s="1022"/>
      <c r="B180" s="1022"/>
      <c r="C180" s="1023"/>
      <c r="D180" s="1024"/>
      <c r="E180" s="1024"/>
      <c r="F180" s="1024"/>
      <c r="G180" s="1024"/>
      <c r="H180" s="1025"/>
      <c r="I180" s="1024"/>
      <c r="J180" s="1024"/>
      <c r="K180" s="1024"/>
      <c r="L180" s="1024"/>
      <c r="M180" s="1024"/>
    </row>
    <row r="181" spans="1:13" ht="15.75">
      <c r="A181" s="1022"/>
      <c r="B181" s="1022"/>
      <c r="C181" s="1023"/>
      <c r="D181" s="1024"/>
      <c r="E181" s="1024"/>
      <c r="F181" s="1024"/>
      <c r="G181" s="1024"/>
      <c r="H181" s="1025"/>
      <c r="I181" s="1024"/>
      <c r="J181" s="1024"/>
      <c r="K181" s="1024"/>
      <c r="L181" s="1024"/>
      <c r="M181" s="1024"/>
    </row>
    <row r="182" spans="1:13" ht="15.75">
      <c r="A182" s="1022"/>
      <c r="B182" s="1022"/>
      <c r="C182" s="1023"/>
      <c r="D182" s="1024"/>
      <c r="E182" s="1024"/>
      <c r="F182" s="1024"/>
      <c r="G182" s="1024"/>
      <c r="H182" s="1025"/>
      <c r="I182" s="1024"/>
      <c r="J182" s="1024"/>
      <c r="K182" s="1024"/>
      <c r="L182" s="1024"/>
      <c r="M182" s="1024"/>
    </row>
    <row r="183" spans="1:13" ht="15.75">
      <c r="A183" s="1022"/>
      <c r="B183" s="1022"/>
      <c r="C183" s="1023"/>
      <c r="D183" s="1024"/>
      <c r="E183" s="1024"/>
      <c r="F183" s="1024"/>
      <c r="G183" s="1024"/>
      <c r="H183" s="1025"/>
      <c r="I183" s="1024"/>
      <c r="J183" s="1024"/>
      <c r="K183" s="1024"/>
      <c r="L183" s="1024"/>
      <c r="M183" s="1024"/>
    </row>
    <row r="184" spans="1:13" ht="15.75">
      <c r="A184" s="1022"/>
      <c r="B184" s="1022"/>
      <c r="C184" s="1023"/>
      <c r="D184" s="1024"/>
      <c r="E184" s="1024"/>
      <c r="F184" s="1024"/>
      <c r="G184" s="1024"/>
      <c r="H184" s="1025"/>
      <c r="I184" s="1024"/>
      <c r="J184" s="1024"/>
      <c r="K184" s="1024"/>
      <c r="L184" s="1024"/>
      <c r="M184" s="1024"/>
    </row>
    <row r="185" spans="1:13" ht="15.75">
      <c r="A185" s="1022"/>
      <c r="B185" s="1022"/>
      <c r="C185" s="1023"/>
      <c r="D185" s="1024"/>
      <c r="E185" s="1024"/>
      <c r="F185" s="1024"/>
      <c r="G185" s="1024"/>
      <c r="H185" s="1025"/>
      <c r="I185" s="1024"/>
      <c r="J185" s="1024"/>
      <c r="K185" s="1024"/>
      <c r="L185" s="1024"/>
      <c r="M185" s="1024"/>
    </row>
    <row r="186" spans="1:13" ht="15.75">
      <c r="A186" s="1022"/>
      <c r="B186" s="1022"/>
      <c r="C186" s="1023"/>
      <c r="D186" s="1024"/>
      <c r="E186" s="1024"/>
      <c r="F186" s="1024"/>
      <c r="G186" s="1024"/>
      <c r="H186" s="1025"/>
      <c r="I186" s="1024"/>
      <c r="J186" s="1024"/>
      <c r="K186" s="1024"/>
      <c r="L186" s="1024"/>
      <c r="M186" s="1024"/>
    </row>
    <row r="187" spans="1:13" ht="15.75">
      <c r="A187" s="1022"/>
      <c r="B187" s="1022"/>
      <c r="C187" s="1023"/>
      <c r="D187" s="1024"/>
      <c r="E187" s="1024"/>
      <c r="F187" s="1024"/>
      <c r="G187" s="1024"/>
      <c r="H187" s="1025"/>
      <c r="I187" s="1024"/>
      <c r="J187" s="1024"/>
      <c r="K187" s="1024"/>
      <c r="L187" s="1024"/>
      <c r="M187" s="1024"/>
    </row>
    <row r="188" spans="1:13" ht="15.75">
      <c r="A188" s="1022"/>
      <c r="B188" s="1022"/>
      <c r="C188" s="1023"/>
      <c r="D188" s="1024"/>
      <c r="E188" s="1024"/>
      <c r="F188" s="1024"/>
      <c r="G188" s="1024"/>
      <c r="H188" s="1025"/>
      <c r="I188" s="1024"/>
      <c r="J188" s="1024"/>
      <c r="K188" s="1024"/>
      <c r="L188" s="1024"/>
      <c r="M188" s="1024"/>
    </row>
    <row r="189" spans="1:13" ht="15.75">
      <c r="A189" s="1022"/>
      <c r="B189" s="1022"/>
      <c r="C189" s="1023"/>
      <c r="D189" s="1024"/>
      <c r="E189" s="1024"/>
      <c r="F189" s="1024"/>
      <c r="G189" s="1024"/>
      <c r="H189" s="1025"/>
      <c r="I189" s="1024"/>
      <c r="J189" s="1024"/>
      <c r="K189" s="1024"/>
      <c r="L189" s="1024"/>
      <c r="M189" s="1024"/>
    </row>
    <row r="190" spans="1:13" ht="15.75">
      <c r="A190" s="1022"/>
      <c r="B190" s="1022"/>
      <c r="C190" s="1023"/>
      <c r="D190" s="1024"/>
      <c r="E190" s="1024"/>
      <c r="F190" s="1024"/>
      <c r="G190" s="1024"/>
      <c r="H190" s="1025"/>
      <c r="I190" s="1024"/>
      <c r="J190" s="1024"/>
      <c r="K190" s="1024"/>
      <c r="L190" s="1024"/>
      <c r="M190" s="1024"/>
    </row>
    <row r="191" spans="1:13" ht="15.75">
      <c r="A191" s="1022"/>
      <c r="B191" s="1022"/>
      <c r="C191" s="1023"/>
      <c r="D191" s="1024"/>
      <c r="E191" s="1024"/>
      <c r="F191" s="1024"/>
      <c r="G191" s="1024"/>
      <c r="H191" s="1025"/>
      <c r="I191" s="1024"/>
      <c r="J191" s="1024"/>
      <c r="K191" s="1024"/>
      <c r="L191" s="1024"/>
      <c r="M191" s="1024"/>
    </row>
    <row r="192" spans="1:13" ht="15.75">
      <c r="A192" s="1022"/>
      <c r="B192" s="1022"/>
      <c r="C192" s="1023"/>
      <c r="D192" s="1024"/>
      <c r="E192" s="1024"/>
      <c r="F192" s="1024"/>
      <c r="G192" s="1024"/>
      <c r="H192" s="1025"/>
      <c r="I192" s="1024"/>
      <c r="J192" s="1024"/>
      <c r="K192" s="1024"/>
      <c r="L192" s="1024"/>
      <c r="M192" s="1024"/>
    </row>
    <row r="193" spans="1:13" ht="15.75">
      <c r="A193" s="1022"/>
      <c r="B193" s="1022"/>
      <c r="C193" s="1023"/>
      <c r="D193" s="1024"/>
      <c r="E193" s="1024"/>
      <c r="F193" s="1024"/>
      <c r="G193" s="1024"/>
      <c r="H193" s="1025"/>
      <c r="I193" s="1024"/>
      <c r="J193" s="1024"/>
      <c r="K193" s="1024"/>
      <c r="L193" s="1024"/>
      <c r="M193" s="1024"/>
    </row>
    <row r="194" spans="1:13" ht="15.75">
      <c r="A194" s="1022"/>
      <c r="B194" s="1022"/>
      <c r="C194" s="1023"/>
      <c r="D194" s="1024"/>
      <c r="E194" s="1024"/>
      <c r="F194" s="1024"/>
      <c r="G194" s="1024"/>
      <c r="H194" s="1025"/>
      <c r="I194" s="1024"/>
      <c r="J194" s="1024"/>
      <c r="K194" s="1024"/>
      <c r="L194" s="1024"/>
      <c r="M194" s="1024"/>
    </row>
    <row r="195" spans="1:13" ht="15.75">
      <c r="A195" s="1022"/>
      <c r="B195" s="1022"/>
      <c r="C195" s="1023"/>
      <c r="D195" s="1024"/>
      <c r="E195" s="1024"/>
      <c r="F195" s="1024"/>
      <c r="G195" s="1024"/>
      <c r="H195" s="1025"/>
      <c r="I195" s="1024"/>
      <c r="J195" s="1024"/>
      <c r="K195" s="1024"/>
      <c r="L195" s="1024"/>
      <c r="M195" s="1024"/>
    </row>
    <row r="196" spans="1:13" ht="15.75">
      <c r="A196" s="1022"/>
      <c r="B196" s="1022"/>
      <c r="C196" s="1023"/>
      <c r="D196" s="1024"/>
      <c r="E196" s="1024"/>
      <c r="F196" s="1024"/>
      <c r="G196" s="1024"/>
      <c r="H196" s="1025"/>
      <c r="I196" s="1024"/>
      <c r="J196" s="1024"/>
      <c r="K196" s="1024"/>
      <c r="L196" s="1024"/>
      <c r="M196" s="1024"/>
    </row>
    <row r="197" spans="1:13" ht="15.75">
      <c r="A197" s="1022"/>
      <c r="B197" s="1022"/>
      <c r="C197" s="1023"/>
      <c r="D197" s="1024"/>
      <c r="E197" s="1024"/>
      <c r="F197" s="1024"/>
      <c r="G197" s="1024"/>
      <c r="H197" s="1025"/>
      <c r="I197" s="1024"/>
      <c r="J197" s="1024"/>
      <c r="K197" s="1024"/>
      <c r="L197" s="1024"/>
      <c r="M197" s="1024"/>
    </row>
    <row r="198" spans="1:13" ht="15.75">
      <c r="A198" s="1022"/>
      <c r="B198" s="1022"/>
      <c r="C198" s="1023"/>
      <c r="D198" s="1024"/>
      <c r="E198" s="1024"/>
      <c r="F198" s="1024"/>
      <c r="G198" s="1024"/>
      <c r="H198" s="1025"/>
      <c r="I198" s="1024"/>
      <c r="J198" s="1024"/>
      <c r="K198" s="1024"/>
      <c r="L198" s="1024"/>
      <c r="M198" s="1024"/>
    </row>
    <row r="199" spans="1:13" ht="15.75">
      <c r="A199" s="1022"/>
      <c r="B199" s="1022"/>
      <c r="C199" s="1023"/>
      <c r="D199" s="1024"/>
      <c r="E199" s="1024"/>
      <c r="F199" s="1024"/>
      <c r="G199" s="1024"/>
      <c r="H199" s="1025"/>
      <c r="I199" s="1024"/>
      <c r="J199" s="1024"/>
      <c r="K199" s="1024"/>
      <c r="L199" s="1024"/>
      <c r="M199" s="1024"/>
    </row>
    <row r="200" spans="1:13" ht="15.75">
      <c r="A200" s="1022"/>
      <c r="B200" s="1022"/>
      <c r="C200" s="1023"/>
      <c r="D200" s="1024"/>
      <c r="E200" s="1024"/>
      <c r="F200" s="1024"/>
      <c r="G200" s="1024"/>
      <c r="H200" s="1025"/>
      <c r="I200" s="1024"/>
      <c r="J200" s="1024"/>
      <c r="K200" s="1024"/>
      <c r="L200" s="1024"/>
      <c r="M200" s="1024"/>
    </row>
    <row r="201" spans="1:13" ht="15.75">
      <c r="A201" s="1022"/>
      <c r="B201" s="1022"/>
      <c r="C201" s="1023"/>
      <c r="D201" s="1024"/>
      <c r="E201" s="1024"/>
      <c r="F201" s="1024"/>
      <c r="G201" s="1024"/>
      <c r="H201" s="1025"/>
      <c r="I201" s="1024"/>
      <c r="J201" s="1024"/>
      <c r="K201" s="1024"/>
      <c r="L201" s="1024"/>
      <c r="M201" s="1024"/>
    </row>
    <row r="202" spans="1:12" ht="15.75">
      <c r="A202" s="1022"/>
      <c r="B202" s="1022"/>
      <c r="C202" s="1023"/>
      <c r="D202" s="1024"/>
      <c r="E202" s="1024"/>
      <c r="F202" s="1024"/>
      <c r="G202" s="1024"/>
      <c r="H202" s="1025"/>
      <c r="I202" s="1024"/>
      <c r="J202" s="1024"/>
      <c r="K202" s="1024"/>
      <c r="L202" s="1024"/>
    </row>
  </sheetData>
  <sheetProtection/>
  <mergeCells count="13">
    <mergeCell ref="I5:J5"/>
    <mergeCell ref="K5:L5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H5"/>
  </mergeCells>
  <printOptions/>
  <pageMargins left="0.7" right="0.7" top="0.75" bottom="0.75" header="0.3" footer="0.3"/>
  <pageSetup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8"/>
  <sheetViews>
    <sheetView view="pageBreakPreview" zoomScaleSheetLayoutView="100" zoomScalePageLayoutView="0" workbookViewId="0" topLeftCell="E63">
      <selection activeCell="S71" sqref="S71"/>
    </sheetView>
  </sheetViews>
  <sheetFormatPr defaultColWidth="9.140625" defaultRowHeight="15"/>
  <cols>
    <col min="1" max="1" width="4.57421875" style="207" customWidth="1"/>
    <col min="2" max="2" width="9.7109375" style="177" customWidth="1"/>
    <col min="3" max="3" width="40.7109375" style="207" customWidth="1"/>
    <col min="4" max="4" width="9.28125" style="207" bestFit="1" customWidth="1"/>
    <col min="5" max="5" width="11.57421875" style="177" bestFit="1" customWidth="1"/>
    <col min="6" max="6" width="12.57421875" style="315" bestFit="1" customWidth="1"/>
    <col min="7" max="7" width="9.421875" style="207" customWidth="1"/>
    <col min="8" max="8" width="11.421875" style="177" bestFit="1" customWidth="1"/>
    <col min="9" max="9" width="9.421875" style="207" customWidth="1"/>
    <col min="10" max="10" width="11.57421875" style="177" bestFit="1" customWidth="1"/>
    <col min="11" max="12" width="9.421875" style="177" bestFit="1" customWidth="1"/>
    <col min="13" max="13" width="14.140625" style="177" customWidth="1"/>
    <col min="14" max="14" width="13.140625" style="176" customWidth="1"/>
    <col min="15" max="15" width="18.8515625" style="177" customWidth="1"/>
    <col min="16" max="16384" width="9.140625" style="177" customWidth="1"/>
  </cols>
  <sheetData>
    <row r="1" spans="1:17" ht="25.5" customHeight="1">
      <c r="A1" s="1064" t="s">
        <v>1216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9"/>
      <c r="O1" s="109"/>
      <c r="Q1" s="176"/>
    </row>
    <row r="2" spans="1:17" ht="19.5" customHeight="1">
      <c r="A2" s="203"/>
      <c r="B2" s="204"/>
      <c r="C2" s="1080" t="s">
        <v>587</v>
      </c>
      <c r="D2" s="1080"/>
      <c r="E2" s="1080"/>
      <c r="F2" s="1080"/>
      <c r="G2" s="1080"/>
      <c r="H2" s="1080"/>
      <c r="I2" s="1080"/>
      <c r="J2" s="1080"/>
      <c r="K2" s="1080"/>
      <c r="L2" s="1080"/>
      <c r="M2" s="109"/>
      <c r="N2" s="109"/>
      <c r="O2" s="109"/>
      <c r="Q2" s="176"/>
    </row>
    <row r="3" spans="1:17" ht="21" customHeight="1">
      <c r="A3" s="204"/>
      <c r="B3" s="204"/>
      <c r="C3" s="1080" t="s">
        <v>63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9"/>
      <c r="N3" s="109"/>
      <c r="O3" s="109"/>
      <c r="Q3" s="176"/>
    </row>
    <row r="4" spans="1:13" ht="54.75" customHeight="1">
      <c r="A4" s="209"/>
      <c r="B4" s="210"/>
      <c r="C4" s="1074" t="s">
        <v>622</v>
      </c>
      <c r="D4" s="1067" t="s">
        <v>612</v>
      </c>
      <c r="E4" s="1068"/>
      <c r="F4" s="1069"/>
      <c r="G4" s="1070" t="s">
        <v>620</v>
      </c>
      <c r="H4" s="1071"/>
      <c r="I4" s="1072" t="s">
        <v>621</v>
      </c>
      <c r="J4" s="1073"/>
      <c r="K4" s="1066" t="s">
        <v>76</v>
      </c>
      <c r="L4" s="1066"/>
      <c r="M4" s="263" t="s">
        <v>0</v>
      </c>
    </row>
    <row r="5" spans="1:13" ht="27">
      <c r="A5" s="211" t="s">
        <v>1</v>
      </c>
      <c r="B5" s="318" t="s">
        <v>35</v>
      </c>
      <c r="C5" s="1075"/>
      <c r="D5" s="1077" t="s">
        <v>40</v>
      </c>
      <c r="E5" s="1077" t="s">
        <v>41</v>
      </c>
      <c r="F5" s="1077" t="s">
        <v>37</v>
      </c>
      <c r="G5" s="212" t="s">
        <v>38</v>
      </c>
      <c r="H5" s="319" t="s">
        <v>37</v>
      </c>
      <c r="I5" s="210" t="s">
        <v>38</v>
      </c>
      <c r="J5" s="210" t="s">
        <v>37</v>
      </c>
      <c r="K5" s="212" t="s">
        <v>38</v>
      </c>
      <c r="L5" s="319" t="s">
        <v>37</v>
      </c>
      <c r="M5" s="212"/>
    </row>
    <row r="6" spans="1:13" ht="13.5">
      <c r="A6" s="213"/>
      <c r="B6" s="214"/>
      <c r="C6" s="1076"/>
      <c r="D6" s="1078"/>
      <c r="E6" s="1078"/>
      <c r="F6" s="1078"/>
      <c r="G6" s="214" t="s">
        <v>39</v>
      </c>
      <c r="H6" s="320"/>
      <c r="I6" s="214" t="s">
        <v>39</v>
      </c>
      <c r="J6" s="214"/>
      <c r="K6" s="214" t="s">
        <v>39</v>
      </c>
      <c r="L6" s="320"/>
      <c r="M6" s="214"/>
    </row>
    <row r="7" spans="1:14" s="220" customFormat="1" ht="13.5">
      <c r="A7" s="215" t="s">
        <v>2</v>
      </c>
      <c r="B7" s="216" t="s">
        <v>3</v>
      </c>
      <c r="C7" s="217" t="s">
        <v>4</v>
      </c>
      <c r="D7" s="215" t="s">
        <v>5</v>
      </c>
      <c r="E7" s="216" t="s">
        <v>6</v>
      </c>
      <c r="F7" s="218" t="s">
        <v>7</v>
      </c>
      <c r="G7" s="217" t="s">
        <v>8</v>
      </c>
      <c r="H7" s="215" t="s">
        <v>9</v>
      </c>
      <c r="I7" s="216" t="s">
        <v>10</v>
      </c>
      <c r="J7" s="217" t="s">
        <v>11</v>
      </c>
      <c r="K7" s="216" t="s">
        <v>12</v>
      </c>
      <c r="L7" s="215" t="s">
        <v>13</v>
      </c>
      <c r="M7" s="216" t="s">
        <v>14</v>
      </c>
      <c r="N7" s="219"/>
    </row>
    <row r="8" spans="1:13" ht="14.25" thickBot="1">
      <c r="A8" s="221"/>
      <c r="B8" s="222"/>
      <c r="C8" s="321"/>
      <c r="D8" s="224"/>
      <c r="E8" s="225"/>
      <c r="F8" s="226"/>
      <c r="G8" s="210"/>
      <c r="H8" s="210"/>
      <c r="I8" s="210"/>
      <c r="J8" s="210"/>
      <c r="K8" s="210"/>
      <c r="L8" s="227"/>
      <c r="M8" s="227"/>
    </row>
    <row r="9" spans="1:13" ht="20.25" customHeight="1">
      <c r="A9" s="228"/>
      <c r="B9" s="229"/>
      <c r="C9" s="322" t="s">
        <v>589</v>
      </c>
      <c r="D9" s="231"/>
      <c r="E9" s="232"/>
      <c r="F9" s="233"/>
      <c r="G9" s="234"/>
      <c r="H9" s="234"/>
      <c r="I9" s="234"/>
      <c r="J9" s="234"/>
      <c r="K9" s="234"/>
      <c r="L9" s="235"/>
      <c r="M9" s="235"/>
    </row>
    <row r="10" spans="1:19" s="115" customFormat="1" ht="15.75" customHeight="1">
      <c r="A10" s="116">
        <v>1</v>
      </c>
      <c r="B10" s="116" t="s">
        <v>229</v>
      </c>
      <c r="C10" s="113" t="s">
        <v>231</v>
      </c>
      <c r="D10" s="28" t="s">
        <v>230</v>
      </c>
      <c r="E10" s="26"/>
      <c r="F10" s="26">
        <v>118.8</v>
      </c>
      <c r="G10" s="417"/>
      <c r="H10" s="417"/>
      <c r="I10" s="417"/>
      <c r="J10" s="417"/>
      <c r="K10" s="417"/>
      <c r="L10" s="417"/>
      <c r="M10" s="417"/>
      <c r="N10" s="31"/>
      <c r="O10" s="31"/>
      <c r="P10" s="31"/>
      <c r="Q10" s="31"/>
      <c r="R10" s="31"/>
      <c r="S10" s="31"/>
    </row>
    <row r="11" spans="1:19" s="115" customFormat="1" ht="13.5">
      <c r="A11" s="116"/>
      <c r="C11" s="28" t="s">
        <v>43</v>
      </c>
      <c r="D11" s="28" t="s">
        <v>15</v>
      </c>
      <c r="E11" s="26">
        <v>6.5</v>
      </c>
      <c r="F11" s="26">
        <f>F10*E11</f>
        <v>772.1999999999999</v>
      </c>
      <c r="G11" s="417"/>
      <c r="H11" s="417">
        <f>F11*G11</f>
        <v>0</v>
      </c>
      <c r="I11" s="718"/>
      <c r="J11" s="718"/>
      <c r="K11" s="718"/>
      <c r="L11" s="718"/>
      <c r="M11" s="417">
        <f>L11+J11+H11</f>
        <v>0</v>
      </c>
      <c r="N11" s="31"/>
      <c r="O11" s="31"/>
      <c r="P11" s="31"/>
      <c r="Q11" s="31"/>
      <c r="R11" s="31"/>
      <c r="S11" s="31"/>
    </row>
    <row r="12" spans="1:19" s="115" customFormat="1" ht="13.5">
      <c r="A12" s="117"/>
      <c r="B12" s="118"/>
      <c r="C12" s="28" t="s">
        <v>44</v>
      </c>
      <c r="D12" s="28" t="s">
        <v>45</v>
      </c>
      <c r="E12" s="26">
        <v>1.8</v>
      </c>
      <c r="F12" s="26">
        <f>F10*E12</f>
        <v>213.84</v>
      </c>
      <c r="G12" s="417"/>
      <c r="H12" s="417"/>
      <c r="I12" s="718"/>
      <c r="J12" s="718"/>
      <c r="K12" s="417"/>
      <c r="L12" s="417">
        <f>F12*K12</f>
        <v>0</v>
      </c>
      <c r="M12" s="417">
        <f aca="true" t="shared" si="0" ref="M12:M79">L12+J12+H12</f>
        <v>0</v>
      </c>
      <c r="N12" s="31"/>
      <c r="O12" s="31"/>
      <c r="P12" s="31"/>
      <c r="Q12" s="31"/>
      <c r="R12" s="31"/>
      <c r="S12" s="31"/>
    </row>
    <row r="13" spans="1:13" s="278" customFormat="1" ht="13.5">
      <c r="A13" s="116">
        <v>2</v>
      </c>
      <c r="B13" s="116" t="s">
        <v>232</v>
      </c>
      <c r="C13" s="323" t="s">
        <v>233</v>
      </c>
      <c r="D13" s="28" t="s">
        <v>234</v>
      </c>
      <c r="E13" s="27"/>
      <c r="F13" s="27">
        <f>844.7/100</f>
        <v>8.447000000000001</v>
      </c>
      <c r="G13" s="417"/>
      <c r="H13" s="417"/>
      <c r="I13" s="417"/>
      <c r="J13" s="417"/>
      <c r="K13" s="417"/>
      <c r="L13" s="417"/>
      <c r="M13" s="417">
        <f t="shared" si="0"/>
        <v>0</v>
      </c>
    </row>
    <row r="14" spans="1:13" s="278" customFormat="1" ht="13.5">
      <c r="A14" s="116"/>
      <c r="B14" s="116"/>
      <c r="C14" s="28" t="s">
        <v>43</v>
      </c>
      <c r="D14" s="28" t="s">
        <v>15</v>
      </c>
      <c r="E14" s="27">
        <v>13.2</v>
      </c>
      <c r="F14" s="27">
        <f>F13*E14</f>
        <v>111.50040000000001</v>
      </c>
      <c r="G14" s="417"/>
      <c r="H14" s="417">
        <f>F14*G14</f>
        <v>0</v>
      </c>
      <c r="I14" s="718"/>
      <c r="J14" s="718"/>
      <c r="K14" s="718"/>
      <c r="L14" s="718"/>
      <c r="M14" s="417">
        <f t="shared" si="0"/>
        <v>0</v>
      </c>
    </row>
    <row r="15" spans="1:13" s="278" customFormat="1" ht="13.5">
      <c r="A15" s="117"/>
      <c r="B15" s="118"/>
      <c r="C15" s="28" t="s">
        <v>44</v>
      </c>
      <c r="D15" s="28" t="s">
        <v>45</v>
      </c>
      <c r="E15" s="27">
        <v>1.9</v>
      </c>
      <c r="F15" s="27">
        <f>F13*E15</f>
        <v>16.049300000000002</v>
      </c>
      <c r="G15" s="417"/>
      <c r="H15" s="417"/>
      <c r="I15" s="417"/>
      <c r="J15" s="417"/>
      <c r="K15" s="417"/>
      <c r="L15" s="417">
        <f>F15*K15</f>
        <v>0</v>
      </c>
      <c r="M15" s="417">
        <f t="shared" si="0"/>
        <v>0</v>
      </c>
    </row>
    <row r="16" spans="1:13" s="278" customFormat="1" ht="13.5">
      <c r="A16" s="116"/>
      <c r="B16" s="31"/>
      <c r="C16" s="116"/>
      <c r="D16" s="28"/>
      <c r="E16" s="26"/>
      <c r="F16" s="26"/>
      <c r="G16" s="417"/>
      <c r="H16" s="417"/>
      <c r="I16" s="417"/>
      <c r="J16" s="417"/>
      <c r="K16" s="718"/>
      <c r="L16" s="718"/>
      <c r="M16" s="417">
        <f t="shared" si="0"/>
        <v>0</v>
      </c>
    </row>
    <row r="17" spans="1:13" s="278" customFormat="1" ht="13.5">
      <c r="A17" s="116">
        <v>3</v>
      </c>
      <c r="B17" s="31" t="s">
        <v>42</v>
      </c>
      <c r="C17" s="628" t="s">
        <v>236</v>
      </c>
      <c r="D17" s="28" t="s">
        <v>16</v>
      </c>
      <c r="E17" s="26"/>
      <c r="F17" s="26">
        <v>844.7</v>
      </c>
      <c r="G17" s="417"/>
      <c r="H17" s="417"/>
      <c r="I17" s="417"/>
      <c r="J17" s="417"/>
      <c r="K17" s="417"/>
      <c r="L17" s="417"/>
      <c r="M17" s="417">
        <f t="shared" si="0"/>
        <v>0</v>
      </c>
    </row>
    <row r="18" spans="1:13" s="278" customFormat="1" ht="13.5">
      <c r="A18" s="116"/>
      <c r="B18" s="116"/>
      <c r="C18" s="28" t="s">
        <v>43</v>
      </c>
      <c r="D18" s="28" t="s">
        <v>15</v>
      </c>
      <c r="E18" s="26">
        <v>0.205</v>
      </c>
      <c r="F18" s="26">
        <f>F17*E18</f>
        <v>173.1635</v>
      </c>
      <c r="G18" s="417"/>
      <c r="H18" s="417">
        <f>F18*G18</f>
        <v>0</v>
      </c>
      <c r="I18" s="718"/>
      <c r="J18" s="718"/>
      <c r="K18" s="718"/>
      <c r="L18" s="718"/>
      <c r="M18" s="417">
        <f t="shared" si="0"/>
        <v>0</v>
      </c>
    </row>
    <row r="19" spans="1:13" s="278" customFormat="1" ht="13.5">
      <c r="A19" s="117"/>
      <c r="B19" s="118"/>
      <c r="C19" s="28" t="s">
        <v>44</v>
      </c>
      <c r="D19" s="28" t="s">
        <v>45</v>
      </c>
      <c r="E19" s="26">
        <v>0.078</v>
      </c>
      <c r="F19" s="26">
        <f>F17*E19</f>
        <v>65.8866</v>
      </c>
      <c r="G19" s="417"/>
      <c r="H19" s="417"/>
      <c r="I19" s="417"/>
      <c r="J19" s="417"/>
      <c r="K19" s="417"/>
      <c r="L19" s="417">
        <f>F19*K19</f>
        <v>0</v>
      </c>
      <c r="M19" s="417">
        <f t="shared" si="0"/>
        <v>0</v>
      </c>
    </row>
    <row r="20" spans="1:13" s="278" customFormat="1" ht="13.5">
      <c r="A20" s="116"/>
      <c r="B20" s="31"/>
      <c r="C20" s="116"/>
      <c r="D20" s="28"/>
      <c r="E20" s="26"/>
      <c r="F20" s="26"/>
      <c r="G20" s="417"/>
      <c r="H20" s="417"/>
      <c r="I20" s="417"/>
      <c r="J20" s="417"/>
      <c r="K20" s="718"/>
      <c r="L20" s="718"/>
      <c r="M20" s="417">
        <f t="shared" si="0"/>
        <v>0</v>
      </c>
    </row>
    <row r="21" spans="1:13" s="278" customFormat="1" ht="17.25" customHeight="1">
      <c r="A21" s="116">
        <v>4</v>
      </c>
      <c r="B21" s="31" t="s">
        <v>42</v>
      </c>
      <c r="C21" s="628" t="s">
        <v>235</v>
      </c>
      <c r="D21" s="28" t="s">
        <v>16</v>
      </c>
      <c r="E21" s="26"/>
      <c r="F21" s="26">
        <v>844.7</v>
      </c>
      <c r="G21" s="417"/>
      <c r="H21" s="417"/>
      <c r="I21" s="417"/>
      <c r="J21" s="417"/>
      <c r="K21" s="417"/>
      <c r="L21" s="417"/>
      <c r="M21" s="417">
        <f t="shared" si="0"/>
        <v>0</v>
      </c>
    </row>
    <row r="22" spans="1:13" s="278" customFormat="1" ht="13.5">
      <c r="A22" s="116"/>
      <c r="B22" s="116"/>
      <c r="C22" s="28" t="s">
        <v>43</v>
      </c>
      <c r="D22" s="28" t="s">
        <v>15</v>
      </c>
      <c r="E22" s="26">
        <v>0.205</v>
      </c>
      <c r="F22" s="26">
        <f>F21*E22</f>
        <v>173.1635</v>
      </c>
      <c r="G22" s="417"/>
      <c r="H22" s="417">
        <f>F22*G22</f>
        <v>0</v>
      </c>
      <c r="I22" s="718"/>
      <c r="J22" s="718"/>
      <c r="K22" s="718"/>
      <c r="L22" s="718"/>
      <c r="M22" s="417">
        <f t="shared" si="0"/>
        <v>0</v>
      </c>
    </row>
    <row r="23" spans="1:13" s="278" customFormat="1" ht="13.5">
      <c r="A23" s="117"/>
      <c r="B23" s="118"/>
      <c r="C23" s="28" t="s">
        <v>44</v>
      </c>
      <c r="D23" s="28" t="s">
        <v>45</v>
      </c>
      <c r="E23" s="26">
        <v>0.078</v>
      </c>
      <c r="F23" s="26">
        <f>F21*E23</f>
        <v>65.8866</v>
      </c>
      <c r="G23" s="417"/>
      <c r="H23" s="417"/>
      <c r="I23" s="417"/>
      <c r="J23" s="417"/>
      <c r="K23" s="417"/>
      <c r="L23" s="417">
        <f>F23*K23</f>
        <v>0</v>
      </c>
      <c r="M23" s="417">
        <f t="shared" si="0"/>
        <v>0</v>
      </c>
    </row>
    <row r="24" spans="1:13" s="31" customFormat="1" ht="13.5">
      <c r="A24" s="116"/>
      <c r="C24" s="116"/>
      <c r="D24" s="28"/>
      <c r="E24" s="26"/>
      <c r="F24" s="26"/>
      <c r="G24" s="417"/>
      <c r="H24" s="417"/>
      <c r="I24" s="718"/>
      <c r="J24" s="718"/>
      <c r="K24" s="718"/>
      <c r="L24" s="718"/>
      <c r="M24" s="417">
        <f t="shared" si="0"/>
        <v>0</v>
      </c>
    </row>
    <row r="25" spans="1:13" s="31" customFormat="1" ht="13.5">
      <c r="A25" s="116">
        <v>5</v>
      </c>
      <c r="B25" s="116" t="s">
        <v>237</v>
      </c>
      <c r="C25" s="113" t="s">
        <v>238</v>
      </c>
      <c r="D25" s="28" t="s">
        <v>230</v>
      </c>
      <c r="E25" s="27"/>
      <c r="F25" s="27">
        <v>53.8</v>
      </c>
      <c r="G25" s="417"/>
      <c r="H25" s="417"/>
      <c r="I25" s="417"/>
      <c r="J25" s="417"/>
      <c r="K25" s="417"/>
      <c r="L25" s="417"/>
      <c r="M25" s="417">
        <f t="shared" si="0"/>
        <v>0</v>
      </c>
    </row>
    <row r="26" spans="1:13" s="31" customFormat="1" ht="13.5">
      <c r="A26" s="116"/>
      <c r="B26" s="116"/>
      <c r="C26" s="28" t="s">
        <v>43</v>
      </c>
      <c r="D26" s="28" t="s">
        <v>15</v>
      </c>
      <c r="E26" s="27">
        <v>22</v>
      </c>
      <c r="F26" s="27">
        <f>F25*E26</f>
        <v>1183.6</v>
      </c>
      <c r="G26" s="417"/>
      <c r="H26" s="417">
        <f>F26*G26</f>
        <v>0</v>
      </c>
      <c r="I26" s="718"/>
      <c r="J26" s="718"/>
      <c r="K26" s="718"/>
      <c r="L26" s="718"/>
      <c r="M26" s="417">
        <f t="shared" si="0"/>
        <v>0</v>
      </c>
    </row>
    <row r="27" spans="1:13" s="278" customFormat="1" ht="13.5">
      <c r="A27" s="117"/>
      <c r="B27" s="118"/>
      <c r="C27" s="28" t="s">
        <v>44</v>
      </c>
      <c r="D27" s="28" t="s">
        <v>45</v>
      </c>
      <c r="E27" s="27">
        <v>16.8</v>
      </c>
      <c r="F27" s="27">
        <f>F25*E27</f>
        <v>903.84</v>
      </c>
      <c r="G27" s="417"/>
      <c r="H27" s="417"/>
      <c r="I27" s="417"/>
      <c r="J27" s="417"/>
      <c r="K27" s="417"/>
      <c r="L27" s="417">
        <f>F27*K27</f>
        <v>0</v>
      </c>
      <c r="M27" s="417">
        <f t="shared" si="0"/>
        <v>0</v>
      </c>
    </row>
    <row r="28" spans="1:13" s="48" customFormat="1" ht="15.75">
      <c r="A28" s="239"/>
      <c r="B28" s="324"/>
      <c r="C28" s="239"/>
      <c r="D28" s="46"/>
      <c r="E28" s="388"/>
      <c r="F28" s="388"/>
      <c r="G28" s="719"/>
      <c r="H28" s="719"/>
      <c r="I28" s="720"/>
      <c r="J28" s="720"/>
      <c r="K28" s="720"/>
      <c r="L28" s="720"/>
      <c r="M28" s="417">
        <f t="shared" si="0"/>
        <v>0</v>
      </c>
    </row>
    <row r="29" spans="1:13" s="328" customFormat="1" ht="27">
      <c r="A29" s="255">
        <v>6</v>
      </c>
      <c r="B29" s="325" t="s">
        <v>23</v>
      </c>
      <c r="C29" s="114" t="s">
        <v>239</v>
      </c>
      <c r="D29" s="150" t="s">
        <v>16</v>
      </c>
      <c r="E29" s="256"/>
      <c r="F29" s="256">
        <f>117.2+59.4</f>
        <v>176.6</v>
      </c>
      <c r="G29" s="589"/>
      <c r="H29" s="589"/>
      <c r="I29" s="589"/>
      <c r="J29" s="589"/>
      <c r="K29" s="589"/>
      <c r="L29" s="589"/>
      <c r="M29" s="417">
        <f t="shared" si="0"/>
        <v>0</v>
      </c>
    </row>
    <row r="30" spans="1:13" s="29" customFormat="1" ht="13.5">
      <c r="A30" s="116"/>
      <c r="C30" s="28" t="s">
        <v>43</v>
      </c>
      <c r="D30" s="28" t="s">
        <v>15</v>
      </c>
      <c r="E30" s="26">
        <v>0.186</v>
      </c>
      <c r="F30" s="26">
        <f>F29*E30</f>
        <v>32.8476</v>
      </c>
      <c r="G30" s="417"/>
      <c r="H30" s="417">
        <f>F30*G30</f>
        <v>0</v>
      </c>
      <c r="I30" s="718"/>
      <c r="J30" s="718"/>
      <c r="K30" s="718"/>
      <c r="L30" s="718"/>
      <c r="M30" s="417">
        <f t="shared" si="0"/>
        <v>0</v>
      </c>
    </row>
    <row r="31" spans="1:13" s="278" customFormat="1" ht="14.25" thickBot="1">
      <c r="A31" s="117"/>
      <c r="B31" s="118"/>
      <c r="C31" s="28" t="s">
        <v>44</v>
      </c>
      <c r="D31" s="28" t="s">
        <v>45</v>
      </c>
      <c r="E31" s="30">
        <v>0.0016</v>
      </c>
      <c r="F31" s="26">
        <f>F29*E31</f>
        <v>0.28256</v>
      </c>
      <c r="G31" s="417"/>
      <c r="H31" s="417"/>
      <c r="I31" s="417"/>
      <c r="J31" s="417"/>
      <c r="K31" s="417"/>
      <c r="L31" s="417">
        <f>F31*K31</f>
        <v>0</v>
      </c>
      <c r="M31" s="417">
        <f t="shared" si="0"/>
        <v>0</v>
      </c>
    </row>
    <row r="32" spans="1:13" s="334" customFormat="1" ht="13.5">
      <c r="A32" s="329">
        <v>7</v>
      </c>
      <c r="B32" s="330" t="s">
        <v>27</v>
      </c>
      <c r="C32" s="135" t="s">
        <v>590</v>
      </c>
      <c r="D32" s="331" t="s">
        <v>34</v>
      </c>
      <c r="E32" s="332"/>
      <c r="F32" s="333">
        <f>F10*2+F17*0.1*1.4+F21*0.05*2+F25*2.4+F29*0.03*2</f>
        <v>580.044</v>
      </c>
      <c r="G32" s="721"/>
      <c r="H32" s="589">
        <f aca="true" t="shared" si="1" ref="H32:H37">F32*G32</f>
        <v>0</v>
      </c>
      <c r="I32" s="722"/>
      <c r="J32" s="589"/>
      <c r="K32" s="722"/>
      <c r="L32" s="589">
        <f aca="true" t="shared" si="2" ref="L32:L37">F32*K32</f>
        <v>0</v>
      </c>
      <c r="M32" s="417">
        <f t="shared" si="0"/>
        <v>0</v>
      </c>
    </row>
    <row r="33" spans="1:14" s="339" customFormat="1" ht="14.25" thickBot="1">
      <c r="A33" s="335"/>
      <c r="B33" s="336"/>
      <c r="C33" s="116" t="s">
        <v>43</v>
      </c>
      <c r="D33" s="150" t="s">
        <v>31</v>
      </c>
      <c r="E33" s="337">
        <v>1.85</v>
      </c>
      <c r="F33" s="338">
        <f>F32*E33</f>
        <v>1073.0814</v>
      </c>
      <c r="G33" s="417"/>
      <c r="H33" s="589">
        <f t="shared" si="1"/>
        <v>0</v>
      </c>
      <c r="I33" s="723"/>
      <c r="J33" s="589"/>
      <c r="K33" s="723"/>
      <c r="L33" s="589">
        <f t="shared" si="2"/>
        <v>0</v>
      </c>
      <c r="M33" s="417">
        <f t="shared" si="0"/>
        <v>0</v>
      </c>
      <c r="N33" s="334"/>
    </row>
    <row r="34" spans="1:13" s="344" customFormat="1" ht="33.75" customHeight="1">
      <c r="A34" s="340">
        <v>8</v>
      </c>
      <c r="B34" s="341" t="s">
        <v>28</v>
      </c>
      <c r="C34" s="135" t="s">
        <v>591</v>
      </c>
      <c r="D34" s="150" t="s">
        <v>33</v>
      </c>
      <c r="E34" s="342"/>
      <c r="F34" s="343">
        <f>F10+F13*0.05*100+F17*0.1+F21*0.05+F25+F29*0.03</f>
        <v>346.838</v>
      </c>
      <c r="G34" s="417"/>
      <c r="H34" s="589">
        <f t="shared" si="1"/>
        <v>0</v>
      </c>
      <c r="I34" s="724"/>
      <c r="J34" s="589"/>
      <c r="K34" s="724"/>
      <c r="L34" s="589">
        <f t="shared" si="2"/>
        <v>0</v>
      </c>
      <c r="M34" s="417">
        <f t="shared" si="0"/>
        <v>0</v>
      </c>
    </row>
    <row r="35" spans="1:14" s="349" customFormat="1" ht="14.25" thickBot="1">
      <c r="A35" s="345"/>
      <c r="B35" s="346"/>
      <c r="C35" s="116" t="s">
        <v>43</v>
      </c>
      <c r="D35" s="150" t="s">
        <v>31</v>
      </c>
      <c r="E35" s="347">
        <v>0.87</v>
      </c>
      <c r="F35" s="348">
        <f>F34*E35</f>
        <v>301.74906000000004</v>
      </c>
      <c r="G35" s="417"/>
      <c r="H35" s="589">
        <f t="shared" si="1"/>
        <v>0</v>
      </c>
      <c r="I35" s="725"/>
      <c r="J35" s="589"/>
      <c r="K35" s="725"/>
      <c r="L35" s="589">
        <f t="shared" si="2"/>
        <v>0</v>
      </c>
      <c r="M35" s="417">
        <f t="shared" si="0"/>
        <v>0</v>
      </c>
      <c r="N35" s="344"/>
    </row>
    <row r="36" spans="1:14" s="356" customFormat="1" ht="13.5">
      <c r="A36" s="350">
        <v>9</v>
      </c>
      <c r="B36" s="351"/>
      <c r="C36" s="135"/>
      <c r="D36" s="352"/>
      <c r="E36" s="353"/>
      <c r="F36" s="354"/>
      <c r="G36" s="726"/>
      <c r="H36" s="589">
        <f t="shared" si="1"/>
        <v>0</v>
      </c>
      <c r="I36" s="726"/>
      <c r="J36" s="589"/>
      <c r="K36" s="726"/>
      <c r="L36" s="589">
        <f t="shared" si="2"/>
        <v>0</v>
      </c>
      <c r="M36" s="417">
        <f t="shared" si="0"/>
        <v>0</v>
      </c>
      <c r="N36" s="355"/>
    </row>
    <row r="37" spans="1:14" s="356" customFormat="1" ht="30.75" customHeight="1" thickBot="1">
      <c r="A37" s="357"/>
      <c r="B37" s="358"/>
      <c r="C37" s="359" t="s">
        <v>592</v>
      </c>
      <c r="D37" s="352" t="s">
        <v>34</v>
      </c>
      <c r="E37" s="353"/>
      <c r="F37" s="333">
        <f>F32</f>
        <v>580.044</v>
      </c>
      <c r="G37" s="726"/>
      <c r="H37" s="589">
        <f t="shared" si="1"/>
        <v>0</v>
      </c>
      <c r="I37" s="726"/>
      <c r="J37" s="589"/>
      <c r="K37" s="727"/>
      <c r="L37" s="589">
        <f t="shared" si="2"/>
        <v>0</v>
      </c>
      <c r="M37" s="417">
        <f t="shared" si="0"/>
        <v>0</v>
      </c>
      <c r="N37" s="355"/>
    </row>
    <row r="38" spans="1:13" ht="28.5" customHeight="1">
      <c r="A38" s="411">
        <v>10</v>
      </c>
      <c r="B38" s="870" t="s">
        <v>573</v>
      </c>
      <c r="C38" s="114" t="s">
        <v>928</v>
      </c>
      <c r="D38" s="231" t="s">
        <v>651</v>
      </c>
      <c r="E38" s="232"/>
      <c r="F38" s="26">
        <v>500</v>
      </c>
      <c r="G38" s="234"/>
      <c r="H38" s="234"/>
      <c r="I38" s="234"/>
      <c r="J38" s="234"/>
      <c r="K38" s="234"/>
      <c r="L38" s="235"/>
      <c r="M38" s="235"/>
    </row>
    <row r="39" spans="1:13" ht="20.25" customHeight="1">
      <c r="A39" s="411"/>
      <c r="B39" s="870"/>
      <c r="C39" s="28" t="s">
        <v>43</v>
      </c>
      <c r="D39" s="231" t="s">
        <v>651</v>
      </c>
      <c r="E39" s="232"/>
      <c r="F39" s="26">
        <v>500</v>
      </c>
      <c r="G39" s="417"/>
      <c r="H39" s="417">
        <f>F39*G39</f>
        <v>0</v>
      </c>
      <c r="I39" s="718"/>
      <c r="J39" s="718"/>
      <c r="K39" s="718"/>
      <c r="L39" s="718"/>
      <c r="M39" s="417">
        <f>L39+J39+H39</f>
        <v>0</v>
      </c>
    </row>
    <row r="40" spans="1:13" ht="30.75" customHeight="1">
      <c r="A40" s="411"/>
      <c r="B40" s="870"/>
      <c r="C40" s="280" t="s">
        <v>923</v>
      </c>
      <c r="D40" s="231" t="s">
        <v>651</v>
      </c>
      <c r="E40" s="232"/>
      <c r="F40" s="26">
        <v>500</v>
      </c>
      <c r="G40" s="234"/>
      <c r="H40" s="234"/>
      <c r="I40" s="234"/>
      <c r="J40" s="417">
        <f>F40*I40</f>
        <v>0</v>
      </c>
      <c r="K40" s="234"/>
      <c r="L40" s="235"/>
      <c r="M40" s="417">
        <f>L40+J40+H40</f>
        <v>0</v>
      </c>
    </row>
    <row r="41" spans="1:13" ht="30" customHeight="1">
      <c r="A41" s="411"/>
      <c r="B41" s="870"/>
      <c r="C41" s="280" t="s">
        <v>922</v>
      </c>
      <c r="D41" s="231" t="s">
        <v>651</v>
      </c>
      <c r="E41" s="232">
        <v>1.1</v>
      </c>
      <c r="F41" s="26">
        <f>F38*E41</f>
        <v>550</v>
      </c>
      <c r="G41" s="234"/>
      <c r="H41" s="234"/>
      <c r="I41" s="234"/>
      <c r="J41" s="417">
        <f>F41*I41</f>
        <v>0</v>
      </c>
      <c r="K41" s="234"/>
      <c r="L41" s="235"/>
      <c r="M41" s="417">
        <f>L41+J41+H41</f>
        <v>0</v>
      </c>
    </row>
    <row r="42" spans="1:13" ht="30" customHeight="1">
      <c r="A42" s="411">
        <v>11</v>
      </c>
      <c r="B42" s="870" t="s">
        <v>573</v>
      </c>
      <c r="C42" s="323" t="s">
        <v>924</v>
      </c>
      <c r="D42" s="231" t="s">
        <v>651</v>
      </c>
      <c r="E42" s="232"/>
      <c r="F42" s="941">
        <v>300</v>
      </c>
      <c r="G42" s="234"/>
      <c r="H42" s="417">
        <f>F42*G42</f>
        <v>0</v>
      </c>
      <c r="I42" s="234"/>
      <c r="J42" s="417">
        <f>F42*I42</f>
        <v>0</v>
      </c>
      <c r="K42" s="234"/>
      <c r="L42" s="235"/>
      <c r="M42" s="417">
        <f>L42+J42+H42</f>
        <v>0</v>
      </c>
    </row>
    <row r="43" spans="1:14" s="328" customFormat="1" ht="22.5" customHeight="1">
      <c r="A43" s="360"/>
      <c r="B43" s="361"/>
      <c r="C43" s="157" t="s">
        <v>88</v>
      </c>
      <c r="D43" s="150"/>
      <c r="E43" s="362"/>
      <c r="F43" s="363"/>
      <c r="G43" s="589"/>
      <c r="H43" s="589"/>
      <c r="I43" s="589"/>
      <c r="J43" s="589"/>
      <c r="K43" s="589"/>
      <c r="L43" s="589"/>
      <c r="M43" s="417">
        <f t="shared" si="0"/>
        <v>0</v>
      </c>
      <c r="N43" s="289"/>
    </row>
    <row r="44" spans="1:13" s="328" customFormat="1" ht="29.25" customHeight="1">
      <c r="A44" s="255">
        <v>1</v>
      </c>
      <c r="B44" s="255" t="s">
        <v>20</v>
      </c>
      <c r="C44" s="651" t="s">
        <v>813</v>
      </c>
      <c r="D44" s="634" t="s">
        <v>71</v>
      </c>
      <c r="E44" s="635"/>
      <c r="F44" s="635">
        <v>1.3</v>
      </c>
      <c r="G44" s="728"/>
      <c r="H44" s="728"/>
      <c r="I44" s="729"/>
      <c r="J44" s="729"/>
      <c r="K44" s="728"/>
      <c r="L44" s="728"/>
      <c r="M44" s="672">
        <f t="shared" si="0"/>
        <v>0</v>
      </c>
    </row>
    <row r="45" spans="1:14" s="278" customFormat="1" ht="13.5">
      <c r="A45" s="116"/>
      <c r="C45" s="630" t="s">
        <v>359</v>
      </c>
      <c r="D45" s="630" t="s">
        <v>15</v>
      </c>
      <c r="E45" s="636">
        <f>18.8+0.34*10</f>
        <v>22.200000000000003</v>
      </c>
      <c r="F45" s="636">
        <f>F44*E45</f>
        <v>28.860000000000003</v>
      </c>
      <c r="G45" s="672"/>
      <c r="H45" s="672">
        <f>F45*G45</f>
        <v>0</v>
      </c>
      <c r="I45" s="730"/>
      <c r="J45" s="730"/>
      <c r="K45" s="730"/>
      <c r="L45" s="730"/>
      <c r="M45" s="672">
        <f t="shared" si="0"/>
        <v>0</v>
      </c>
      <c r="N45" s="652"/>
    </row>
    <row r="46" spans="1:13" s="278" customFormat="1" ht="13.5">
      <c r="A46" s="116"/>
      <c r="B46" s="31"/>
      <c r="C46" s="28" t="s">
        <v>360</v>
      </c>
      <c r="D46" s="28" t="s">
        <v>45</v>
      </c>
      <c r="E46" s="26">
        <f>0.95+0.23*10</f>
        <v>3.25</v>
      </c>
      <c r="F46" s="26">
        <f>F44*E46</f>
        <v>4.2250000000000005</v>
      </c>
      <c r="G46" s="718"/>
      <c r="H46" s="718"/>
      <c r="I46" s="718"/>
      <c r="J46" s="718"/>
      <c r="K46" s="417"/>
      <c r="L46" s="417">
        <f>F46*K46</f>
        <v>0</v>
      </c>
      <c r="M46" s="417">
        <f t="shared" si="0"/>
        <v>0</v>
      </c>
    </row>
    <row r="47" spans="1:13" s="278" customFormat="1" ht="13.5">
      <c r="A47" s="116"/>
      <c r="B47" s="31"/>
      <c r="C47" s="28" t="s">
        <v>361</v>
      </c>
      <c r="D47" s="28" t="s">
        <v>46</v>
      </c>
      <c r="E47" s="26">
        <f>2.04+0.51*10</f>
        <v>7.14</v>
      </c>
      <c r="F47" s="26">
        <f>F44*E47</f>
        <v>9.282</v>
      </c>
      <c r="G47" s="718"/>
      <c r="H47" s="718"/>
      <c r="I47" s="417"/>
      <c r="J47" s="417">
        <f>F47*I47</f>
        <v>0</v>
      </c>
      <c r="K47" s="718"/>
      <c r="L47" s="718"/>
      <c r="M47" s="417">
        <f t="shared" si="0"/>
        <v>0</v>
      </c>
    </row>
    <row r="48" spans="1:13" s="31" customFormat="1" ht="13.5">
      <c r="A48" s="117"/>
      <c r="B48" s="118"/>
      <c r="C48" s="28" t="s">
        <v>47</v>
      </c>
      <c r="D48" s="28" t="s">
        <v>45</v>
      </c>
      <c r="E48" s="26">
        <v>6.36</v>
      </c>
      <c r="F48" s="26">
        <f>F44*E48</f>
        <v>8.268</v>
      </c>
      <c r="G48" s="718"/>
      <c r="H48" s="718"/>
      <c r="I48" s="417"/>
      <c r="J48" s="417">
        <f>F48*I48</f>
        <v>0</v>
      </c>
      <c r="K48" s="718"/>
      <c r="L48" s="718"/>
      <c r="M48" s="417">
        <f t="shared" si="0"/>
        <v>0</v>
      </c>
    </row>
    <row r="49" spans="1:13" s="308" customFormat="1" ht="27">
      <c r="A49" s="292">
        <v>2</v>
      </c>
      <c r="B49" s="292" t="s">
        <v>362</v>
      </c>
      <c r="C49" s="114" t="s">
        <v>364</v>
      </c>
      <c r="D49" s="33" t="s">
        <v>16</v>
      </c>
      <c r="E49" s="249"/>
      <c r="F49" s="249">
        <v>130</v>
      </c>
      <c r="G49" s="731"/>
      <c r="H49" s="731"/>
      <c r="I49" s="732"/>
      <c r="J49" s="732"/>
      <c r="K49" s="731"/>
      <c r="L49" s="731"/>
      <c r="M49" s="417">
        <f t="shared" si="0"/>
        <v>0</v>
      </c>
    </row>
    <row r="50" spans="1:13" s="115" customFormat="1" ht="13.5">
      <c r="A50" s="116"/>
      <c r="B50" s="116"/>
      <c r="C50" s="28" t="s">
        <v>43</v>
      </c>
      <c r="D50" s="28" t="s">
        <v>15</v>
      </c>
      <c r="E50" s="26">
        <f>0.261+0.312</f>
        <v>0.573</v>
      </c>
      <c r="F50" s="26">
        <f>F49*E50</f>
        <v>74.49</v>
      </c>
      <c r="G50" s="417"/>
      <c r="H50" s="417">
        <f>F50*G50</f>
        <v>0</v>
      </c>
      <c r="I50" s="718"/>
      <c r="J50" s="718"/>
      <c r="K50" s="718"/>
      <c r="L50" s="718"/>
      <c r="M50" s="417">
        <f t="shared" si="0"/>
        <v>0</v>
      </c>
    </row>
    <row r="51" spans="1:13" s="115" customFormat="1" ht="13.5">
      <c r="A51" s="116"/>
      <c r="B51" s="31"/>
      <c r="C51" s="28" t="s">
        <v>44</v>
      </c>
      <c r="D51" s="28" t="s">
        <v>45</v>
      </c>
      <c r="E51" s="30">
        <f>0.009+0.0138</f>
        <v>0.0228</v>
      </c>
      <c r="F51" s="26">
        <f>F49*E51</f>
        <v>2.964</v>
      </c>
      <c r="G51" s="718"/>
      <c r="H51" s="718"/>
      <c r="I51" s="417"/>
      <c r="J51" s="417"/>
      <c r="K51" s="417"/>
      <c r="L51" s="417">
        <f>F51*K51</f>
        <v>0</v>
      </c>
      <c r="M51" s="417">
        <f t="shared" si="0"/>
        <v>0</v>
      </c>
    </row>
    <row r="52" spans="1:13" s="115" customFormat="1" ht="13.5">
      <c r="A52" s="116"/>
      <c r="B52" s="31"/>
      <c r="C52" s="28" t="s">
        <v>365</v>
      </c>
      <c r="D52" s="28" t="s">
        <v>16</v>
      </c>
      <c r="E52" s="26">
        <v>1.12</v>
      </c>
      <c r="F52" s="26">
        <f>F49*E52</f>
        <v>145.60000000000002</v>
      </c>
      <c r="G52" s="718"/>
      <c r="H52" s="718"/>
      <c r="I52" s="417"/>
      <c r="J52" s="417">
        <f>F52*I52</f>
        <v>0</v>
      </c>
      <c r="K52" s="718"/>
      <c r="L52" s="718"/>
      <c r="M52" s="417">
        <f t="shared" si="0"/>
        <v>0</v>
      </c>
    </row>
    <row r="53" spans="1:13" s="115" customFormat="1" ht="13.5">
      <c r="A53" s="116"/>
      <c r="B53" s="31"/>
      <c r="C53" s="28" t="s">
        <v>366</v>
      </c>
      <c r="D53" s="28" t="s">
        <v>16</v>
      </c>
      <c r="E53" s="26">
        <v>1.12</v>
      </c>
      <c r="F53" s="26">
        <f>F49*E53</f>
        <v>145.60000000000002</v>
      </c>
      <c r="G53" s="718"/>
      <c r="H53" s="718"/>
      <c r="I53" s="417"/>
      <c r="J53" s="417">
        <f>F53*I53</f>
        <v>0</v>
      </c>
      <c r="K53" s="718"/>
      <c r="L53" s="718"/>
      <c r="M53" s="417">
        <f t="shared" si="0"/>
        <v>0</v>
      </c>
    </row>
    <row r="54" spans="1:13" s="115" customFormat="1" ht="13.5">
      <c r="A54" s="116"/>
      <c r="B54" s="31"/>
      <c r="C54" s="28" t="s">
        <v>363</v>
      </c>
      <c r="D54" s="28" t="s">
        <v>49</v>
      </c>
      <c r="E54" s="26">
        <v>0.76</v>
      </c>
      <c r="F54" s="26">
        <f>F49*E54</f>
        <v>98.8</v>
      </c>
      <c r="G54" s="718"/>
      <c r="H54" s="718"/>
      <c r="I54" s="417"/>
      <c r="J54" s="417">
        <f>F54*I54</f>
        <v>0</v>
      </c>
      <c r="K54" s="718"/>
      <c r="L54" s="718"/>
      <c r="M54" s="417">
        <f t="shared" si="0"/>
        <v>0</v>
      </c>
    </row>
    <row r="55" spans="1:13" s="115" customFormat="1" ht="13.5">
      <c r="A55" s="117"/>
      <c r="B55" s="118"/>
      <c r="C55" s="28" t="s">
        <v>47</v>
      </c>
      <c r="D55" s="28" t="s">
        <v>45</v>
      </c>
      <c r="E55" s="30">
        <v>0.0019</v>
      </c>
      <c r="F55" s="26">
        <f>F49*E55</f>
        <v>0.247</v>
      </c>
      <c r="G55" s="718"/>
      <c r="H55" s="718"/>
      <c r="I55" s="417"/>
      <c r="J55" s="417">
        <f>F55*I55</f>
        <v>0</v>
      </c>
      <c r="K55" s="718"/>
      <c r="L55" s="718"/>
      <c r="M55" s="417">
        <f t="shared" si="0"/>
        <v>0</v>
      </c>
    </row>
    <row r="56" spans="1:13" s="293" customFormat="1" ht="27">
      <c r="A56" s="292">
        <v>3</v>
      </c>
      <c r="B56" s="308" t="s">
        <v>367</v>
      </c>
      <c r="C56" s="629" t="s">
        <v>814</v>
      </c>
      <c r="D56" s="33" t="s">
        <v>16</v>
      </c>
      <c r="E56" s="33"/>
      <c r="F56" s="33">
        <v>65</v>
      </c>
      <c r="G56" s="731"/>
      <c r="H56" s="731"/>
      <c r="I56" s="731"/>
      <c r="J56" s="731"/>
      <c r="K56" s="731"/>
      <c r="L56" s="731"/>
      <c r="M56" s="417">
        <f t="shared" si="0"/>
        <v>0</v>
      </c>
    </row>
    <row r="57" spans="1:13" s="31" customFormat="1" ht="13.5">
      <c r="A57" s="116"/>
      <c r="B57" s="116"/>
      <c r="C57" s="28" t="s">
        <v>53</v>
      </c>
      <c r="D57" s="28" t="s">
        <v>15</v>
      </c>
      <c r="E57" s="26">
        <v>1.56</v>
      </c>
      <c r="F57" s="26">
        <f>F56*E57</f>
        <v>101.4</v>
      </c>
      <c r="G57" s="417"/>
      <c r="H57" s="417">
        <f>F57*G57</f>
        <v>0</v>
      </c>
      <c r="I57" s="718"/>
      <c r="J57" s="718"/>
      <c r="K57" s="718"/>
      <c r="L57" s="718"/>
      <c r="M57" s="417">
        <f t="shared" si="0"/>
        <v>0</v>
      </c>
    </row>
    <row r="58" spans="1:13" s="31" customFormat="1" ht="13.5">
      <c r="A58" s="116"/>
      <c r="C58" s="28" t="s">
        <v>44</v>
      </c>
      <c r="D58" s="28" t="s">
        <v>45</v>
      </c>
      <c r="E58" s="26">
        <v>0.07</v>
      </c>
      <c r="F58" s="26">
        <f>F56*E58</f>
        <v>4.550000000000001</v>
      </c>
      <c r="G58" s="718"/>
      <c r="H58" s="718"/>
      <c r="I58" s="718"/>
      <c r="J58" s="718"/>
      <c r="K58" s="417"/>
      <c r="L58" s="417">
        <f>F58*K58</f>
        <v>0</v>
      </c>
      <c r="M58" s="417">
        <f t="shared" si="0"/>
        <v>0</v>
      </c>
    </row>
    <row r="59" spans="1:13" s="31" customFormat="1" ht="13.5">
      <c r="A59" s="116"/>
      <c r="C59" s="28" t="s">
        <v>825</v>
      </c>
      <c r="D59" s="28" t="s">
        <v>46</v>
      </c>
      <c r="E59" s="30">
        <v>0.0375</v>
      </c>
      <c r="F59" s="26">
        <f>F56*E59</f>
        <v>2.4375</v>
      </c>
      <c r="G59" s="718"/>
      <c r="H59" s="718"/>
      <c r="I59" s="417"/>
      <c r="J59" s="417">
        <f>F59*I59</f>
        <v>0</v>
      </c>
      <c r="K59" s="718"/>
      <c r="L59" s="718"/>
      <c r="M59" s="417">
        <f t="shared" si="0"/>
        <v>0</v>
      </c>
    </row>
    <row r="60" spans="1:13" s="31" customFormat="1" ht="13.5">
      <c r="A60" s="117"/>
      <c r="B60" s="118"/>
      <c r="C60" s="28" t="s">
        <v>47</v>
      </c>
      <c r="D60" s="28" t="s">
        <v>45</v>
      </c>
      <c r="E60" s="26">
        <v>0.001</v>
      </c>
      <c r="F60" s="26">
        <f>F56*E60</f>
        <v>0.065</v>
      </c>
      <c r="G60" s="718"/>
      <c r="H60" s="718"/>
      <c r="I60" s="417"/>
      <c r="J60" s="417">
        <f>F60*I60</f>
        <v>0</v>
      </c>
      <c r="K60" s="718"/>
      <c r="L60" s="718"/>
      <c r="M60" s="417">
        <f t="shared" si="0"/>
        <v>0</v>
      </c>
    </row>
    <row r="61" spans="1:13" s="308" customFormat="1" ht="27">
      <c r="A61" s="292">
        <v>4</v>
      </c>
      <c r="B61" s="292" t="s">
        <v>368</v>
      </c>
      <c r="C61" s="114" t="s">
        <v>370</v>
      </c>
      <c r="D61" s="33" t="s">
        <v>16</v>
      </c>
      <c r="E61" s="33"/>
      <c r="F61" s="33">
        <v>65</v>
      </c>
      <c r="G61" s="731"/>
      <c r="H61" s="731"/>
      <c r="I61" s="731"/>
      <c r="J61" s="731"/>
      <c r="K61" s="731"/>
      <c r="L61" s="731"/>
      <c r="M61" s="417">
        <f t="shared" si="0"/>
        <v>0</v>
      </c>
    </row>
    <row r="62" spans="1:13" s="115" customFormat="1" ht="13.5">
      <c r="A62" s="116"/>
      <c r="C62" s="28" t="s">
        <v>53</v>
      </c>
      <c r="D62" s="28" t="s">
        <v>15</v>
      </c>
      <c r="E62" s="26">
        <v>0.856</v>
      </c>
      <c r="F62" s="26">
        <f>F61*E62</f>
        <v>55.64</v>
      </c>
      <c r="G62" s="417"/>
      <c r="H62" s="417">
        <f>F62*G62</f>
        <v>0</v>
      </c>
      <c r="I62" s="718"/>
      <c r="J62" s="718"/>
      <c r="K62" s="718"/>
      <c r="L62" s="718"/>
      <c r="M62" s="417">
        <f t="shared" si="0"/>
        <v>0</v>
      </c>
    </row>
    <row r="63" spans="1:13" s="115" customFormat="1" ht="13.5">
      <c r="A63" s="116"/>
      <c r="B63" s="31"/>
      <c r="C63" s="28" t="s">
        <v>44</v>
      </c>
      <c r="D63" s="28" t="s">
        <v>45</v>
      </c>
      <c r="E63" s="26">
        <v>0.012</v>
      </c>
      <c r="F63" s="26">
        <f>F61*E63</f>
        <v>0.78</v>
      </c>
      <c r="G63" s="718"/>
      <c r="H63" s="718"/>
      <c r="I63" s="718"/>
      <c r="J63" s="718"/>
      <c r="K63" s="417"/>
      <c r="L63" s="417">
        <f>F63*K63</f>
        <v>0</v>
      </c>
      <c r="M63" s="417">
        <f t="shared" si="0"/>
        <v>0</v>
      </c>
    </row>
    <row r="64" spans="1:13" s="115" customFormat="1" ht="13.5">
      <c r="A64" s="116"/>
      <c r="C64" s="28" t="s">
        <v>369</v>
      </c>
      <c r="D64" s="28" t="s">
        <v>49</v>
      </c>
      <c r="E64" s="27">
        <v>0.63</v>
      </c>
      <c r="F64" s="26">
        <f>F61*E64</f>
        <v>40.95</v>
      </c>
      <c r="G64" s="718"/>
      <c r="H64" s="718"/>
      <c r="I64" s="417"/>
      <c r="J64" s="417">
        <f>F64*I64</f>
        <v>0</v>
      </c>
      <c r="K64" s="718"/>
      <c r="L64" s="718"/>
      <c r="M64" s="417">
        <f t="shared" si="0"/>
        <v>0</v>
      </c>
    </row>
    <row r="65" spans="1:13" s="115" customFormat="1" ht="13.5">
      <c r="A65" s="116"/>
      <c r="B65" s="31"/>
      <c r="C65" s="630" t="s">
        <v>827</v>
      </c>
      <c r="D65" s="28" t="s">
        <v>49</v>
      </c>
      <c r="E65" s="26">
        <v>0.92</v>
      </c>
      <c r="F65" s="26">
        <f>F61*E65</f>
        <v>59.800000000000004</v>
      </c>
      <c r="G65" s="718"/>
      <c r="H65" s="718"/>
      <c r="I65" s="417"/>
      <c r="J65" s="417">
        <f>F65*I65</f>
        <v>0</v>
      </c>
      <c r="K65" s="718"/>
      <c r="L65" s="718"/>
      <c r="M65" s="417">
        <f t="shared" si="0"/>
        <v>0</v>
      </c>
    </row>
    <row r="66" spans="1:13" s="115" customFormat="1" ht="13.5">
      <c r="A66" s="117"/>
      <c r="B66" s="118"/>
      <c r="C66" s="28" t="s">
        <v>47</v>
      </c>
      <c r="D66" s="28" t="s">
        <v>45</v>
      </c>
      <c r="E66" s="26">
        <v>0.018</v>
      </c>
      <c r="F66" s="26">
        <f>F61*E66</f>
        <v>1.17</v>
      </c>
      <c r="G66" s="718"/>
      <c r="H66" s="718"/>
      <c r="I66" s="417"/>
      <c r="J66" s="417">
        <f>F66*I66</f>
        <v>0</v>
      </c>
      <c r="K66" s="718"/>
      <c r="L66" s="718"/>
      <c r="M66" s="417">
        <f t="shared" si="0"/>
        <v>0</v>
      </c>
    </row>
    <row r="67" spans="1:13" s="632" customFormat="1" ht="27">
      <c r="A67" s="631">
        <v>5</v>
      </c>
      <c r="B67" s="632" t="s">
        <v>371</v>
      </c>
      <c r="C67" s="633" t="s">
        <v>602</v>
      </c>
      <c r="D67" s="634" t="s">
        <v>372</v>
      </c>
      <c r="E67" s="635"/>
      <c r="F67" s="635">
        <f>36.8/100</f>
        <v>0.368</v>
      </c>
      <c r="G67" s="729"/>
      <c r="H67" s="729"/>
      <c r="I67" s="728"/>
      <c r="J67" s="728"/>
      <c r="K67" s="728"/>
      <c r="L67" s="728"/>
      <c r="M67" s="417">
        <f t="shared" si="0"/>
        <v>0</v>
      </c>
    </row>
    <row r="68" spans="1:13" s="632" customFormat="1" ht="13.5">
      <c r="A68" s="631"/>
      <c r="C68" s="630" t="s">
        <v>43</v>
      </c>
      <c r="D68" s="630" t="s">
        <v>15</v>
      </c>
      <c r="E68" s="636">
        <v>183</v>
      </c>
      <c r="F68" s="636">
        <f>F67*E68</f>
        <v>67.344</v>
      </c>
      <c r="G68" s="672"/>
      <c r="H68" s="672">
        <f>F68*G68</f>
        <v>0</v>
      </c>
      <c r="I68" s="730"/>
      <c r="J68" s="730"/>
      <c r="K68" s="730"/>
      <c r="L68" s="730"/>
      <c r="M68" s="417">
        <f t="shared" si="0"/>
        <v>0</v>
      </c>
    </row>
    <row r="69" spans="1:13" s="638" customFormat="1" ht="13.5">
      <c r="A69" s="631"/>
      <c r="B69" s="631"/>
      <c r="C69" s="630" t="s">
        <v>44</v>
      </c>
      <c r="D69" s="630" t="s">
        <v>45</v>
      </c>
      <c r="E69" s="636">
        <v>3.6</v>
      </c>
      <c r="F69" s="636">
        <f>F67*E69</f>
        <v>1.3248</v>
      </c>
      <c r="G69" s="730"/>
      <c r="H69" s="730"/>
      <c r="I69" s="730"/>
      <c r="J69" s="730"/>
      <c r="K69" s="672"/>
      <c r="L69" s="672">
        <f>F69*K69</f>
        <v>0</v>
      </c>
      <c r="M69" s="417">
        <f t="shared" si="0"/>
        <v>0</v>
      </c>
    </row>
    <row r="70" spans="1:13" s="638" customFormat="1" ht="13.5">
      <c r="A70" s="631"/>
      <c r="B70" s="632"/>
      <c r="C70" s="630" t="s">
        <v>373</v>
      </c>
      <c r="D70" s="630" t="s">
        <v>50</v>
      </c>
      <c r="E70" s="636">
        <v>100</v>
      </c>
      <c r="F70" s="636">
        <f>F67*E70</f>
        <v>36.8</v>
      </c>
      <c r="G70" s="730"/>
      <c r="H70" s="730"/>
      <c r="I70" s="672"/>
      <c r="J70" s="672">
        <f>F70*I70</f>
        <v>0</v>
      </c>
      <c r="K70" s="730"/>
      <c r="L70" s="730"/>
      <c r="M70" s="417">
        <f t="shared" si="0"/>
        <v>0</v>
      </c>
    </row>
    <row r="71" spans="1:13" s="638" customFormat="1" ht="13.5">
      <c r="A71" s="631"/>
      <c r="B71" s="632"/>
      <c r="C71" s="630" t="s">
        <v>374</v>
      </c>
      <c r="D71" s="630" t="s">
        <v>185</v>
      </c>
      <c r="E71" s="636">
        <v>0.15</v>
      </c>
      <c r="F71" s="636">
        <f>F67*E71</f>
        <v>0.0552</v>
      </c>
      <c r="G71" s="730"/>
      <c r="H71" s="730"/>
      <c r="I71" s="672"/>
      <c r="J71" s="672">
        <f>F71*I71</f>
        <v>0</v>
      </c>
      <c r="K71" s="730"/>
      <c r="L71" s="730"/>
      <c r="M71" s="417">
        <f t="shared" si="0"/>
        <v>0</v>
      </c>
    </row>
    <row r="72" spans="1:13" s="29" customFormat="1" ht="13.5">
      <c r="A72" s="116"/>
      <c r="B72" s="31"/>
      <c r="C72" s="28" t="s">
        <v>47</v>
      </c>
      <c r="D72" s="28" t="s">
        <v>45</v>
      </c>
      <c r="E72" s="26">
        <v>4.3</v>
      </c>
      <c r="F72" s="26">
        <f>F67*E72</f>
        <v>1.5823999999999998</v>
      </c>
      <c r="G72" s="718"/>
      <c r="H72" s="718"/>
      <c r="I72" s="417"/>
      <c r="J72" s="417">
        <f>F72*I72</f>
        <v>0</v>
      </c>
      <c r="K72" s="718"/>
      <c r="L72" s="718"/>
      <c r="M72" s="417">
        <f t="shared" si="0"/>
        <v>0</v>
      </c>
    </row>
    <row r="73" spans="1:13" s="29" customFormat="1" ht="31.5" customHeight="1">
      <c r="A73" s="116">
        <v>6</v>
      </c>
      <c r="B73" s="116" t="s">
        <v>375</v>
      </c>
      <c r="C73" s="323" t="s">
        <v>815</v>
      </c>
      <c r="D73" s="28" t="s">
        <v>71</v>
      </c>
      <c r="E73" s="26"/>
      <c r="F73" s="26">
        <f>42.32/100</f>
        <v>0.4232</v>
      </c>
      <c r="G73" s="718"/>
      <c r="H73" s="718"/>
      <c r="I73" s="417"/>
      <c r="J73" s="417"/>
      <c r="K73" s="718"/>
      <c r="L73" s="718"/>
      <c r="M73" s="417">
        <f t="shared" si="0"/>
        <v>0</v>
      </c>
    </row>
    <row r="74" spans="1:13" s="29" customFormat="1" ht="13.5">
      <c r="A74" s="116"/>
      <c r="C74" s="28" t="s">
        <v>53</v>
      </c>
      <c r="D74" s="28" t="s">
        <v>15</v>
      </c>
      <c r="E74" s="26">
        <v>68</v>
      </c>
      <c r="F74" s="26">
        <f>F73*E74</f>
        <v>28.7776</v>
      </c>
      <c r="G74" s="417"/>
      <c r="H74" s="417">
        <f>F74*G74</f>
        <v>0</v>
      </c>
      <c r="I74" s="718"/>
      <c r="J74" s="718"/>
      <c r="K74" s="718"/>
      <c r="L74" s="718"/>
      <c r="M74" s="417">
        <f t="shared" si="0"/>
        <v>0</v>
      </c>
    </row>
    <row r="75" spans="1:13" s="31" customFormat="1" ht="13.5">
      <c r="A75" s="116"/>
      <c r="C75" s="28" t="s">
        <v>44</v>
      </c>
      <c r="D75" s="28" t="s">
        <v>45</v>
      </c>
      <c r="E75" s="26">
        <v>0.03</v>
      </c>
      <c r="F75" s="26">
        <f>F73*E75</f>
        <v>0.012696</v>
      </c>
      <c r="G75" s="718"/>
      <c r="H75" s="718"/>
      <c r="I75" s="718"/>
      <c r="J75" s="718"/>
      <c r="K75" s="417"/>
      <c r="L75" s="417">
        <f>F75*K75</f>
        <v>0</v>
      </c>
      <c r="M75" s="417">
        <f t="shared" si="0"/>
        <v>0</v>
      </c>
    </row>
    <row r="76" spans="1:13" s="632" customFormat="1" ht="13.5">
      <c r="A76" s="631"/>
      <c r="C76" s="630" t="s">
        <v>376</v>
      </c>
      <c r="D76" s="630" t="s">
        <v>242</v>
      </c>
      <c r="E76" s="636">
        <v>24.4</v>
      </c>
      <c r="F76" s="636">
        <f>F73*E76</f>
        <v>10.32608</v>
      </c>
      <c r="G76" s="730"/>
      <c r="H76" s="730"/>
      <c r="I76" s="672"/>
      <c r="J76" s="672">
        <f>F76*I76</f>
        <v>0</v>
      </c>
      <c r="K76" s="730"/>
      <c r="L76" s="730"/>
      <c r="M76" s="417">
        <f t="shared" si="0"/>
        <v>0</v>
      </c>
    </row>
    <row r="77" spans="1:13" s="632" customFormat="1" ht="13.5">
      <c r="A77" s="631"/>
      <c r="C77" s="630" t="s">
        <v>377</v>
      </c>
      <c r="D77" s="630" t="s">
        <v>242</v>
      </c>
      <c r="E77" s="636">
        <v>0.2</v>
      </c>
      <c r="F77" s="636">
        <f>F73*E77</f>
        <v>0.08464</v>
      </c>
      <c r="G77" s="730"/>
      <c r="H77" s="730"/>
      <c r="I77" s="672"/>
      <c r="J77" s="672">
        <f>F77*I77</f>
        <v>0</v>
      </c>
      <c r="K77" s="730"/>
      <c r="L77" s="730"/>
      <c r="M77" s="417">
        <f t="shared" si="0"/>
        <v>0</v>
      </c>
    </row>
    <row r="78" spans="1:13" s="31" customFormat="1" ht="13.5">
      <c r="A78" s="116"/>
      <c r="C78" s="28" t="s">
        <v>378</v>
      </c>
      <c r="D78" s="28" t="s">
        <v>242</v>
      </c>
      <c r="E78" s="26">
        <v>2.7</v>
      </c>
      <c r="F78" s="26">
        <f>F73*E78</f>
        <v>1.14264</v>
      </c>
      <c r="G78" s="718"/>
      <c r="H78" s="718"/>
      <c r="I78" s="417"/>
      <c r="J78" s="417">
        <f>F78*I78</f>
        <v>0</v>
      </c>
      <c r="K78" s="718"/>
      <c r="L78" s="718"/>
      <c r="M78" s="417">
        <f t="shared" si="0"/>
        <v>0</v>
      </c>
    </row>
    <row r="79" spans="1:13" s="29" customFormat="1" ht="13.5">
      <c r="A79" s="117"/>
      <c r="B79" s="118"/>
      <c r="C79" s="28" t="s">
        <v>47</v>
      </c>
      <c r="D79" s="28" t="s">
        <v>45</v>
      </c>
      <c r="E79" s="30">
        <v>0.19</v>
      </c>
      <c r="F79" s="26">
        <f>F73*E79</f>
        <v>0.08040800000000001</v>
      </c>
      <c r="G79" s="718"/>
      <c r="H79" s="718"/>
      <c r="I79" s="417"/>
      <c r="J79" s="417">
        <f>F79*I79</f>
        <v>0</v>
      </c>
      <c r="K79" s="718"/>
      <c r="L79" s="718"/>
      <c r="M79" s="417">
        <f t="shared" si="0"/>
        <v>0</v>
      </c>
    </row>
    <row r="80" spans="1:13" s="655" customFormat="1" ht="13.5">
      <c r="A80" s="653"/>
      <c r="B80" s="654"/>
      <c r="C80" s="659"/>
      <c r="D80" s="659"/>
      <c r="E80" s="660"/>
      <c r="F80" s="660"/>
      <c r="G80" s="733"/>
      <c r="H80" s="733"/>
      <c r="I80" s="734"/>
      <c r="J80" s="734"/>
      <c r="K80" s="733"/>
      <c r="L80" s="733"/>
      <c r="M80" s="734"/>
    </row>
    <row r="81" spans="1:13" s="655" customFormat="1" ht="13.5">
      <c r="A81" s="653">
        <v>4</v>
      </c>
      <c r="B81" s="656" t="s">
        <v>842</v>
      </c>
      <c r="C81" s="659" t="s">
        <v>843</v>
      </c>
      <c r="D81" s="659" t="s">
        <v>16</v>
      </c>
      <c r="E81" s="660"/>
      <c r="F81" s="660">
        <v>870</v>
      </c>
      <c r="G81" s="733"/>
      <c r="H81" s="733"/>
      <c r="I81" s="734"/>
      <c r="J81" s="734"/>
      <c r="K81" s="733"/>
      <c r="L81" s="733"/>
      <c r="M81" s="734"/>
    </row>
    <row r="82" spans="1:13" s="654" customFormat="1" ht="13.5">
      <c r="A82" s="653"/>
      <c r="C82" s="659" t="s">
        <v>43</v>
      </c>
      <c r="D82" s="659" t="s">
        <v>15</v>
      </c>
      <c r="E82" s="660">
        <v>0.539</v>
      </c>
      <c r="F82" s="660">
        <f>F81*E82</f>
        <v>468.93</v>
      </c>
      <c r="G82" s="734"/>
      <c r="H82" s="734">
        <f>F82*G82</f>
        <v>0</v>
      </c>
      <c r="I82" s="733"/>
      <c r="J82" s="733"/>
      <c r="K82" s="733"/>
      <c r="L82" s="733"/>
      <c r="M82" s="734">
        <f>H82</f>
        <v>0</v>
      </c>
    </row>
    <row r="83" spans="1:13" s="654" customFormat="1" ht="13.5">
      <c r="A83" s="653"/>
      <c r="C83" s="659" t="s">
        <v>44</v>
      </c>
      <c r="D83" s="659" t="s">
        <v>45</v>
      </c>
      <c r="E83" s="661">
        <v>0.0182</v>
      </c>
      <c r="F83" s="660">
        <f>F81*E83</f>
        <v>15.834000000000001</v>
      </c>
      <c r="G83" s="733"/>
      <c r="H83" s="733"/>
      <c r="I83" s="733"/>
      <c r="J83" s="733"/>
      <c r="K83" s="734"/>
      <c r="L83" s="734">
        <f>F83*K83</f>
        <v>0</v>
      </c>
      <c r="M83" s="734">
        <f>L83</f>
        <v>0</v>
      </c>
    </row>
    <row r="84" spans="1:13" s="654" customFormat="1" ht="13.5">
      <c r="A84" s="653"/>
      <c r="C84" s="28" t="s">
        <v>379</v>
      </c>
      <c r="D84" s="28" t="s">
        <v>16</v>
      </c>
      <c r="E84" s="26">
        <v>1</v>
      </c>
      <c r="F84" s="26">
        <f>F81*E84</f>
        <v>870</v>
      </c>
      <c r="G84" s="718"/>
      <c r="H84" s="718"/>
      <c r="I84" s="417"/>
      <c r="J84" s="417">
        <f>F84*I84</f>
        <v>0</v>
      </c>
      <c r="K84" s="718"/>
      <c r="L84" s="718"/>
      <c r="M84" s="417">
        <f>L84+J84+H84</f>
        <v>0</v>
      </c>
    </row>
    <row r="85" spans="1:13" s="654" customFormat="1" ht="13.5">
      <c r="A85" s="657"/>
      <c r="B85" s="658"/>
      <c r="C85" s="659" t="s">
        <v>844</v>
      </c>
      <c r="D85" s="659" t="s">
        <v>16</v>
      </c>
      <c r="E85" s="660">
        <v>1.05</v>
      </c>
      <c r="F85" s="660">
        <f>F81*E85</f>
        <v>913.5</v>
      </c>
      <c r="G85" s="733"/>
      <c r="H85" s="733"/>
      <c r="I85" s="734"/>
      <c r="J85" s="734">
        <f>F85*I85</f>
        <v>0</v>
      </c>
      <c r="K85" s="733"/>
      <c r="L85" s="733"/>
      <c r="M85" s="734">
        <f>J85</f>
        <v>0</v>
      </c>
    </row>
    <row r="86" spans="1:13" s="289" customFormat="1" ht="13.5">
      <c r="A86" s="292">
        <v>14</v>
      </c>
      <c r="B86" s="364" t="s">
        <v>571</v>
      </c>
      <c r="C86" s="135" t="s">
        <v>726</v>
      </c>
      <c r="D86" s="33" t="s">
        <v>16</v>
      </c>
      <c r="E86" s="249"/>
      <c r="F86" s="249">
        <v>130</v>
      </c>
      <c r="G86" s="731"/>
      <c r="H86" s="731"/>
      <c r="I86" s="732"/>
      <c r="J86" s="732"/>
      <c r="K86" s="731"/>
      <c r="L86" s="731"/>
      <c r="M86" s="417">
        <f aca="true" t="shared" si="3" ref="M86:M145">L86+J86+H86</f>
        <v>0</v>
      </c>
    </row>
    <row r="87" spans="1:13" s="278" customFormat="1" ht="13.5">
      <c r="A87" s="116"/>
      <c r="B87" s="253" t="s">
        <v>572</v>
      </c>
      <c r="C87" s="28" t="s">
        <v>43</v>
      </c>
      <c r="D87" s="28" t="s">
        <v>15</v>
      </c>
      <c r="E87" s="26">
        <v>1.99</v>
      </c>
      <c r="F87" s="26">
        <f>F86*E87</f>
        <v>258.7</v>
      </c>
      <c r="G87" s="417"/>
      <c r="H87" s="417">
        <f>F87*G87</f>
        <v>0</v>
      </c>
      <c r="I87" s="718"/>
      <c r="J87" s="718"/>
      <c r="K87" s="718"/>
      <c r="L87" s="718"/>
      <c r="M87" s="417">
        <f t="shared" si="3"/>
        <v>0</v>
      </c>
    </row>
    <row r="88" spans="1:13" s="278" customFormat="1" ht="13.5">
      <c r="A88" s="116"/>
      <c r="B88" s="31"/>
      <c r="C88" s="28" t="s">
        <v>44</v>
      </c>
      <c r="D88" s="28" t="s">
        <v>45</v>
      </c>
      <c r="E88" s="30">
        <f>4.5/100</f>
        <v>0.045</v>
      </c>
      <c r="F88" s="26">
        <f>F86*E88</f>
        <v>5.85</v>
      </c>
      <c r="G88" s="718"/>
      <c r="H88" s="718"/>
      <c r="I88" s="718"/>
      <c r="J88" s="718"/>
      <c r="K88" s="417"/>
      <c r="L88" s="417">
        <f>F88*K88</f>
        <v>0</v>
      </c>
      <c r="M88" s="417">
        <f t="shared" si="3"/>
        <v>0</v>
      </c>
    </row>
    <row r="89" spans="1:13" s="652" customFormat="1" ht="27">
      <c r="A89" s="631"/>
      <c r="B89" s="632"/>
      <c r="C89" s="662" t="s">
        <v>816</v>
      </c>
      <c r="D89" s="630" t="s">
        <v>16</v>
      </c>
      <c r="E89" s="636">
        <f>2*1.05</f>
        <v>2.1</v>
      </c>
      <c r="F89" s="636">
        <f>F86*E89</f>
        <v>273</v>
      </c>
      <c r="G89" s="730"/>
      <c r="H89" s="730"/>
      <c r="I89" s="672"/>
      <c r="J89" s="672">
        <f>F89*I89</f>
        <v>0</v>
      </c>
      <c r="K89" s="730"/>
      <c r="L89" s="730"/>
      <c r="M89" s="672">
        <f t="shared" si="3"/>
        <v>0</v>
      </c>
    </row>
    <row r="90" spans="1:13" s="652" customFormat="1" ht="13.5">
      <c r="A90" s="649"/>
      <c r="B90" s="650"/>
      <c r="C90" s="630" t="s">
        <v>47</v>
      </c>
      <c r="D90" s="630" t="s">
        <v>45</v>
      </c>
      <c r="E90" s="642">
        <v>0.294</v>
      </c>
      <c r="F90" s="636">
        <f>F86*E90</f>
        <v>38.22</v>
      </c>
      <c r="G90" s="730"/>
      <c r="H90" s="730"/>
      <c r="I90" s="672"/>
      <c r="J90" s="672">
        <f>F90*I90</f>
        <v>0</v>
      </c>
      <c r="K90" s="730"/>
      <c r="L90" s="730"/>
      <c r="M90" s="672">
        <f t="shared" si="3"/>
        <v>0</v>
      </c>
    </row>
    <row r="91" spans="1:13" s="308" customFormat="1" ht="27">
      <c r="A91" s="292">
        <v>25</v>
      </c>
      <c r="B91" s="292" t="s">
        <v>91</v>
      </c>
      <c r="C91" s="114" t="s">
        <v>354</v>
      </c>
      <c r="D91" s="33" t="s">
        <v>16</v>
      </c>
      <c r="E91" s="33"/>
      <c r="F91" s="34">
        <f>F81+F86*2</f>
        <v>1130</v>
      </c>
      <c r="G91" s="731"/>
      <c r="H91" s="731"/>
      <c r="I91" s="731"/>
      <c r="J91" s="731"/>
      <c r="K91" s="731"/>
      <c r="L91" s="731"/>
      <c r="M91" s="417">
        <f t="shared" si="3"/>
        <v>0</v>
      </c>
    </row>
    <row r="92" spans="1:13" s="115" customFormat="1" ht="13.5">
      <c r="A92" s="116"/>
      <c r="C92" s="28" t="s">
        <v>53</v>
      </c>
      <c r="D92" s="28" t="s">
        <v>15</v>
      </c>
      <c r="E92" s="26">
        <v>0.658</v>
      </c>
      <c r="F92" s="27">
        <f>F91*E92</f>
        <v>743.5400000000001</v>
      </c>
      <c r="G92" s="417"/>
      <c r="H92" s="417">
        <f>F92*G92</f>
        <v>0</v>
      </c>
      <c r="I92" s="718"/>
      <c r="J92" s="718"/>
      <c r="K92" s="718"/>
      <c r="L92" s="718"/>
      <c r="M92" s="417">
        <f t="shared" si="3"/>
        <v>0</v>
      </c>
    </row>
    <row r="93" spans="1:13" s="115" customFormat="1" ht="13.5">
      <c r="A93" s="116"/>
      <c r="B93" s="31"/>
      <c r="C93" s="28" t="s">
        <v>44</v>
      </c>
      <c r="D93" s="28" t="s">
        <v>45</v>
      </c>
      <c r="E93" s="26">
        <v>0.01</v>
      </c>
      <c r="F93" s="27">
        <f>F91*E93</f>
        <v>11.3</v>
      </c>
      <c r="G93" s="718"/>
      <c r="H93" s="718"/>
      <c r="I93" s="718"/>
      <c r="J93" s="718"/>
      <c r="K93" s="417"/>
      <c r="L93" s="417">
        <f>F93*K93</f>
        <v>0</v>
      </c>
      <c r="M93" s="417">
        <f t="shared" si="3"/>
        <v>0</v>
      </c>
    </row>
    <row r="94" spans="1:13" s="115" customFormat="1" ht="13.5">
      <c r="A94" s="116"/>
      <c r="C94" s="28" t="s">
        <v>92</v>
      </c>
      <c r="D94" s="28" t="s">
        <v>49</v>
      </c>
      <c r="E94" s="27">
        <v>0.63</v>
      </c>
      <c r="F94" s="27">
        <f>F91*E94</f>
        <v>711.9</v>
      </c>
      <c r="G94" s="718"/>
      <c r="H94" s="718"/>
      <c r="I94" s="417"/>
      <c r="J94" s="417">
        <f>F94*I94</f>
        <v>0</v>
      </c>
      <c r="K94" s="718"/>
      <c r="L94" s="718"/>
      <c r="M94" s="417">
        <f t="shared" si="3"/>
        <v>0</v>
      </c>
    </row>
    <row r="95" spans="1:13" s="115" customFormat="1" ht="13.5">
      <c r="A95" s="116"/>
      <c r="B95" s="31"/>
      <c r="C95" s="28" t="s">
        <v>355</v>
      </c>
      <c r="D95" s="28" t="s">
        <v>49</v>
      </c>
      <c r="E95" s="26">
        <v>0.79</v>
      </c>
      <c r="F95" s="27">
        <f>F91*E95</f>
        <v>892.7</v>
      </c>
      <c r="G95" s="718"/>
      <c r="H95" s="718"/>
      <c r="I95" s="417"/>
      <c r="J95" s="417">
        <f>F95*I95</f>
        <v>0</v>
      </c>
      <c r="K95" s="718"/>
      <c r="L95" s="718"/>
      <c r="M95" s="417">
        <f t="shared" si="3"/>
        <v>0</v>
      </c>
    </row>
    <row r="96" spans="1:13" s="115" customFormat="1" ht="13.5">
      <c r="A96" s="117"/>
      <c r="B96" s="118"/>
      <c r="C96" s="28" t="s">
        <v>47</v>
      </c>
      <c r="D96" s="28" t="s">
        <v>45</v>
      </c>
      <c r="E96" s="26">
        <v>0.016</v>
      </c>
      <c r="F96" s="27">
        <f>F91*E96</f>
        <v>18.080000000000002</v>
      </c>
      <c r="G96" s="718"/>
      <c r="H96" s="718"/>
      <c r="I96" s="417"/>
      <c r="J96" s="417">
        <f>F96*I96</f>
        <v>0</v>
      </c>
      <c r="K96" s="718"/>
      <c r="L96" s="718"/>
      <c r="M96" s="417">
        <f t="shared" si="3"/>
        <v>0</v>
      </c>
    </row>
    <row r="97" spans="1:13" s="31" customFormat="1" ht="33.75" customHeight="1">
      <c r="A97" s="116">
        <v>8</v>
      </c>
      <c r="B97" s="254" t="s">
        <v>380</v>
      </c>
      <c r="C97" s="114" t="s">
        <v>805</v>
      </c>
      <c r="D97" s="150" t="s">
        <v>71</v>
      </c>
      <c r="E97" s="256"/>
      <c r="F97" s="256">
        <v>0.47</v>
      </c>
      <c r="G97" s="725"/>
      <c r="H97" s="725"/>
      <c r="I97" s="589"/>
      <c r="J97" s="589"/>
      <c r="K97" s="725"/>
      <c r="L97" s="725"/>
      <c r="M97" s="417">
        <f t="shared" si="3"/>
        <v>0</v>
      </c>
    </row>
    <row r="98" spans="1:13" s="31" customFormat="1" ht="13.5">
      <c r="A98" s="116"/>
      <c r="B98" s="253"/>
      <c r="C98" s="28" t="s">
        <v>43</v>
      </c>
      <c r="D98" s="28" t="s">
        <v>15</v>
      </c>
      <c r="E98" s="26">
        <v>71.4</v>
      </c>
      <c r="F98" s="26">
        <f>F97*E98</f>
        <v>33.558</v>
      </c>
      <c r="G98" s="417"/>
      <c r="H98" s="417">
        <f>F98*G98</f>
        <v>0</v>
      </c>
      <c r="I98" s="718"/>
      <c r="J98" s="718"/>
      <c r="K98" s="718"/>
      <c r="L98" s="718"/>
      <c r="M98" s="417">
        <f t="shared" si="3"/>
        <v>0</v>
      </c>
    </row>
    <row r="99" spans="1:13" s="31" customFormat="1" ht="13.5">
      <c r="A99" s="116"/>
      <c r="C99" s="28" t="s">
        <v>44</v>
      </c>
      <c r="D99" s="28" t="s">
        <v>45</v>
      </c>
      <c r="E99" s="30">
        <v>1.83</v>
      </c>
      <c r="F99" s="26">
        <f>F97*E99</f>
        <v>0.8601</v>
      </c>
      <c r="G99" s="718"/>
      <c r="H99" s="718"/>
      <c r="I99" s="718"/>
      <c r="J99" s="718"/>
      <c r="K99" s="417"/>
      <c r="L99" s="417">
        <f>F99*K99</f>
        <v>0</v>
      </c>
      <c r="M99" s="417">
        <f t="shared" si="3"/>
        <v>0</v>
      </c>
    </row>
    <row r="100" spans="1:13" s="31" customFormat="1" ht="13.5">
      <c r="A100" s="116"/>
      <c r="C100" s="28" t="s">
        <v>381</v>
      </c>
      <c r="D100" s="28" t="s">
        <v>16</v>
      </c>
      <c r="E100" s="26">
        <v>105</v>
      </c>
      <c r="F100" s="26">
        <f>F97*E100</f>
        <v>49.349999999999994</v>
      </c>
      <c r="G100" s="718"/>
      <c r="H100" s="718"/>
      <c r="I100" s="417"/>
      <c r="J100" s="417">
        <f>F100*I100</f>
        <v>0</v>
      </c>
      <c r="K100" s="718"/>
      <c r="L100" s="718"/>
      <c r="M100" s="417">
        <f t="shared" si="3"/>
        <v>0</v>
      </c>
    </row>
    <row r="101" spans="1:13" s="31" customFormat="1" ht="13.5">
      <c r="A101" s="117"/>
      <c r="B101" s="118"/>
      <c r="C101" s="28" t="s">
        <v>47</v>
      </c>
      <c r="D101" s="28" t="s">
        <v>45</v>
      </c>
      <c r="E101" s="30">
        <v>2.69</v>
      </c>
      <c r="F101" s="26">
        <f>F97*E101</f>
        <v>1.2643</v>
      </c>
      <c r="G101" s="718"/>
      <c r="H101" s="718"/>
      <c r="I101" s="417"/>
      <c r="J101" s="417">
        <f>F101*I101</f>
        <v>0</v>
      </c>
      <c r="K101" s="718"/>
      <c r="L101" s="718"/>
      <c r="M101" s="417">
        <f t="shared" si="3"/>
        <v>0</v>
      </c>
    </row>
    <row r="102" spans="1:15" s="278" customFormat="1" ht="27">
      <c r="A102" s="116">
        <v>9</v>
      </c>
      <c r="B102" s="115" t="s">
        <v>19</v>
      </c>
      <c r="C102" s="114" t="s">
        <v>89</v>
      </c>
      <c r="D102" s="28" t="s">
        <v>71</v>
      </c>
      <c r="E102" s="28"/>
      <c r="F102" s="28">
        <f>671.9/100</f>
        <v>6.718999999999999</v>
      </c>
      <c r="G102" s="718"/>
      <c r="H102" s="718"/>
      <c r="I102" s="417"/>
      <c r="J102" s="417"/>
      <c r="K102" s="718"/>
      <c r="L102" s="718"/>
      <c r="M102" s="417">
        <f t="shared" si="3"/>
        <v>0</v>
      </c>
      <c r="O102" s="278">
        <f>718.9-47</f>
        <v>671.9</v>
      </c>
    </row>
    <row r="103" spans="1:13" s="278" customFormat="1" ht="13.5">
      <c r="A103" s="116"/>
      <c r="B103" s="116"/>
      <c r="C103" s="28" t="s">
        <v>53</v>
      </c>
      <c r="D103" s="28" t="s">
        <v>15</v>
      </c>
      <c r="E103" s="27">
        <v>153</v>
      </c>
      <c r="F103" s="27">
        <f>F102*E103</f>
        <v>1028.0069999999998</v>
      </c>
      <c r="G103" s="417"/>
      <c r="H103" s="417">
        <f>F103*G103</f>
        <v>0</v>
      </c>
      <c r="I103" s="718"/>
      <c r="J103" s="718"/>
      <c r="K103" s="718"/>
      <c r="L103" s="718"/>
      <c r="M103" s="417">
        <f t="shared" si="3"/>
        <v>0</v>
      </c>
    </row>
    <row r="104" spans="1:13" s="278" customFormat="1" ht="13.5">
      <c r="A104" s="116"/>
      <c r="B104" s="31"/>
      <c r="C104" s="28" t="s">
        <v>44</v>
      </c>
      <c r="D104" s="28" t="s">
        <v>45</v>
      </c>
      <c r="E104" s="27">
        <v>4.3</v>
      </c>
      <c r="F104" s="27">
        <f>F102*E104</f>
        <v>28.891699999999997</v>
      </c>
      <c r="G104" s="718"/>
      <c r="H104" s="718"/>
      <c r="I104" s="718"/>
      <c r="J104" s="718"/>
      <c r="K104" s="417"/>
      <c r="L104" s="417">
        <f>F104*K104</f>
        <v>0</v>
      </c>
      <c r="M104" s="417">
        <f t="shared" si="3"/>
        <v>0</v>
      </c>
    </row>
    <row r="105" spans="1:13" s="278" customFormat="1" ht="13.5">
      <c r="A105" s="116"/>
      <c r="B105" s="115"/>
      <c r="C105" s="28" t="s">
        <v>90</v>
      </c>
      <c r="D105" s="28" t="s">
        <v>16</v>
      </c>
      <c r="E105" s="27">
        <v>101</v>
      </c>
      <c r="F105" s="27">
        <f>F102*E105</f>
        <v>678.6189999999999</v>
      </c>
      <c r="G105" s="718"/>
      <c r="H105" s="718"/>
      <c r="I105" s="417"/>
      <c r="J105" s="417">
        <f>F105*I105</f>
        <v>0</v>
      </c>
      <c r="K105" s="718"/>
      <c r="L105" s="718"/>
      <c r="M105" s="417">
        <f t="shared" si="3"/>
        <v>0</v>
      </c>
    </row>
    <row r="106" spans="1:13" s="278" customFormat="1" ht="13.5">
      <c r="A106" s="117"/>
      <c r="B106" s="118"/>
      <c r="C106" s="28" t="s">
        <v>47</v>
      </c>
      <c r="D106" s="28" t="s">
        <v>45</v>
      </c>
      <c r="E106" s="27">
        <v>6.4</v>
      </c>
      <c r="F106" s="27">
        <f>F102*E106</f>
        <v>43.001599999999996</v>
      </c>
      <c r="G106" s="718"/>
      <c r="H106" s="718"/>
      <c r="I106" s="417"/>
      <c r="J106" s="417">
        <f>F106*I106</f>
        <v>0</v>
      </c>
      <c r="K106" s="718"/>
      <c r="L106" s="718"/>
      <c r="M106" s="417">
        <f t="shared" si="3"/>
        <v>0</v>
      </c>
    </row>
    <row r="107" spans="1:13" s="115" customFormat="1" ht="32.25" customHeight="1">
      <c r="A107" s="116">
        <v>10</v>
      </c>
      <c r="B107" s="116" t="s">
        <v>382</v>
      </c>
      <c r="C107" s="114" t="s">
        <v>817</v>
      </c>
      <c r="D107" s="28" t="s">
        <v>71</v>
      </c>
      <c r="E107" s="26"/>
      <c r="F107" s="26">
        <f>718.9/100</f>
        <v>7.189</v>
      </c>
      <c r="G107" s="718"/>
      <c r="H107" s="718"/>
      <c r="I107" s="417"/>
      <c r="J107" s="417"/>
      <c r="K107" s="718"/>
      <c r="L107" s="718"/>
      <c r="M107" s="417">
        <f t="shared" si="3"/>
        <v>0</v>
      </c>
    </row>
    <row r="108" spans="1:13" s="639" customFormat="1" ht="13.5">
      <c r="A108" s="631"/>
      <c r="C108" s="630" t="s">
        <v>43</v>
      </c>
      <c r="D108" s="630" t="s">
        <v>15</v>
      </c>
      <c r="E108" s="636">
        <v>43.1</v>
      </c>
      <c r="F108" s="636">
        <f>F107*E108</f>
        <v>309.84590000000003</v>
      </c>
      <c r="G108" s="672"/>
      <c r="H108" s="672">
        <f>F108*G108</f>
        <v>0</v>
      </c>
      <c r="I108" s="730"/>
      <c r="J108" s="730"/>
      <c r="K108" s="730"/>
      <c r="L108" s="730"/>
      <c r="M108" s="672">
        <f t="shared" si="3"/>
        <v>0</v>
      </c>
    </row>
    <row r="109" spans="1:13" s="639" customFormat="1" ht="13.5">
      <c r="A109" s="631"/>
      <c r="B109" s="632"/>
      <c r="C109" s="630" t="s">
        <v>44</v>
      </c>
      <c r="D109" s="630" t="s">
        <v>45</v>
      </c>
      <c r="E109" s="642">
        <v>2.24</v>
      </c>
      <c r="F109" s="636">
        <f>F107*E109</f>
        <v>16.103360000000002</v>
      </c>
      <c r="G109" s="730"/>
      <c r="H109" s="730"/>
      <c r="I109" s="730"/>
      <c r="J109" s="730"/>
      <c r="K109" s="672"/>
      <c r="L109" s="672">
        <f>F109*K109</f>
        <v>0</v>
      </c>
      <c r="M109" s="672">
        <f t="shared" si="3"/>
        <v>0</v>
      </c>
    </row>
    <row r="110" spans="1:13" s="639" customFormat="1" ht="13.5">
      <c r="A110" s="631"/>
      <c r="B110" s="632"/>
      <c r="C110" s="630" t="s">
        <v>818</v>
      </c>
      <c r="D110" s="630" t="s">
        <v>16</v>
      </c>
      <c r="E110" s="636">
        <v>102.7</v>
      </c>
      <c r="F110" s="636">
        <f>F107*E110</f>
        <v>738.3103</v>
      </c>
      <c r="G110" s="672"/>
      <c r="H110" s="672"/>
      <c r="I110" s="672"/>
      <c r="J110" s="672">
        <f>F110*I110</f>
        <v>0</v>
      </c>
      <c r="K110" s="730"/>
      <c r="L110" s="730"/>
      <c r="M110" s="672">
        <f t="shared" si="3"/>
        <v>0</v>
      </c>
    </row>
    <row r="111" spans="1:13" s="639" customFormat="1" ht="13.5">
      <c r="A111" s="649"/>
      <c r="B111" s="650"/>
      <c r="C111" s="630" t="s">
        <v>47</v>
      </c>
      <c r="D111" s="630" t="s">
        <v>45</v>
      </c>
      <c r="E111" s="642">
        <v>10.7</v>
      </c>
      <c r="F111" s="636">
        <f>F107*E111</f>
        <v>76.92229999999999</v>
      </c>
      <c r="G111" s="730"/>
      <c r="H111" s="730"/>
      <c r="I111" s="672"/>
      <c r="J111" s="672">
        <f>F111*I111</f>
        <v>0</v>
      </c>
      <c r="K111" s="730"/>
      <c r="L111" s="730"/>
      <c r="M111" s="672">
        <f t="shared" si="3"/>
        <v>0</v>
      </c>
    </row>
    <row r="112" spans="1:13" s="652" customFormat="1" ht="19.5" customHeight="1">
      <c r="A112" s="631">
        <v>11</v>
      </c>
      <c r="B112" s="631" t="s">
        <v>20</v>
      </c>
      <c r="C112" s="663" t="s">
        <v>600</v>
      </c>
      <c r="D112" s="634" t="s">
        <v>71</v>
      </c>
      <c r="E112" s="635"/>
      <c r="F112" s="635">
        <v>7.189</v>
      </c>
      <c r="G112" s="728"/>
      <c r="H112" s="728"/>
      <c r="I112" s="729"/>
      <c r="J112" s="729"/>
      <c r="K112" s="728"/>
      <c r="L112" s="728"/>
      <c r="M112" s="672">
        <f t="shared" si="3"/>
        <v>0</v>
      </c>
    </row>
    <row r="113" spans="1:13" s="652" customFormat="1" ht="13.5">
      <c r="A113" s="631"/>
      <c r="C113" s="630" t="s">
        <v>359</v>
      </c>
      <c r="D113" s="630" t="s">
        <v>15</v>
      </c>
      <c r="E113" s="636">
        <f>18.8+0.34*10</f>
        <v>22.200000000000003</v>
      </c>
      <c r="F113" s="636">
        <f>F112*E113</f>
        <v>159.59580000000003</v>
      </c>
      <c r="G113" s="672"/>
      <c r="H113" s="672">
        <f>F113*G113</f>
        <v>0</v>
      </c>
      <c r="I113" s="730"/>
      <c r="J113" s="730"/>
      <c r="K113" s="730"/>
      <c r="L113" s="730"/>
      <c r="M113" s="672">
        <f t="shared" si="3"/>
        <v>0</v>
      </c>
    </row>
    <row r="114" spans="1:13" s="652" customFormat="1" ht="13.5">
      <c r="A114" s="631"/>
      <c r="B114" s="632"/>
      <c r="C114" s="630" t="s">
        <v>360</v>
      </c>
      <c r="D114" s="630" t="s">
        <v>45</v>
      </c>
      <c r="E114" s="636">
        <f>0.95+0.23*10</f>
        <v>3.25</v>
      </c>
      <c r="F114" s="636">
        <f>F112*E114</f>
        <v>23.36425</v>
      </c>
      <c r="G114" s="730"/>
      <c r="H114" s="730"/>
      <c r="I114" s="730"/>
      <c r="J114" s="730"/>
      <c r="K114" s="672"/>
      <c r="L114" s="672">
        <f>F114*K114</f>
        <v>0</v>
      </c>
      <c r="M114" s="672">
        <f t="shared" si="3"/>
        <v>0</v>
      </c>
    </row>
    <row r="115" spans="1:13" s="652" customFormat="1" ht="13.5">
      <c r="A115" s="631"/>
      <c r="B115" s="632"/>
      <c r="C115" s="630" t="s">
        <v>361</v>
      </c>
      <c r="D115" s="630" t="s">
        <v>46</v>
      </c>
      <c r="E115" s="636">
        <f>0.51*10</f>
        <v>5.1</v>
      </c>
      <c r="F115" s="636">
        <f>F112*E115</f>
        <v>36.6639</v>
      </c>
      <c r="G115" s="730"/>
      <c r="H115" s="730"/>
      <c r="I115" s="672"/>
      <c r="J115" s="672">
        <f>F115*I115</f>
        <v>0</v>
      </c>
      <c r="K115" s="730"/>
      <c r="L115" s="730"/>
      <c r="M115" s="672">
        <f t="shared" si="3"/>
        <v>0</v>
      </c>
    </row>
    <row r="116" spans="1:13" s="632" customFormat="1" ht="13.5">
      <c r="A116" s="649"/>
      <c r="B116" s="650"/>
      <c r="C116" s="630" t="s">
        <v>47</v>
      </c>
      <c r="D116" s="630" t="s">
        <v>45</v>
      </c>
      <c r="E116" s="636">
        <v>6.36</v>
      </c>
      <c r="F116" s="636">
        <f>F112*E116</f>
        <v>45.72204</v>
      </c>
      <c r="G116" s="730"/>
      <c r="H116" s="730"/>
      <c r="I116" s="672"/>
      <c r="J116" s="672">
        <f>F116*I116</f>
        <v>0</v>
      </c>
      <c r="K116" s="730"/>
      <c r="L116" s="730"/>
      <c r="M116" s="672">
        <f t="shared" si="3"/>
        <v>0</v>
      </c>
    </row>
    <row r="117" spans="1:13" s="639" customFormat="1" ht="13.5">
      <c r="A117" s="631">
        <v>12</v>
      </c>
      <c r="B117" s="631" t="s">
        <v>21</v>
      </c>
      <c r="C117" s="664" t="s">
        <v>390</v>
      </c>
      <c r="D117" s="630" t="s">
        <v>16</v>
      </c>
      <c r="E117" s="636"/>
      <c r="F117" s="636">
        <v>170</v>
      </c>
      <c r="G117" s="735"/>
      <c r="H117" s="735"/>
      <c r="I117" s="672"/>
      <c r="J117" s="672"/>
      <c r="K117" s="730"/>
      <c r="L117" s="730"/>
      <c r="M117" s="672">
        <f t="shared" si="3"/>
        <v>0</v>
      </c>
    </row>
    <row r="118" spans="1:13" s="639" customFormat="1" ht="13.5">
      <c r="A118" s="631"/>
      <c r="B118" s="631"/>
      <c r="C118" s="630" t="s">
        <v>43</v>
      </c>
      <c r="D118" s="630" t="s">
        <v>15</v>
      </c>
      <c r="E118" s="636">
        <v>0.994</v>
      </c>
      <c r="F118" s="636">
        <f>F117*E118</f>
        <v>168.98</v>
      </c>
      <c r="G118" s="672"/>
      <c r="H118" s="672">
        <f>F118*G118</f>
        <v>0</v>
      </c>
      <c r="I118" s="730"/>
      <c r="J118" s="730"/>
      <c r="K118" s="730"/>
      <c r="L118" s="730"/>
      <c r="M118" s="672">
        <f t="shared" si="3"/>
        <v>0</v>
      </c>
    </row>
    <row r="119" spans="1:13" s="639" customFormat="1" ht="13.5">
      <c r="A119" s="631"/>
      <c r="B119" s="632"/>
      <c r="C119" s="630" t="s">
        <v>44</v>
      </c>
      <c r="D119" s="630" t="s">
        <v>45</v>
      </c>
      <c r="E119" s="642">
        <v>0.0251</v>
      </c>
      <c r="F119" s="636">
        <f>F117*E119</f>
        <v>4.267</v>
      </c>
      <c r="G119" s="730"/>
      <c r="H119" s="730"/>
      <c r="I119" s="730"/>
      <c r="J119" s="730"/>
      <c r="K119" s="672"/>
      <c r="L119" s="672">
        <f>F119*K119</f>
        <v>0</v>
      </c>
      <c r="M119" s="672">
        <f t="shared" si="3"/>
        <v>0</v>
      </c>
    </row>
    <row r="120" spans="1:13" s="639" customFormat="1" ht="13.5">
      <c r="A120" s="631"/>
      <c r="B120" s="632"/>
      <c r="C120" s="630" t="s">
        <v>388</v>
      </c>
      <c r="D120" s="630" t="s">
        <v>49</v>
      </c>
      <c r="E120" s="636">
        <v>0.5</v>
      </c>
      <c r="F120" s="636">
        <f>F117*E120</f>
        <v>85</v>
      </c>
      <c r="G120" s="730"/>
      <c r="H120" s="730"/>
      <c r="I120" s="672"/>
      <c r="J120" s="672">
        <f>F120*I120</f>
        <v>0</v>
      </c>
      <c r="K120" s="730"/>
      <c r="L120" s="730"/>
      <c r="M120" s="672">
        <f t="shared" si="3"/>
        <v>0</v>
      </c>
    </row>
    <row r="121" spans="1:13" s="639" customFormat="1" ht="13.5">
      <c r="A121" s="631"/>
      <c r="B121" s="632"/>
      <c r="C121" s="630" t="s">
        <v>391</v>
      </c>
      <c r="D121" s="630" t="s">
        <v>16</v>
      </c>
      <c r="E121" s="636">
        <v>1.02</v>
      </c>
      <c r="F121" s="636">
        <f>F117*E121</f>
        <v>173.4</v>
      </c>
      <c r="G121" s="672"/>
      <c r="H121" s="672"/>
      <c r="I121" s="672"/>
      <c r="J121" s="672">
        <f>F121*I121</f>
        <v>0</v>
      </c>
      <c r="K121" s="730"/>
      <c r="L121" s="730"/>
      <c r="M121" s="672">
        <f t="shared" si="3"/>
        <v>0</v>
      </c>
    </row>
    <row r="122" spans="1:13" s="632" customFormat="1" ht="13.5">
      <c r="A122" s="631"/>
      <c r="C122" s="630" t="s">
        <v>392</v>
      </c>
      <c r="D122" s="630" t="s">
        <v>50</v>
      </c>
      <c r="E122" s="636">
        <v>1.07</v>
      </c>
      <c r="F122" s="636">
        <f>F117*E122</f>
        <v>181.9</v>
      </c>
      <c r="G122" s="730"/>
      <c r="H122" s="730"/>
      <c r="I122" s="672"/>
      <c r="J122" s="672">
        <f>F122*I122</f>
        <v>0</v>
      </c>
      <c r="K122" s="730"/>
      <c r="L122" s="730"/>
      <c r="M122" s="672">
        <f t="shared" si="3"/>
        <v>0</v>
      </c>
    </row>
    <row r="123" spans="1:13" s="632" customFormat="1" ht="13.5">
      <c r="A123" s="649"/>
      <c r="B123" s="650"/>
      <c r="C123" s="630" t="s">
        <v>47</v>
      </c>
      <c r="D123" s="630" t="s">
        <v>45</v>
      </c>
      <c r="E123" s="636">
        <v>0.182</v>
      </c>
      <c r="F123" s="636">
        <f>F117*E123</f>
        <v>30.939999999999998</v>
      </c>
      <c r="G123" s="730"/>
      <c r="H123" s="730"/>
      <c r="I123" s="672"/>
      <c r="J123" s="672">
        <f>F123*I123</f>
        <v>0</v>
      </c>
      <c r="K123" s="730"/>
      <c r="L123" s="730"/>
      <c r="M123" s="672">
        <f t="shared" si="3"/>
        <v>0</v>
      </c>
    </row>
    <row r="124" spans="1:13" s="638" customFormat="1" ht="13.5">
      <c r="A124" s="631">
        <v>13</v>
      </c>
      <c r="B124" s="631" t="s">
        <v>386</v>
      </c>
      <c r="C124" s="664" t="s">
        <v>387</v>
      </c>
      <c r="D124" s="630" t="s">
        <v>16</v>
      </c>
      <c r="E124" s="636"/>
      <c r="F124" s="636">
        <v>275</v>
      </c>
      <c r="G124" s="730"/>
      <c r="H124" s="730"/>
      <c r="I124" s="730"/>
      <c r="J124" s="730"/>
      <c r="K124" s="672"/>
      <c r="L124" s="672"/>
      <c r="M124" s="672">
        <f t="shared" si="3"/>
        <v>0</v>
      </c>
    </row>
    <row r="125" spans="1:13" s="29" customFormat="1" ht="13.5">
      <c r="A125" s="116"/>
      <c r="C125" s="28" t="s">
        <v>43</v>
      </c>
      <c r="D125" s="28" t="s">
        <v>15</v>
      </c>
      <c r="E125" s="636">
        <v>0.755</v>
      </c>
      <c r="F125" s="26">
        <f>F124*E125</f>
        <v>207.625</v>
      </c>
      <c r="G125" s="417"/>
      <c r="H125" s="417">
        <f>F125*G125</f>
        <v>0</v>
      </c>
      <c r="I125" s="718"/>
      <c r="J125" s="718"/>
      <c r="K125" s="718"/>
      <c r="L125" s="718"/>
      <c r="M125" s="417">
        <f t="shared" si="3"/>
        <v>0</v>
      </c>
    </row>
    <row r="126" spans="1:13" s="31" customFormat="1" ht="13.5">
      <c r="A126" s="116"/>
      <c r="C126" s="28" t="s">
        <v>388</v>
      </c>
      <c r="D126" s="28" t="s">
        <v>49</v>
      </c>
      <c r="E126" s="26">
        <v>0.005</v>
      </c>
      <c r="F126" s="26">
        <f>F124*E126</f>
        <v>1.375</v>
      </c>
      <c r="G126" s="718"/>
      <c r="H126" s="718"/>
      <c r="I126" s="417"/>
      <c r="J126" s="417">
        <f>F126*I126</f>
        <v>0</v>
      </c>
      <c r="K126" s="718"/>
      <c r="L126" s="718"/>
      <c r="M126" s="417">
        <f t="shared" si="3"/>
        <v>0</v>
      </c>
    </row>
    <row r="127" spans="1:13" s="31" customFormat="1" ht="13.5">
      <c r="A127" s="116"/>
      <c r="C127" s="28" t="s">
        <v>389</v>
      </c>
      <c r="D127" s="28" t="s">
        <v>16</v>
      </c>
      <c r="E127" s="26">
        <v>1.02</v>
      </c>
      <c r="F127" s="26">
        <f>F124*E127</f>
        <v>280.5</v>
      </c>
      <c r="G127" s="718"/>
      <c r="H127" s="718"/>
      <c r="I127" s="417"/>
      <c r="J127" s="417">
        <f>F127*I127</f>
        <v>0</v>
      </c>
      <c r="K127" s="718"/>
      <c r="L127" s="718"/>
      <c r="M127" s="417">
        <f t="shared" si="3"/>
        <v>0</v>
      </c>
    </row>
    <row r="128" spans="1:13" s="31" customFormat="1" ht="13.5">
      <c r="A128" s="117"/>
      <c r="B128" s="118"/>
      <c r="C128" s="28" t="s">
        <v>383</v>
      </c>
      <c r="D128" s="28" t="s">
        <v>50</v>
      </c>
      <c r="E128" s="26">
        <v>1.07</v>
      </c>
      <c r="F128" s="636">
        <f>F124*E128</f>
        <v>294.25</v>
      </c>
      <c r="G128" s="718"/>
      <c r="H128" s="718"/>
      <c r="I128" s="417"/>
      <c r="J128" s="417">
        <f>F128*I128</f>
        <v>0</v>
      </c>
      <c r="K128" s="718"/>
      <c r="L128" s="718"/>
      <c r="M128" s="417">
        <f t="shared" si="3"/>
        <v>0</v>
      </c>
    </row>
    <row r="129" spans="1:13" s="632" customFormat="1" ht="13.5">
      <c r="A129" s="649"/>
      <c r="B129" s="650"/>
      <c r="C129" s="630" t="s">
        <v>47</v>
      </c>
      <c r="D129" s="630" t="s">
        <v>45</v>
      </c>
      <c r="E129" s="636">
        <v>0.18</v>
      </c>
      <c r="F129" s="636">
        <f>F123*E129</f>
        <v>5.5691999999999995</v>
      </c>
      <c r="G129" s="730"/>
      <c r="H129" s="730"/>
      <c r="I129" s="672"/>
      <c r="J129" s="672">
        <f>F129*I129</f>
        <v>0</v>
      </c>
      <c r="K129" s="730"/>
      <c r="L129" s="730"/>
      <c r="M129" s="672">
        <f>L129+J129+H129</f>
        <v>0</v>
      </c>
    </row>
    <row r="130" spans="1:13" s="632" customFormat="1" ht="27">
      <c r="A130" s="631">
        <v>14</v>
      </c>
      <c r="B130" s="632" t="s">
        <v>22</v>
      </c>
      <c r="C130" s="633" t="s">
        <v>384</v>
      </c>
      <c r="D130" s="630" t="s">
        <v>16</v>
      </c>
      <c r="E130" s="636"/>
      <c r="F130" s="636">
        <v>273</v>
      </c>
      <c r="G130" s="730"/>
      <c r="H130" s="730"/>
      <c r="I130" s="672"/>
      <c r="J130" s="672"/>
      <c r="K130" s="730"/>
      <c r="L130" s="730"/>
      <c r="M130" s="417">
        <f t="shared" si="3"/>
        <v>0</v>
      </c>
    </row>
    <row r="131" spans="1:14" s="639" customFormat="1" ht="13.5">
      <c r="A131" s="631"/>
      <c r="B131" s="631"/>
      <c r="C131" s="630" t="s">
        <v>43</v>
      </c>
      <c r="D131" s="630" t="s">
        <v>15</v>
      </c>
      <c r="E131" s="637">
        <v>3.86</v>
      </c>
      <c r="F131" s="636">
        <f>F130*E131</f>
        <v>1053.78</v>
      </c>
      <c r="G131" s="672"/>
      <c r="H131" s="672">
        <f>F131*G131</f>
        <v>0</v>
      </c>
      <c r="I131" s="730"/>
      <c r="J131" s="730"/>
      <c r="K131" s="730"/>
      <c r="L131" s="730"/>
      <c r="M131" s="417">
        <f t="shared" si="3"/>
        <v>0</v>
      </c>
      <c r="N131" s="639">
        <f>M131/F130</f>
        <v>0</v>
      </c>
    </row>
    <row r="132" spans="1:13" s="639" customFormat="1" ht="13.5">
      <c r="A132" s="631"/>
      <c r="B132" s="632"/>
      <c r="C132" s="630" t="s">
        <v>44</v>
      </c>
      <c r="D132" s="630" t="s">
        <v>45</v>
      </c>
      <c r="E132" s="636">
        <v>0.036</v>
      </c>
      <c r="F132" s="636">
        <f>F130*E132</f>
        <v>9.828</v>
      </c>
      <c r="G132" s="730"/>
      <c r="H132" s="730"/>
      <c r="I132" s="730"/>
      <c r="J132" s="730"/>
      <c r="K132" s="672"/>
      <c r="L132" s="672">
        <f>F132*K132</f>
        <v>0</v>
      </c>
      <c r="M132" s="417">
        <f t="shared" si="3"/>
        <v>0</v>
      </c>
    </row>
    <row r="133" spans="1:13" s="639" customFormat="1" ht="13.5">
      <c r="A133" s="631"/>
      <c r="B133" s="632"/>
      <c r="C133" s="630" t="s">
        <v>385</v>
      </c>
      <c r="D133" s="630" t="s">
        <v>16</v>
      </c>
      <c r="E133" s="637">
        <v>1</v>
      </c>
      <c r="F133" s="636">
        <f>F130*E133</f>
        <v>273</v>
      </c>
      <c r="G133" s="730"/>
      <c r="H133" s="730"/>
      <c r="I133" s="672"/>
      <c r="J133" s="672">
        <f>F133*I133</f>
        <v>0</v>
      </c>
      <c r="K133" s="730"/>
      <c r="L133" s="730"/>
      <c r="M133" s="417">
        <f t="shared" si="3"/>
        <v>0</v>
      </c>
    </row>
    <row r="134" spans="1:13" s="639" customFormat="1" ht="13.5">
      <c r="A134" s="631"/>
      <c r="B134" s="632"/>
      <c r="C134" s="630" t="s">
        <v>884</v>
      </c>
      <c r="D134" s="630" t="s">
        <v>49</v>
      </c>
      <c r="E134" s="636">
        <v>6</v>
      </c>
      <c r="F134" s="636">
        <f>F130*E134</f>
        <v>1638</v>
      </c>
      <c r="G134" s="672"/>
      <c r="H134" s="672"/>
      <c r="I134" s="672"/>
      <c r="J134" s="672">
        <f>F134*I134</f>
        <v>0</v>
      </c>
      <c r="K134" s="730"/>
      <c r="L134" s="730"/>
      <c r="M134" s="417">
        <f t="shared" si="3"/>
        <v>0</v>
      </c>
    </row>
    <row r="135" spans="1:13" s="115" customFormat="1" ht="13.5">
      <c r="A135" s="117"/>
      <c r="B135" s="118"/>
      <c r="C135" s="28" t="s">
        <v>47</v>
      </c>
      <c r="D135" s="28" t="s">
        <v>45</v>
      </c>
      <c r="E135" s="26">
        <v>0.043</v>
      </c>
      <c r="F135" s="26">
        <f>F130*E135</f>
        <v>11.738999999999999</v>
      </c>
      <c r="G135" s="718"/>
      <c r="H135" s="718"/>
      <c r="I135" s="417"/>
      <c r="J135" s="417">
        <f>F135*I135</f>
        <v>0</v>
      </c>
      <c r="K135" s="718"/>
      <c r="L135" s="718"/>
      <c r="M135" s="417">
        <f t="shared" si="3"/>
        <v>0</v>
      </c>
    </row>
    <row r="136" spans="1:13" s="115" customFormat="1" ht="33" customHeight="1">
      <c r="A136" s="116">
        <v>15</v>
      </c>
      <c r="B136" s="116" t="s">
        <v>55</v>
      </c>
      <c r="C136" s="114" t="s">
        <v>394</v>
      </c>
      <c r="D136" s="28" t="s">
        <v>16</v>
      </c>
      <c r="E136" s="26"/>
      <c r="F136" s="27">
        <v>3.8</v>
      </c>
      <c r="G136" s="417"/>
      <c r="H136" s="417"/>
      <c r="I136" s="417"/>
      <c r="J136" s="417"/>
      <c r="K136" s="718"/>
      <c r="L136" s="718"/>
      <c r="M136" s="417">
        <f t="shared" si="3"/>
        <v>0</v>
      </c>
    </row>
    <row r="137" spans="1:13" s="115" customFormat="1" ht="16.5" customHeight="1">
      <c r="A137" s="116"/>
      <c r="C137" s="28" t="s">
        <v>43</v>
      </c>
      <c r="D137" s="630" t="s">
        <v>15</v>
      </c>
      <c r="E137" s="637">
        <v>1.16</v>
      </c>
      <c r="F137" s="636">
        <f>F136*E137</f>
        <v>4.4079999999999995</v>
      </c>
      <c r="G137" s="672"/>
      <c r="H137" s="672">
        <f>F137*G137</f>
        <v>0</v>
      </c>
      <c r="I137" s="730"/>
      <c r="J137" s="730"/>
      <c r="K137" s="730"/>
      <c r="L137" s="730"/>
      <c r="M137" s="417">
        <f t="shared" si="3"/>
        <v>0</v>
      </c>
    </row>
    <row r="138" spans="1:13" s="115" customFormat="1" ht="16.5" customHeight="1">
      <c r="A138" s="116"/>
      <c r="B138" s="31"/>
      <c r="C138" s="28" t="s">
        <v>44</v>
      </c>
      <c r="D138" s="28" t="s">
        <v>45</v>
      </c>
      <c r="E138" s="27">
        <v>0.13</v>
      </c>
      <c r="F138" s="26">
        <f>F136*E138</f>
        <v>0.494</v>
      </c>
      <c r="G138" s="718"/>
      <c r="H138" s="718"/>
      <c r="I138" s="718"/>
      <c r="J138" s="718"/>
      <c r="K138" s="417"/>
      <c r="L138" s="417">
        <f>F138*K138</f>
        <v>0</v>
      </c>
      <c r="M138" s="417">
        <f t="shared" si="3"/>
        <v>0</v>
      </c>
    </row>
    <row r="139" spans="1:13" s="115" customFormat="1" ht="16.5" customHeight="1">
      <c r="A139" s="116"/>
      <c r="B139" s="31"/>
      <c r="C139" s="28" t="s">
        <v>395</v>
      </c>
      <c r="D139" s="28" t="s">
        <v>16</v>
      </c>
      <c r="E139" s="27">
        <v>1</v>
      </c>
      <c r="F139" s="26">
        <f>F136*E139</f>
        <v>3.8</v>
      </c>
      <c r="G139" s="718"/>
      <c r="H139" s="718"/>
      <c r="I139" s="417"/>
      <c r="J139" s="417">
        <f>F139*I139</f>
        <v>0</v>
      </c>
      <c r="K139" s="718"/>
      <c r="L139" s="718"/>
      <c r="M139" s="417">
        <f t="shared" si="3"/>
        <v>0</v>
      </c>
    </row>
    <row r="140" spans="1:13" s="115" customFormat="1" ht="16.5" customHeight="1">
      <c r="A140" s="116"/>
      <c r="B140" s="31"/>
      <c r="C140" s="28" t="s">
        <v>57</v>
      </c>
      <c r="D140" s="28" t="s">
        <v>58</v>
      </c>
      <c r="E140" s="26" t="s">
        <v>54</v>
      </c>
      <c r="F140" s="27">
        <v>3</v>
      </c>
      <c r="G140" s="718"/>
      <c r="H140" s="718"/>
      <c r="I140" s="417"/>
      <c r="J140" s="417">
        <f>F140*I140</f>
        <v>0</v>
      </c>
      <c r="K140" s="718"/>
      <c r="L140" s="718"/>
      <c r="M140" s="417">
        <f t="shared" si="3"/>
        <v>0</v>
      </c>
    </row>
    <row r="141" spans="1:13" s="115" customFormat="1" ht="16.5" customHeight="1">
      <c r="A141" s="117"/>
      <c r="B141" s="118"/>
      <c r="C141" s="28" t="s">
        <v>47</v>
      </c>
      <c r="D141" s="28" t="s">
        <v>45</v>
      </c>
      <c r="E141" s="30">
        <v>0.0206</v>
      </c>
      <c r="F141" s="26">
        <f>F136*E141</f>
        <v>0.07828</v>
      </c>
      <c r="G141" s="417"/>
      <c r="H141" s="718"/>
      <c r="I141" s="417"/>
      <c r="J141" s="417">
        <f>F141*I141</f>
        <v>0</v>
      </c>
      <c r="K141" s="718"/>
      <c r="L141" s="718"/>
      <c r="M141" s="417">
        <f t="shared" si="3"/>
        <v>0</v>
      </c>
    </row>
    <row r="142" spans="1:13" s="115" customFormat="1" ht="16.5" customHeight="1">
      <c r="A142" s="116">
        <v>16</v>
      </c>
      <c r="B142" s="116" t="s">
        <v>55</v>
      </c>
      <c r="C142" s="114" t="s">
        <v>393</v>
      </c>
      <c r="D142" s="28" t="s">
        <v>16</v>
      </c>
      <c r="E142" s="26"/>
      <c r="F142" s="27">
        <v>21</v>
      </c>
      <c r="G142" s="417"/>
      <c r="H142" s="417"/>
      <c r="I142" s="417"/>
      <c r="J142" s="417"/>
      <c r="K142" s="718"/>
      <c r="L142" s="718"/>
      <c r="M142" s="417">
        <f t="shared" si="3"/>
        <v>0</v>
      </c>
    </row>
    <row r="143" spans="1:13" s="639" customFormat="1" ht="16.5" customHeight="1">
      <c r="A143" s="631"/>
      <c r="C143" s="630" t="s">
        <v>43</v>
      </c>
      <c r="D143" s="630" t="s">
        <v>15</v>
      </c>
      <c r="E143" s="637">
        <v>1.16</v>
      </c>
      <c r="F143" s="636">
        <f>F142*E143</f>
        <v>24.36</v>
      </c>
      <c r="G143" s="672"/>
      <c r="H143" s="672">
        <f>F143*G143</f>
        <v>0</v>
      </c>
      <c r="I143" s="730"/>
      <c r="J143" s="730"/>
      <c r="K143" s="730"/>
      <c r="L143" s="730"/>
      <c r="M143" s="417">
        <f t="shared" si="3"/>
        <v>0</v>
      </c>
    </row>
    <row r="144" spans="1:13" s="115" customFormat="1" ht="16.5" customHeight="1">
      <c r="A144" s="116"/>
      <c r="B144" s="31"/>
      <c r="C144" s="28" t="s">
        <v>44</v>
      </c>
      <c r="D144" s="28" t="s">
        <v>45</v>
      </c>
      <c r="E144" s="27">
        <v>0.13</v>
      </c>
      <c r="F144" s="26">
        <f>F142*E144</f>
        <v>2.73</v>
      </c>
      <c r="G144" s="718"/>
      <c r="H144" s="718"/>
      <c r="I144" s="718"/>
      <c r="J144" s="718"/>
      <c r="K144" s="417"/>
      <c r="L144" s="417">
        <f>F144*K144</f>
        <v>0</v>
      </c>
      <c r="M144" s="417">
        <f t="shared" si="3"/>
        <v>0</v>
      </c>
    </row>
    <row r="145" spans="1:13" s="115" customFormat="1" ht="16.5" customHeight="1">
      <c r="A145" s="116"/>
      <c r="B145" s="31"/>
      <c r="C145" s="28" t="s">
        <v>56</v>
      </c>
      <c r="D145" s="28" t="s">
        <v>16</v>
      </c>
      <c r="E145" s="27">
        <v>1</v>
      </c>
      <c r="F145" s="26">
        <f>F142*E145</f>
        <v>21</v>
      </c>
      <c r="G145" s="718"/>
      <c r="H145" s="718"/>
      <c r="I145" s="417"/>
      <c r="J145" s="417">
        <f>F145*I145</f>
        <v>0</v>
      </c>
      <c r="K145" s="718"/>
      <c r="L145" s="718"/>
      <c r="M145" s="417">
        <f t="shared" si="3"/>
        <v>0</v>
      </c>
    </row>
    <row r="146" spans="1:13" s="115" customFormat="1" ht="16.5" customHeight="1">
      <c r="A146" s="116"/>
      <c r="B146" s="31"/>
      <c r="C146" s="28" t="s">
        <v>57</v>
      </c>
      <c r="D146" s="28" t="s">
        <v>58</v>
      </c>
      <c r="E146" s="26" t="s">
        <v>54</v>
      </c>
      <c r="F146" s="27">
        <v>3</v>
      </c>
      <c r="G146" s="718"/>
      <c r="H146" s="718"/>
      <c r="I146" s="417"/>
      <c r="J146" s="417">
        <f>F146*I146</f>
        <v>0</v>
      </c>
      <c r="K146" s="718"/>
      <c r="L146" s="718"/>
      <c r="M146" s="417">
        <f aca="true" t="shared" si="4" ref="M146:M209">L146+J146+H146</f>
        <v>0</v>
      </c>
    </row>
    <row r="147" spans="1:13" s="115" customFormat="1" ht="16.5" customHeight="1">
      <c r="A147" s="117"/>
      <c r="B147" s="118"/>
      <c r="C147" s="28" t="s">
        <v>47</v>
      </c>
      <c r="D147" s="28" t="s">
        <v>45</v>
      </c>
      <c r="E147" s="30">
        <v>0.0206</v>
      </c>
      <c r="F147" s="26">
        <f>F142*E147</f>
        <v>0.4326</v>
      </c>
      <c r="G147" s="417"/>
      <c r="H147" s="718"/>
      <c r="I147" s="417"/>
      <c r="J147" s="417">
        <f>F147*I147</f>
        <v>0</v>
      </c>
      <c r="K147" s="718"/>
      <c r="L147" s="718"/>
      <c r="M147" s="417">
        <f t="shared" si="4"/>
        <v>0</v>
      </c>
    </row>
    <row r="148" spans="1:13" s="246" customFormat="1" ht="40.5">
      <c r="A148" s="239">
        <v>17</v>
      </c>
      <c r="B148" s="246" t="s">
        <v>240</v>
      </c>
      <c r="C148" s="114" t="s">
        <v>819</v>
      </c>
      <c r="D148" s="44" t="s">
        <v>16</v>
      </c>
      <c r="E148" s="45"/>
      <c r="F148" s="635">
        <f>109.55+690.81+94.66+68.4</f>
        <v>963.4199999999998</v>
      </c>
      <c r="G148" s="736"/>
      <c r="H148" s="736"/>
      <c r="I148" s="737"/>
      <c r="J148" s="737"/>
      <c r="K148" s="736"/>
      <c r="L148" s="736"/>
      <c r="M148" s="417">
        <f t="shared" si="4"/>
        <v>0</v>
      </c>
    </row>
    <row r="149" spans="1:13" s="246" customFormat="1" ht="15.75">
      <c r="A149" s="239"/>
      <c r="B149" s="239"/>
      <c r="C149" s="28" t="s">
        <v>43</v>
      </c>
      <c r="D149" s="28" t="s">
        <v>15</v>
      </c>
      <c r="E149" s="26">
        <v>0.94</v>
      </c>
      <c r="F149" s="636">
        <f>F148*E149</f>
        <v>905.6147999999998</v>
      </c>
      <c r="G149" s="417"/>
      <c r="H149" s="417">
        <f>F149*G149</f>
        <v>0</v>
      </c>
      <c r="I149" s="718"/>
      <c r="J149" s="718"/>
      <c r="K149" s="718"/>
      <c r="L149" s="718"/>
      <c r="M149" s="417">
        <f t="shared" si="4"/>
        <v>0</v>
      </c>
    </row>
    <row r="150" spans="1:13" s="247" customFormat="1" ht="15.75">
      <c r="A150" s="239"/>
      <c r="B150" s="239"/>
      <c r="C150" s="28" t="s">
        <v>44</v>
      </c>
      <c r="D150" s="28" t="s">
        <v>45</v>
      </c>
      <c r="E150" s="26">
        <v>0.0978</v>
      </c>
      <c r="F150" s="26">
        <f>F148*E150</f>
        <v>94.22247599999999</v>
      </c>
      <c r="G150" s="718"/>
      <c r="H150" s="718"/>
      <c r="I150" s="718"/>
      <c r="J150" s="718"/>
      <c r="K150" s="417"/>
      <c r="L150" s="417">
        <f>F150*K150</f>
        <v>0</v>
      </c>
      <c r="M150" s="417">
        <f t="shared" si="4"/>
        <v>0</v>
      </c>
    </row>
    <row r="151" spans="1:13" s="643" customFormat="1" ht="15.75">
      <c r="A151" s="640"/>
      <c r="B151" s="641"/>
      <c r="C151" s="630" t="s">
        <v>339</v>
      </c>
      <c r="D151" s="630" t="s">
        <v>16</v>
      </c>
      <c r="E151" s="642">
        <v>1</v>
      </c>
      <c r="F151" s="636">
        <f>F148*E151</f>
        <v>963.4199999999998</v>
      </c>
      <c r="G151" s="730"/>
      <c r="H151" s="730"/>
      <c r="I151" s="672"/>
      <c r="J151" s="672">
        <f>F151*I151</f>
        <v>0</v>
      </c>
      <c r="K151" s="730"/>
      <c r="L151" s="730"/>
      <c r="M151" s="417">
        <f t="shared" si="4"/>
        <v>0</v>
      </c>
    </row>
    <row r="152" spans="1:13" s="246" customFormat="1" ht="15.75">
      <c r="A152" s="239"/>
      <c r="C152" s="28" t="s">
        <v>241</v>
      </c>
      <c r="D152" s="28" t="s">
        <v>242</v>
      </c>
      <c r="E152" s="30">
        <v>0.19</v>
      </c>
      <c r="F152" s="26">
        <f>F148*E152</f>
        <v>183.04979999999998</v>
      </c>
      <c r="G152" s="718"/>
      <c r="H152" s="718"/>
      <c r="I152" s="417"/>
      <c r="J152" s="417">
        <f>F152*I152</f>
        <v>0</v>
      </c>
      <c r="K152" s="718"/>
      <c r="L152" s="718"/>
      <c r="M152" s="417">
        <f t="shared" si="4"/>
        <v>0</v>
      </c>
    </row>
    <row r="153" spans="1:13" s="247" customFormat="1" ht="15.75">
      <c r="A153" s="242"/>
      <c r="B153" s="243"/>
      <c r="C153" s="28" t="s">
        <v>47</v>
      </c>
      <c r="D153" s="28" t="s">
        <v>45</v>
      </c>
      <c r="E153" s="26">
        <v>0.056</v>
      </c>
      <c r="F153" s="26">
        <f>F148*E153</f>
        <v>53.951519999999995</v>
      </c>
      <c r="G153" s="718"/>
      <c r="H153" s="718"/>
      <c r="I153" s="417"/>
      <c r="J153" s="417">
        <f>F153*I153</f>
        <v>0</v>
      </c>
      <c r="K153" s="718"/>
      <c r="L153" s="718"/>
      <c r="M153" s="417">
        <f t="shared" si="4"/>
        <v>0</v>
      </c>
    </row>
    <row r="154" spans="1:13" s="366" customFormat="1" ht="13.5">
      <c r="A154" s="255"/>
      <c r="B154" s="302"/>
      <c r="C154" s="255"/>
      <c r="D154" s="150"/>
      <c r="E154" s="256"/>
      <c r="F154" s="256"/>
      <c r="G154" s="725"/>
      <c r="H154" s="725"/>
      <c r="I154" s="725"/>
      <c r="J154" s="725"/>
      <c r="K154" s="589"/>
      <c r="L154" s="589"/>
      <c r="M154" s="417">
        <f t="shared" si="4"/>
        <v>0</v>
      </c>
    </row>
    <row r="155" spans="1:13" s="289" customFormat="1" ht="27">
      <c r="A155" s="292">
        <v>18</v>
      </c>
      <c r="B155" s="367" t="s">
        <v>340</v>
      </c>
      <c r="C155" s="114" t="s">
        <v>593</v>
      </c>
      <c r="D155" s="33" t="s">
        <v>16</v>
      </c>
      <c r="E155" s="249"/>
      <c r="F155" s="249">
        <v>825.9</v>
      </c>
      <c r="G155" s="731"/>
      <c r="H155" s="731"/>
      <c r="I155" s="732"/>
      <c r="J155" s="732"/>
      <c r="K155" s="731"/>
      <c r="L155" s="731"/>
      <c r="M155" s="417">
        <f t="shared" si="4"/>
        <v>0</v>
      </c>
    </row>
    <row r="156" spans="1:13" s="328" customFormat="1" ht="13.5">
      <c r="A156" s="255"/>
      <c r="B156" s="368"/>
      <c r="C156" s="33" t="s">
        <v>43</v>
      </c>
      <c r="D156" s="150" t="s">
        <v>15</v>
      </c>
      <c r="E156" s="256">
        <v>0.314</v>
      </c>
      <c r="F156" s="256">
        <f>F155*E156</f>
        <v>259.3326</v>
      </c>
      <c r="G156" s="589"/>
      <c r="H156" s="589">
        <f>F156*G156</f>
        <v>0</v>
      </c>
      <c r="I156" s="725"/>
      <c r="J156" s="725"/>
      <c r="K156" s="725"/>
      <c r="L156" s="725"/>
      <c r="M156" s="417">
        <f t="shared" si="4"/>
        <v>0</v>
      </c>
    </row>
    <row r="157" spans="1:13" s="328" customFormat="1" ht="13.5">
      <c r="A157" s="255"/>
      <c r="B157" s="302"/>
      <c r="C157" s="33" t="s">
        <v>44</v>
      </c>
      <c r="D157" s="150" t="s">
        <v>45</v>
      </c>
      <c r="E157" s="362">
        <v>0.0034</v>
      </c>
      <c r="F157" s="256">
        <f>F155*E157</f>
        <v>2.80806</v>
      </c>
      <c r="G157" s="725"/>
      <c r="H157" s="725"/>
      <c r="I157" s="725"/>
      <c r="J157" s="725"/>
      <c r="K157" s="589"/>
      <c r="L157" s="589">
        <f>F157*K157</f>
        <v>0</v>
      </c>
      <c r="M157" s="417">
        <f t="shared" si="4"/>
        <v>0</v>
      </c>
    </row>
    <row r="158" spans="1:13" s="328" customFormat="1" ht="13.5">
      <c r="A158" s="255"/>
      <c r="B158" s="302" t="s">
        <v>341</v>
      </c>
      <c r="C158" s="33" t="s">
        <v>342</v>
      </c>
      <c r="D158" s="150" t="s">
        <v>70</v>
      </c>
      <c r="E158" s="362">
        <v>0.0152</v>
      </c>
      <c r="F158" s="256">
        <f>F155*E158</f>
        <v>12.55368</v>
      </c>
      <c r="G158" s="725"/>
      <c r="H158" s="725"/>
      <c r="I158" s="589"/>
      <c r="J158" s="589"/>
      <c r="K158" s="589"/>
      <c r="L158" s="589">
        <f>F158*K158</f>
        <v>0</v>
      </c>
      <c r="M158" s="417">
        <f t="shared" si="4"/>
        <v>0</v>
      </c>
    </row>
    <row r="159" spans="1:13" s="289" customFormat="1" ht="27">
      <c r="A159" s="292"/>
      <c r="B159" s="293"/>
      <c r="C159" s="33" t="s">
        <v>343</v>
      </c>
      <c r="D159" s="33" t="s">
        <v>16</v>
      </c>
      <c r="E159" s="249">
        <v>1.01</v>
      </c>
      <c r="F159" s="249">
        <f>F155*E159</f>
        <v>834.159</v>
      </c>
      <c r="G159" s="731"/>
      <c r="H159" s="731"/>
      <c r="I159" s="732"/>
      <c r="J159" s="732">
        <f>F159*I159</f>
        <v>0</v>
      </c>
      <c r="K159" s="731"/>
      <c r="L159" s="731"/>
      <c r="M159" s="417">
        <f t="shared" si="4"/>
        <v>0</v>
      </c>
    </row>
    <row r="160" spans="1:13" s="328" customFormat="1" ht="13.5">
      <c r="A160" s="255"/>
      <c r="B160" s="302"/>
      <c r="C160" s="33" t="s">
        <v>241</v>
      </c>
      <c r="D160" s="150" t="s">
        <v>49</v>
      </c>
      <c r="E160" s="256">
        <v>0.05</v>
      </c>
      <c r="F160" s="256">
        <f>F155*E160</f>
        <v>41.295</v>
      </c>
      <c r="G160" s="725"/>
      <c r="H160" s="725"/>
      <c r="I160" s="589"/>
      <c r="J160" s="589">
        <f>F160*I160</f>
        <v>0</v>
      </c>
      <c r="K160" s="725"/>
      <c r="L160" s="725"/>
      <c r="M160" s="417">
        <f t="shared" si="4"/>
        <v>0</v>
      </c>
    </row>
    <row r="161" spans="1:13" s="328" customFormat="1" ht="13.5">
      <c r="A161" s="255"/>
      <c r="B161" s="302"/>
      <c r="C161" s="33" t="s">
        <v>291</v>
      </c>
      <c r="D161" s="150" t="s">
        <v>49</v>
      </c>
      <c r="E161" s="256">
        <v>0.92</v>
      </c>
      <c r="F161" s="256">
        <f>F155*E161</f>
        <v>759.828</v>
      </c>
      <c r="G161" s="725"/>
      <c r="H161" s="725"/>
      <c r="I161" s="589"/>
      <c r="J161" s="589">
        <f>F161*I161</f>
        <v>0</v>
      </c>
      <c r="K161" s="725"/>
      <c r="L161" s="725"/>
      <c r="M161" s="417">
        <f t="shared" si="4"/>
        <v>0</v>
      </c>
    </row>
    <row r="162" spans="1:13" s="328" customFormat="1" ht="13.5">
      <c r="A162" s="255"/>
      <c r="B162" s="302"/>
      <c r="C162" s="33" t="s">
        <v>47</v>
      </c>
      <c r="D162" s="150" t="s">
        <v>45</v>
      </c>
      <c r="E162" s="362">
        <v>0.0386</v>
      </c>
      <c r="F162" s="256">
        <f>F155*E162</f>
        <v>31.87974</v>
      </c>
      <c r="G162" s="725"/>
      <c r="H162" s="725"/>
      <c r="I162" s="589"/>
      <c r="J162" s="589">
        <f>F162*I162</f>
        <v>0</v>
      </c>
      <c r="K162" s="725"/>
      <c r="L162" s="725"/>
      <c r="M162" s="417">
        <f t="shared" si="4"/>
        <v>0</v>
      </c>
    </row>
    <row r="163" spans="1:13" s="370" customFormat="1" ht="40.5">
      <c r="A163" s="306">
        <v>19</v>
      </c>
      <c r="B163" s="306" t="s">
        <v>113</v>
      </c>
      <c r="C163" s="110" t="s">
        <v>594</v>
      </c>
      <c r="D163" s="33" t="s">
        <v>94</v>
      </c>
      <c r="E163" s="34"/>
      <c r="F163" s="34">
        <v>344</v>
      </c>
      <c r="G163" s="731"/>
      <c r="H163" s="731"/>
      <c r="I163" s="732"/>
      <c r="J163" s="732"/>
      <c r="K163" s="731"/>
      <c r="L163" s="731"/>
      <c r="M163" s="417">
        <f t="shared" si="4"/>
        <v>0</v>
      </c>
    </row>
    <row r="164" spans="1:13" s="29" customFormat="1" ht="13.5">
      <c r="A164" s="116"/>
      <c r="C164" s="28" t="s">
        <v>43</v>
      </c>
      <c r="D164" s="28" t="s">
        <v>15</v>
      </c>
      <c r="E164" s="27">
        <v>0.83</v>
      </c>
      <c r="F164" s="27">
        <f>F163*E164</f>
        <v>285.52</v>
      </c>
      <c r="G164" s="417"/>
      <c r="H164" s="417">
        <f>F164*G164</f>
        <v>0</v>
      </c>
      <c r="I164" s="718"/>
      <c r="J164" s="718"/>
      <c r="K164" s="718"/>
      <c r="L164" s="718"/>
      <c r="M164" s="417">
        <f t="shared" si="4"/>
        <v>0</v>
      </c>
    </row>
    <row r="165" spans="1:13" s="31" customFormat="1" ht="13.5">
      <c r="A165" s="116"/>
      <c r="C165" s="28" t="s">
        <v>44</v>
      </c>
      <c r="D165" s="28" t="s">
        <v>45</v>
      </c>
      <c r="E165" s="30">
        <v>0.0041</v>
      </c>
      <c r="F165" s="27">
        <f>F163*E165</f>
        <v>1.4104</v>
      </c>
      <c r="G165" s="718"/>
      <c r="H165" s="718"/>
      <c r="I165" s="417"/>
      <c r="J165" s="417"/>
      <c r="K165" s="417"/>
      <c r="L165" s="417">
        <f>F165*K165</f>
        <v>0</v>
      </c>
      <c r="M165" s="417">
        <f t="shared" si="4"/>
        <v>0</v>
      </c>
    </row>
    <row r="166" spans="1:13" s="29" customFormat="1" ht="13.5">
      <c r="A166" s="116"/>
      <c r="B166" s="31"/>
      <c r="C166" s="28" t="s">
        <v>344</v>
      </c>
      <c r="D166" s="28" t="s">
        <v>94</v>
      </c>
      <c r="E166" s="30">
        <v>1.1</v>
      </c>
      <c r="F166" s="27">
        <f>F163*E166</f>
        <v>378.40000000000003</v>
      </c>
      <c r="G166" s="718"/>
      <c r="H166" s="718"/>
      <c r="I166" s="417"/>
      <c r="J166" s="417">
        <f>F166*I166</f>
        <v>0</v>
      </c>
      <c r="K166" s="718"/>
      <c r="L166" s="718"/>
      <c r="M166" s="417">
        <f t="shared" si="4"/>
        <v>0</v>
      </c>
    </row>
    <row r="167" spans="1:13" s="29" customFormat="1" ht="13.5">
      <c r="A167" s="117"/>
      <c r="B167" s="118"/>
      <c r="C167" s="28" t="s">
        <v>47</v>
      </c>
      <c r="D167" s="28" t="s">
        <v>45</v>
      </c>
      <c r="E167" s="26">
        <v>0.078</v>
      </c>
      <c r="F167" s="27">
        <f>F163*E167</f>
        <v>26.832</v>
      </c>
      <c r="G167" s="718"/>
      <c r="H167" s="718"/>
      <c r="I167" s="417"/>
      <c r="J167" s="417">
        <f>F167*I167</f>
        <v>0</v>
      </c>
      <c r="K167" s="718"/>
      <c r="L167" s="718"/>
      <c r="M167" s="417">
        <f t="shared" si="4"/>
        <v>0</v>
      </c>
    </row>
    <row r="168" spans="1:13" s="370" customFormat="1" ht="27">
      <c r="A168" s="292">
        <v>8</v>
      </c>
      <c r="B168" s="292" t="s">
        <v>113</v>
      </c>
      <c r="C168" s="114" t="s">
        <v>603</v>
      </c>
      <c r="D168" s="33" t="s">
        <v>200</v>
      </c>
      <c r="E168" s="34"/>
      <c r="F168" s="34">
        <f>0.7+3.44</f>
        <v>4.14</v>
      </c>
      <c r="G168" s="731"/>
      <c r="H168" s="731"/>
      <c r="I168" s="732"/>
      <c r="J168" s="732"/>
      <c r="K168" s="731"/>
      <c r="L168" s="731"/>
      <c r="M168" s="417">
        <f t="shared" si="4"/>
        <v>0</v>
      </c>
    </row>
    <row r="169" spans="1:13" s="29" customFormat="1" ht="13.5">
      <c r="A169" s="116"/>
      <c r="C169" s="28" t="s">
        <v>43</v>
      </c>
      <c r="D169" s="28" t="s">
        <v>15</v>
      </c>
      <c r="E169" s="27">
        <v>83</v>
      </c>
      <c r="F169" s="27">
        <f>F168*E169</f>
        <v>343.61999999999995</v>
      </c>
      <c r="G169" s="417"/>
      <c r="H169" s="417">
        <f>F169*G169</f>
        <v>0</v>
      </c>
      <c r="I169" s="718"/>
      <c r="J169" s="718"/>
      <c r="K169" s="718"/>
      <c r="L169" s="718"/>
      <c r="M169" s="417">
        <f t="shared" si="4"/>
        <v>0</v>
      </c>
    </row>
    <row r="170" spans="1:13" s="31" customFormat="1" ht="13.5">
      <c r="A170" s="116"/>
      <c r="C170" s="28" t="s">
        <v>44</v>
      </c>
      <c r="D170" s="28" t="s">
        <v>45</v>
      </c>
      <c r="E170" s="27">
        <v>0.41</v>
      </c>
      <c r="F170" s="27">
        <f>F168*E170</f>
        <v>1.6973999999999998</v>
      </c>
      <c r="G170" s="718"/>
      <c r="H170" s="718"/>
      <c r="I170" s="417"/>
      <c r="J170" s="417"/>
      <c r="K170" s="417"/>
      <c r="L170" s="417">
        <f>F170*K170</f>
        <v>0</v>
      </c>
      <c r="M170" s="417">
        <f t="shared" si="4"/>
        <v>0</v>
      </c>
    </row>
    <row r="171" spans="1:13" s="29" customFormat="1" ht="13.5">
      <c r="A171" s="116"/>
      <c r="B171" s="31"/>
      <c r="C171" s="28" t="s">
        <v>344</v>
      </c>
      <c r="D171" s="28" t="s">
        <v>94</v>
      </c>
      <c r="E171" s="27">
        <v>110</v>
      </c>
      <c r="F171" s="27">
        <f>F168*E171</f>
        <v>455.4</v>
      </c>
      <c r="G171" s="718"/>
      <c r="H171" s="718"/>
      <c r="I171" s="417"/>
      <c r="J171" s="417">
        <f>F171*I171</f>
        <v>0</v>
      </c>
      <c r="K171" s="718"/>
      <c r="L171" s="718"/>
      <c r="M171" s="417">
        <f t="shared" si="4"/>
        <v>0</v>
      </c>
    </row>
    <row r="172" spans="1:13" s="29" customFormat="1" ht="13.5">
      <c r="A172" s="117"/>
      <c r="B172" s="118"/>
      <c r="C172" s="28" t="s">
        <v>47</v>
      </c>
      <c r="D172" s="28" t="s">
        <v>45</v>
      </c>
      <c r="E172" s="27">
        <v>7.8</v>
      </c>
      <c r="F172" s="27">
        <f>F168*E172</f>
        <v>32.291999999999994</v>
      </c>
      <c r="G172" s="718"/>
      <c r="H172" s="718"/>
      <c r="I172" s="417"/>
      <c r="J172" s="417">
        <f>F172*I172</f>
        <v>0</v>
      </c>
      <c r="K172" s="718"/>
      <c r="L172" s="718"/>
      <c r="M172" s="417">
        <f t="shared" si="4"/>
        <v>0</v>
      </c>
    </row>
    <row r="173" spans="1:13" s="31" customFormat="1" ht="48.75" customHeight="1">
      <c r="A173" s="116">
        <v>13</v>
      </c>
      <c r="B173" s="116" t="s">
        <v>566</v>
      </c>
      <c r="C173" s="114" t="s">
        <v>746</v>
      </c>
      <c r="D173" s="28" t="s">
        <v>46</v>
      </c>
      <c r="E173" s="28"/>
      <c r="F173" s="27">
        <f>180*0.03</f>
        <v>5.3999999999999995</v>
      </c>
      <c r="G173" s="718"/>
      <c r="H173" s="718"/>
      <c r="I173" s="718"/>
      <c r="J173" s="718"/>
      <c r="K173" s="417"/>
      <c r="L173" s="417"/>
      <c r="M173" s="417">
        <f t="shared" si="4"/>
        <v>0</v>
      </c>
    </row>
    <row r="174" spans="1:13" s="31" customFormat="1" ht="13.5">
      <c r="A174" s="116"/>
      <c r="C174" s="28" t="s">
        <v>43</v>
      </c>
      <c r="D174" s="28" t="s">
        <v>15</v>
      </c>
      <c r="E174" s="26">
        <v>23.8</v>
      </c>
      <c r="F174" s="27">
        <f>F173*E174</f>
        <v>128.51999999999998</v>
      </c>
      <c r="G174" s="417"/>
      <c r="H174" s="417">
        <f>F174*G174</f>
        <v>0</v>
      </c>
      <c r="I174" s="718"/>
      <c r="J174" s="718"/>
      <c r="K174" s="718"/>
      <c r="L174" s="718"/>
      <c r="M174" s="417">
        <f t="shared" si="4"/>
        <v>0</v>
      </c>
    </row>
    <row r="175" spans="1:13" s="31" customFormat="1" ht="13.5">
      <c r="A175" s="116"/>
      <c r="C175" s="28" t="s">
        <v>44</v>
      </c>
      <c r="D175" s="28" t="s">
        <v>45</v>
      </c>
      <c r="E175" s="26">
        <v>2.1</v>
      </c>
      <c r="F175" s="27">
        <f>F173*E175</f>
        <v>11.34</v>
      </c>
      <c r="G175" s="718"/>
      <c r="H175" s="718"/>
      <c r="I175" s="718"/>
      <c r="J175" s="718"/>
      <c r="K175" s="417"/>
      <c r="L175" s="417">
        <f>F175*K175</f>
        <v>0</v>
      </c>
      <c r="M175" s="417">
        <f t="shared" si="4"/>
        <v>0</v>
      </c>
    </row>
    <row r="176" spans="1:13" s="31" customFormat="1" ht="13.5">
      <c r="A176" s="371"/>
      <c r="B176" s="371"/>
      <c r="C176" s="28" t="s">
        <v>567</v>
      </c>
      <c r="D176" s="28" t="s">
        <v>46</v>
      </c>
      <c r="E176" s="27">
        <v>1.05</v>
      </c>
      <c r="F176" s="27">
        <f>F173*E176</f>
        <v>5.67</v>
      </c>
      <c r="G176" s="718"/>
      <c r="H176" s="718"/>
      <c r="I176" s="417"/>
      <c r="J176" s="417">
        <f aca="true" t="shared" si="5" ref="J176:J181">F176*I176</f>
        <v>0</v>
      </c>
      <c r="K176" s="718"/>
      <c r="L176" s="718"/>
      <c r="M176" s="417">
        <f t="shared" si="4"/>
        <v>0</v>
      </c>
    </row>
    <row r="177" spans="1:13" s="31" customFormat="1" ht="13.5">
      <c r="A177" s="371"/>
      <c r="B177" s="371"/>
      <c r="C177" s="28" t="s">
        <v>67</v>
      </c>
      <c r="D177" s="28" t="s">
        <v>49</v>
      </c>
      <c r="E177" s="28">
        <v>7.2</v>
      </c>
      <c r="F177" s="27">
        <f>F173*E177</f>
        <v>38.879999999999995</v>
      </c>
      <c r="G177" s="417"/>
      <c r="H177" s="417"/>
      <c r="I177" s="417"/>
      <c r="J177" s="417">
        <f t="shared" si="5"/>
        <v>0</v>
      </c>
      <c r="K177" s="718"/>
      <c r="L177" s="718"/>
      <c r="M177" s="417">
        <f t="shared" si="4"/>
        <v>0</v>
      </c>
    </row>
    <row r="178" spans="1:13" s="31" customFormat="1" ht="13.5">
      <c r="A178" s="371"/>
      <c r="B178" s="371"/>
      <c r="C178" s="28" t="s">
        <v>568</v>
      </c>
      <c r="D178" s="28" t="s">
        <v>49</v>
      </c>
      <c r="E178" s="28">
        <v>4.38</v>
      </c>
      <c r="F178" s="27">
        <f>F173*E178</f>
        <v>23.651999999999997</v>
      </c>
      <c r="G178" s="718"/>
      <c r="H178" s="718"/>
      <c r="I178" s="417"/>
      <c r="J178" s="417">
        <f t="shared" si="5"/>
        <v>0</v>
      </c>
      <c r="K178" s="718"/>
      <c r="L178" s="718"/>
      <c r="M178" s="417">
        <f t="shared" si="4"/>
        <v>0</v>
      </c>
    </row>
    <row r="179" spans="1:13" s="31" customFormat="1" ht="13.5">
      <c r="A179" s="371"/>
      <c r="B179" s="371"/>
      <c r="C179" s="28" t="s">
        <v>569</v>
      </c>
      <c r="D179" s="28" t="s">
        <v>16</v>
      </c>
      <c r="E179" s="28">
        <v>3.38</v>
      </c>
      <c r="F179" s="27">
        <f>F173*E179</f>
        <v>18.252</v>
      </c>
      <c r="G179" s="718"/>
      <c r="H179" s="718"/>
      <c r="I179" s="417"/>
      <c r="J179" s="417">
        <f t="shared" si="5"/>
        <v>0</v>
      </c>
      <c r="K179" s="718"/>
      <c r="L179" s="718"/>
      <c r="M179" s="417">
        <f t="shared" si="4"/>
        <v>0</v>
      </c>
    </row>
    <row r="180" spans="1:13" s="31" customFormat="1" ht="13.5">
      <c r="A180" s="371"/>
      <c r="B180" s="371"/>
      <c r="C180" s="28" t="s">
        <v>570</v>
      </c>
      <c r="D180" s="28" t="s">
        <v>49</v>
      </c>
      <c r="E180" s="28">
        <v>1.96</v>
      </c>
      <c r="F180" s="27">
        <f>F173*E180</f>
        <v>10.584</v>
      </c>
      <c r="G180" s="718"/>
      <c r="H180" s="718"/>
      <c r="I180" s="417"/>
      <c r="J180" s="417">
        <f t="shared" si="5"/>
        <v>0</v>
      </c>
      <c r="K180" s="718"/>
      <c r="L180" s="718"/>
      <c r="M180" s="417">
        <f t="shared" si="4"/>
        <v>0</v>
      </c>
    </row>
    <row r="181" spans="1:13" s="31" customFormat="1" ht="13.5">
      <c r="A181" s="117"/>
      <c r="B181" s="118"/>
      <c r="C181" s="28" t="s">
        <v>47</v>
      </c>
      <c r="D181" s="28" t="s">
        <v>45</v>
      </c>
      <c r="E181" s="26">
        <v>3.44</v>
      </c>
      <c r="F181" s="27">
        <f>F173*E181</f>
        <v>18.575999999999997</v>
      </c>
      <c r="G181" s="718"/>
      <c r="H181" s="718"/>
      <c r="I181" s="417"/>
      <c r="J181" s="417">
        <f t="shared" si="5"/>
        <v>0</v>
      </c>
      <c r="K181" s="718"/>
      <c r="L181" s="718"/>
      <c r="M181" s="417">
        <f t="shared" si="4"/>
        <v>0</v>
      </c>
    </row>
    <row r="182" spans="1:13" s="370" customFormat="1" ht="13.5">
      <c r="A182" s="292">
        <v>8</v>
      </c>
      <c r="B182" s="292" t="s">
        <v>113</v>
      </c>
      <c r="C182" s="114" t="s">
        <v>820</v>
      </c>
      <c r="D182" s="33" t="s">
        <v>200</v>
      </c>
      <c r="E182" s="34"/>
      <c r="F182" s="34">
        <v>1.8</v>
      </c>
      <c r="G182" s="731"/>
      <c r="H182" s="731"/>
      <c r="I182" s="732"/>
      <c r="J182" s="732"/>
      <c r="K182" s="731"/>
      <c r="L182" s="731"/>
      <c r="M182" s="417">
        <f t="shared" si="4"/>
        <v>0</v>
      </c>
    </row>
    <row r="183" spans="1:13" s="29" customFormat="1" ht="13.5">
      <c r="A183" s="116"/>
      <c r="C183" s="28" t="s">
        <v>43</v>
      </c>
      <c r="D183" s="28" t="s">
        <v>15</v>
      </c>
      <c r="E183" s="27">
        <v>83</v>
      </c>
      <c r="F183" s="27">
        <f>F182*E183</f>
        <v>149.4</v>
      </c>
      <c r="G183" s="417"/>
      <c r="H183" s="417">
        <f>F183*G183</f>
        <v>0</v>
      </c>
      <c r="I183" s="718"/>
      <c r="J183" s="718"/>
      <c r="K183" s="718"/>
      <c r="L183" s="718"/>
      <c r="M183" s="417">
        <f t="shared" si="4"/>
        <v>0</v>
      </c>
    </row>
    <row r="184" spans="1:13" s="31" customFormat="1" ht="13.5">
      <c r="A184" s="116"/>
      <c r="C184" s="28" t="s">
        <v>44</v>
      </c>
      <c r="D184" s="28" t="s">
        <v>45</v>
      </c>
      <c r="E184" s="27">
        <v>0.41</v>
      </c>
      <c r="F184" s="27">
        <f>F182*E184</f>
        <v>0.738</v>
      </c>
      <c r="G184" s="718"/>
      <c r="H184" s="718"/>
      <c r="I184" s="417"/>
      <c r="J184" s="417"/>
      <c r="K184" s="417"/>
      <c r="L184" s="417">
        <f>F184*K184</f>
        <v>0</v>
      </c>
      <c r="M184" s="417">
        <f t="shared" si="4"/>
        <v>0</v>
      </c>
    </row>
    <row r="185" spans="1:13" s="29" customFormat="1" ht="13.5">
      <c r="A185" s="116"/>
      <c r="B185" s="31"/>
      <c r="C185" s="28" t="s">
        <v>344</v>
      </c>
      <c r="D185" s="28" t="s">
        <v>94</v>
      </c>
      <c r="E185" s="27">
        <v>1.2</v>
      </c>
      <c r="F185" s="27">
        <f>F182*E185</f>
        <v>2.16</v>
      </c>
      <c r="G185" s="718"/>
      <c r="H185" s="718"/>
      <c r="I185" s="417"/>
      <c r="J185" s="417">
        <f>F185*I185</f>
        <v>0</v>
      </c>
      <c r="K185" s="718"/>
      <c r="L185" s="718"/>
      <c r="M185" s="417">
        <f t="shared" si="4"/>
        <v>0</v>
      </c>
    </row>
    <row r="186" spans="1:13" s="29" customFormat="1" ht="13.5">
      <c r="A186" s="117"/>
      <c r="B186" s="118"/>
      <c r="C186" s="28" t="s">
        <v>47</v>
      </c>
      <c r="D186" s="28" t="s">
        <v>45</v>
      </c>
      <c r="E186" s="27">
        <v>7.8</v>
      </c>
      <c r="F186" s="27">
        <f>F182*E186</f>
        <v>14.04</v>
      </c>
      <c r="G186" s="718"/>
      <c r="H186" s="718"/>
      <c r="I186" s="417"/>
      <c r="J186" s="417">
        <f>F186*I186</f>
        <v>0</v>
      </c>
      <c r="K186" s="718"/>
      <c r="L186" s="718"/>
      <c r="M186" s="417">
        <f t="shared" si="4"/>
        <v>0</v>
      </c>
    </row>
    <row r="187" spans="1:13" s="31" customFormat="1" ht="18.75" customHeight="1">
      <c r="A187" s="116">
        <v>20</v>
      </c>
      <c r="B187" s="116" t="s">
        <v>345</v>
      </c>
      <c r="C187" s="135" t="s">
        <v>747</v>
      </c>
      <c r="D187" s="28" t="s">
        <v>346</v>
      </c>
      <c r="E187" s="28"/>
      <c r="F187" s="28">
        <f>0.48+0.48</f>
        <v>0.96</v>
      </c>
      <c r="G187" s="417"/>
      <c r="H187" s="417"/>
      <c r="I187" s="718"/>
      <c r="J187" s="718"/>
      <c r="K187" s="718"/>
      <c r="L187" s="718"/>
      <c r="M187" s="417">
        <f t="shared" si="4"/>
        <v>0</v>
      </c>
    </row>
    <row r="188" spans="1:13" s="31" customFormat="1" ht="13.5">
      <c r="A188" s="116"/>
      <c r="C188" s="28" t="s">
        <v>43</v>
      </c>
      <c r="D188" s="28" t="s">
        <v>15</v>
      </c>
      <c r="E188" s="26">
        <v>28.6</v>
      </c>
      <c r="F188" s="26">
        <f>F187*E188</f>
        <v>27.456</v>
      </c>
      <c r="G188" s="417"/>
      <c r="H188" s="417">
        <f>F188*G188</f>
        <v>0</v>
      </c>
      <c r="I188" s="718"/>
      <c r="J188" s="718"/>
      <c r="K188" s="718"/>
      <c r="L188" s="718"/>
      <c r="M188" s="417">
        <f t="shared" si="4"/>
        <v>0</v>
      </c>
    </row>
    <row r="189" spans="1:13" s="31" customFormat="1" ht="13.5">
      <c r="A189" s="116"/>
      <c r="C189" s="28" t="s">
        <v>44</v>
      </c>
      <c r="D189" s="28" t="s">
        <v>45</v>
      </c>
      <c r="E189" s="26">
        <v>0.41</v>
      </c>
      <c r="F189" s="26">
        <f>F187*E189</f>
        <v>0.39359999999999995</v>
      </c>
      <c r="G189" s="718"/>
      <c r="H189" s="718"/>
      <c r="I189" s="718"/>
      <c r="J189" s="718"/>
      <c r="K189" s="417"/>
      <c r="L189" s="417">
        <f>F189*K189</f>
        <v>0</v>
      </c>
      <c r="M189" s="417">
        <f t="shared" si="4"/>
        <v>0</v>
      </c>
    </row>
    <row r="190" spans="1:13" s="632" customFormat="1" ht="13.5">
      <c r="A190" s="631"/>
      <c r="C190" s="630" t="s">
        <v>350</v>
      </c>
      <c r="D190" s="630" t="s">
        <v>351</v>
      </c>
      <c r="E190" s="636">
        <v>100</v>
      </c>
      <c r="F190" s="636">
        <f>F187*E190</f>
        <v>96</v>
      </c>
      <c r="G190" s="730"/>
      <c r="H190" s="730"/>
      <c r="I190" s="672"/>
      <c r="J190" s="672">
        <f>F190*I190</f>
        <v>0</v>
      </c>
      <c r="K190" s="730"/>
      <c r="L190" s="730"/>
      <c r="M190" s="417">
        <f t="shared" si="4"/>
        <v>0</v>
      </c>
    </row>
    <row r="191" spans="1:13" s="278" customFormat="1" ht="13.5">
      <c r="A191" s="116"/>
      <c r="B191" s="31"/>
      <c r="C191" s="28" t="s">
        <v>67</v>
      </c>
      <c r="D191" s="28" t="s">
        <v>49</v>
      </c>
      <c r="E191" s="30">
        <v>3.8</v>
      </c>
      <c r="F191" s="26">
        <f>F187*E191</f>
        <v>3.6479999999999997</v>
      </c>
      <c r="G191" s="718"/>
      <c r="H191" s="718"/>
      <c r="I191" s="417"/>
      <c r="J191" s="417">
        <f>F191*I191</f>
        <v>0</v>
      </c>
      <c r="K191" s="718"/>
      <c r="L191" s="718"/>
      <c r="M191" s="417">
        <f t="shared" si="4"/>
        <v>0</v>
      </c>
    </row>
    <row r="192" spans="1:13" s="31" customFormat="1" ht="13.5">
      <c r="A192" s="116"/>
      <c r="C192" s="28" t="s">
        <v>347</v>
      </c>
      <c r="D192" s="28" t="s">
        <v>49</v>
      </c>
      <c r="E192" s="30">
        <v>3.8</v>
      </c>
      <c r="F192" s="26">
        <f>F187*E192</f>
        <v>3.6479999999999997</v>
      </c>
      <c r="G192" s="718"/>
      <c r="H192" s="718"/>
      <c r="I192" s="417"/>
      <c r="J192" s="417">
        <f>F192*I192</f>
        <v>0</v>
      </c>
      <c r="K192" s="718"/>
      <c r="L192" s="718"/>
      <c r="M192" s="417">
        <f t="shared" si="4"/>
        <v>0</v>
      </c>
    </row>
    <row r="193" spans="1:13" s="31" customFormat="1" ht="13.5">
      <c r="A193" s="116"/>
      <c r="C193" s="28" t="s">
        <v>348</v>
      </c>
      <c r="D193" s="28" t="s">
        <v>49</v>
      </c>
      <c r="E193" s="26">
        <v>169</v>
      </c>
      <c r="F193" s="26">
        <f>F187*E193</f>
        <v>162.23999999999998</v>
      </c>
      <c r="G193" s="718"/>
      <c r="H193" s="718"/>
      <c r="I193" s="417"/>
      <c r="J193" s="417">
        <f>F193*I193</f>
        <v>0</v>
      </c>
      <c r="K193" s="718"/>
      <c r="L193" s="718"/>
      <c r="M193" s="417">
        <f t="shared" si="4"/>
        <v>0</v>
      </c>
    </row>
    <row r="194" spans="1:13" s="31" customFormat="1" ht="13.5">
      <c r="A194" s="117"/>
      <c r="B194" s="118"/>
      <c r="C194" s="28" t="s">
        <v>349</v>
      </c>
      <c r="D194" s="28" t="s">
        <v>51</v>
      </c>
      <c r="E194" s="30" t="s">
        <v>54</v>
      </c>
      <c r="F194" s="26">
        <v>4</v>
      </c>
      <c r="G194" s="718"/>
      <c r="H194" s="718"/>
      <c r="I194" s="417"/>
      <c r="J194" s="417">
        <f>F194*I194</f>
        <v>0</v>
      </c>
      <c r="K194" s="718"/>
      <c r="L194" s="718"/>
      <c r="M194" s="417">
        <f t="shared" si="4"/>
        <v>0</v>
      </c>
    </row>
    <row r="195" spans="1:13" s="111" customFormat="1" ht="27">
      <c r="A195" s="372">
        <v>21</v>
      </c>
      <c r="B195" s="111" t="s">
        <v>352</v>
      </c>
      <c r="C195" s="135" t="s">
        <v>599</v>
      </c>
      <c r="D195" s="133" t="s">
        <v>16</v>
      </c>
      <c r="E195" s="468"/>
      <c r="F195" s="468">
        <f>52.2+8.55</f>
        <v>60.75</v>
      </c>
      <c r="G195" s="738"/>
      <c r="H195" s="738"/>
      <c r="I195" s="137"/>
      <c r="J195" s="137"/>
      <c r="K195" s="738"/>
      <c r="L195" s="738"/>
      <c r="M195" s="417">
        <f t="shared" si="4"/>
        <v>0</v>
      </c>
    </row>
    <row r="196" spans="1:13" s="31" customFormat="1" ht="13.5">
      <c r="A196" s="116"/>
      <c r="B196" s="253"/>
      <c r="C196" s="28" t="s">
        <v>43</v>
      </c>
      <c r="D196" s="28" t="s">
        <v>15</v>
      </c>
      <c r="E196" s="26">
        <v>7.8</v>
      </c>
      <c r="F196" s="26">
        <f>F195*E196</f>
        <v>473.84999999999997</v>
      </c>
      <c r="G196" s="417"/>
      <c r="H196" s="417">
        <f>F196*G196</f>
        <v>0</v>
      </c>
      <c r="I196" s="718"/>
      <c r="J196" s="718"/>
      <c r="K196" s="718"/>
      <c r="L196" s="718"/>
      <c r="M196" s="417">
        <f t="shared" si="4"/>
        <v>0</v>
      </c>
    </row>
    <row r="197" spans="1:13" s="31" customFormat="1" ht="13.5">
      <c r="A197" s="116"/>
      <c r="C197" s="28" t="s">
        <v>44</v>
      </c>
      <c r="D197" s="28" t="s">
        <v>45</v>
      </c>
      <c r="E197" s="26">
        <v>0.13</v>
      </c>
      <c r="F197" s="26">
        <f>F195*E197</f>
        <v>7.8975</v>
      </c>
      <c r="G197" s="718"/>
      <c r="H197" s="718"/>
      <c r="I197" s="718"/>
      <c r="J197" s="718"/>
      <c r="K197" s="417"/>
      <c r="L197" s="417">
        <f>F197*K197</f>
        <v>0</v>
      </c>
      <c r="M197" s="417">
        <f t="shared" si="4"/>
        <v>0</v>
      </c>
    </row>
    <row r="198" spans="1:13" s="31" customFormat="1" ht="13.5">
      <c r="A198" s="116"/>
      <c r="C198" s="28" t="s">
        <v>565</v>
      </c>
      <c r="D198" s="28" t="s">
        <v>16</v>
      </c>
      <c r="E198" s="26">
        <v>0.98</v>
      </c>
      <c r="F198" s="26">
        <f>F195*E198</f>
        <v>59.535</v>
      </c>
      <c r="G198" s="417"/>
      <c r="H198" s="417"/>
      <c r="I198" s="417"/>
      <c r="J198" s="417">
        <f>F198*I198</f>
        <v>0</v>
      </c>
      <c r="K198" s="718"/>
      <c r="L198" s="718"/>
      <c r="M198" s="417">
        <f t="shared" si="4"/>
        <v>0</v>
      </c>
    </row>
    <row r="199" spans="1:13" s="31" customFormat="1" ht="27">
      <c r="A199" s="116"/>
      <c r="C199" s="280" t="s">
        <v>626</v>
      </c>
      <c r="D199" s="28" t="s">
        <v>94</v>
      </c>
      <c r="E199" s="26">
        <v>1</v>
      </c>
      <c r="F199" s="26">
        <f>F195*E199</f>
        <v>60.75</v>
      </c>
      <c r="G199" s="718"/>
      <c r="H199" s="718"/>
      <c r="I199" s="417"/>
      <c r="J199" s="417">
        <f>F199*I199</f>
        <v>0</v>
      </c>
      <c r="K199" s="718"/>
      <c r="L199" s="718"/>
      <c r="M199" s="417">
        <f t="shared" si="4"/>
        <v>0</v>
      </c>
    </row>
    <row r="200" spans="1:13" s="31" customFormat="1" ht="13.5">
      <c r="A200" s="117"/>
      <c r="B200" s="118"/>
      <c r="C200" s="28" t="s">
        <v>47</v>
      </c>
      <c r="D200" s="28" t="s">
        <v>45</v>
      </c>
      <c r="E200" s="30">
        <v>0.09</v>
      </c>
      <c r="F200" s="26">
        <f>F195*E200</f>
        <v>5.467499999999999</v>
      </c>
      <c r="G200" s="718"/>
      <c r="H200" s="718"/>
      <c r="I200" s="417"/>
      <c r="J200" s="417">
        <f>F200*I200</f>
        <v>0</v>
      </c>
      <c r="K200" s="718"/>
      <c r="L200" s="718"/>
      <c r="M200" s="417">
        <f t="shared" si="4"/>
        <v>0</v>
      </c>
    </row>
    <row r="201" spans="1:13" s="111" customFormat="1" ht="15.75">
      <c r="A201" s="372"/>
      <c r="B201" s="111" t="s">
        <v>352</v>
      </c>
      <c r="C201" s="135" t="s">
        <v>353</v>
      </c>
      <c r="D201" s="133" t="s">
        <v>16</v>
      </c>
      <c r="E201" s="468"/>
      <c r="F201" s="468">
        <f>204.21+690.81</f>
        <v>895.02</v>
      </c>
      <c r="G201" s="738"/>
      <c r="H201" s="738"/>
      <c r="I201" s="137"/>
      <c r="J201" s="137"/>
      <c r="K201" s="738"/>
      <c r="L201" s="738"/>
      <c r="M201" s="417">
        <f t="shared" si="4"/>
        <v>0</v>
      </c>
    </row>
    <row r="202" spans="1:13" s="31" customFormat="1" ht="13.5">
      <c r="A202" s="116">
        <v>22</v>
      </c>
      <c r="B202" s="253"/>
      <c r="C202" s="28" t="s">
        <v>43</v>
      </c>
      <c r="D202" s="28" t="s">
        <v>15</v>
      </c>
      <c r="E202" s="26">
        <v>7.8</v>
      </c>
      <c r="F202" s="26">
        <f>F201*E202</f>
        <v>6981.156</v>
      </c>
      <c r="G202" s="417"/>
      <c r="H202" s="417">
        <f>F202*G202</f>
        <v>0</v>
      </c>
      <c r="I202" s="718"/>
      <c r="J202" s="718"/>
      <c r="K202" s="718"/>
      <c r="L202" s="718"/>
      <c r="M202" s="417">
        <f t="shared" si="4"/>
        <v>0</v>
      </c>
    </row>
    <row r="203" spans="1:13" s="31" customFormat="1" ht="13.5">
      <c r="A203" s="116"/>
      <c r="C203" s="28" t="s">
        <v>44</v>
      </c>
      <c r="D203" s="28" t="s">
        <v>45</v>
      </c>
      <c r="E203" s="26">
        <v>0.13</v>
      </c>
      <c r="F203" s="26">
        <f>F201*E203</f>
        <v>116.3526</v>
      </c>
      <c r="G203" s="718"/>
      <c r="H203" s="718"/>
      <c r="I203" s="718"/>
      <c r="J203" s="718"/>
      <c r="K203" s="417"/>
      <c r="L203" s="417">
        <f>F203*K203</f>
        <v>0</v>
      </c>
      <c r="M203" s="417">
        <f t="shared" si="4"/>
        <v>0</v>
      </c>
    </row>
    <row r="204" spans="1:13" s="31" customFormat="1" ht="13.5">
      <c r="A204" s="116"/>
      <c r="C204" s="28" t="s">
        <v>821</v>
      </c>
      <c r="D204" s="28" t="s">
        <v>16</v>
      </c>
      <c r="E204" s="26">
        <v>0.98</v>
      </c>
      <c r="F204" s="26">
        <f>F201*E204</f>
        <v>877.1196</v>
      </c>
      <c r="G204" s="417"/>
      <c r="H204" s="417"/>
      <c r="I204" s="417"/>
      <c r="J204" s="417">
        <f>F204*I204</f>
        <v>0</v>
      </c>
      <c r="K204" s="718"/>
      <c r="L204" s="718"/>
      <c r="M204" s="417">
        <f t="shared" si="4"/>
        <v>0</v>
      </c>
    </row>
    <row r="205" spans="1:13" s="31" customFormat="1" ht="27">
      <c r="A205" s="116"/>
      <c r="C205" s="280" t="s">
        <v>626</v>
      </c>
      <c r="D205" s="28" t="s">
        <v>94</v>
      </c>
      <c r="E205" s="26">
        <v>1</v>
      </c>
      <c r="F205" s="26">
        <f>F201*E205</f>
        <v>895.02</v>
      </c>
      <c r="G205" s="718"/>
      <c r="H205" s="718"/>
      <c r="I205" s="417"/>
      <c r="J205" s="417">
        <f>F205*I205</f>
        <v>0</v>
      </c>
      <c r="K205" s="718"/>
      <c r="L205" s="718"/>
      <c r="M205" s="417">
        <f t="shared" si="4"/>
        <v>0</v>
      </c>
    </row>
    <row r="206" spans="1:13" s="31" customFormat="1" ht="13.5">
      <c r="A206" s="117"/>
      <c r="B206" s="118"/>
      <c r="C206" s="28" t="s">
        <v>47</v>
      </c>
      <c r="D206" s="28" t="s">
        <v>45</v>
      </c>
      <c r="E206" s="30">
        <v>0.09</v>
      </c>
      <c r="F206" s="26">
        <f>F201*E206</f>
        <v>80.5518</v>
      </c>
      <c r="G206" s="718"/>
      <c r="H206" s="718"/>
      <c r="I206" s="417"/>
      <c r="J206" s="417">
        <f>F206*I206</f>
        <v>0</v>
      </c>
      <c r="K206" s="718"/>
      <c r="L206" s="718"/>
      <c r="M206" s="417">
        <f t="shared" si="4"/>
        <v>0</v>
      </c>
    </row>
    <row r="207" spans="1:13" s="293" customFormat="1" ht="27">
      <c r="A207" s="292">
        <v>23</v>
      </c>
      <c r="B207" s="293" t="s">
        <v>25</v>
      </c>
      <c r="C207" s="135" t="s">
        <v>748</v>
      </c>
      <c r="D207" s="33" t="s">
        <v>16</v>
      </c>
      <c r="E207" s="249"/>
      <c r="F207" s="249">
        <v>24.5</v>
      </c>
      <c r="G207" s="732"/>
      <c r="H207" s="732"/>
      <c r="I207" s="731"/>
      <c r="J207" s="731"/>
      <c r="K207" s="731"/>
      <c r="L207" s="731"/>
      <c r="M207" s="417">
        <f t="shared" si="4"/>
        <v>0</v>
      </c>
    </row>
    <row r="208" spans="1:13" s="31" customFormat="1" ht="13.5">
      <c r="A208" s="116"/>
      <c r="B208" s="116"/>
      <c r="C208" s="28" t="s">
        <v>43</v>
      </c>
      <c r="D208" s="28" t="s">
        <v>15</v>
      </c>
      <c r="E208" s="26">
        <v>0.93</v>
      </c>
      <c r="F208" s="26">
        <f>F207*E208</f>
        <v>22.785</v>
      </c>
      <c r="G208" s="417"/>
      <c r="H208" s="417">
        <f>F208*G208</f>
        <v>0</v>
      </c>
      <c r="I208" s="718"/>
      <c r="J208" s="718"/>
      <c r="K208" s="718"/>
      <c r="L208" s="718"/>
      <c r="M208" s="417">
        <f t="shared" si="4"/>
        <v>0</v>
      </c>
    </row>
    <row r="209" spans="1:13" s="31" customFormat="1" ht="13.5">
      <c r="A209" s="116"/>
      <c r="C209" s="28" t="s">
        <v>44</v>
      </c>
      <c r="D209" s="28" t="s">
        <v>45</v>
      </c>
      <c r="E209" s="26">
        <v>0.026</v>
      </c>
      <c r="F209" s="26">
        <f>F207*E209</f>
        <v>0.637</v>
      </c>
      <c r="G209" s="718"/>
      <c r="H209" s="718"/>
      <c r="I209" s="718"/>
      <c r="J209" s="718"/>
      <c r="K209" s="417"/>
      <c r="L209" s="417">
        <f>F209*K209</f>
        <v>0</v>
      </c>
      <c r="M209" s="417">
        <f t="shared" si="4"/>
        <v>0</v>
      </c>
    </row>
    <row r="210" spans="1:13" s="115" customFormat="1" ht="13.5">
      <c r="A210" s="116"/>
      <c r="B210" s="31"/>
      <c r="C210" s="28" t="s">
        <v>68</v>
      </c>
      <c r="D210" s="28" t="s">
        <v>46</v>
      </c>
      <c r="E210" s="30">
        <v>0.0256</v>
      </c>
      <c r="F210" s="26">
        <f>F207*E210</f>
        <v>0.6272</v>
      </c>
      <c r="G210" s="718"/>
      <c r="H210" s="718"/>
      <c r="I210" s="417"/>
      <c r="J210" s="417">
        <f>F210*I210</f>
        <v>0</v>
      </c>
      <c r="K210" s="718"/>
      <c r="L210" s="718"/>
      <c r="M210" s="417">
        <f aca="true" t="shared" si="6" ref="M210:M273">L210+J210+H210</f>
        <v>0</v>
      </c>
    </row>
    <row r="211" spans="1:13" s="278" customFormat="1" ht="13.5">
      <c r="A211" s="117"/>
      <c r="B211" s="117" t="s">
        <v>26</v>
      </c>
      <c r="C211" s="28" t="s">
        <v>69</v>
      </c>
      <c r="D211" s="28" t="s">
        <v>70</v>
      </c>
      <c r="E211" s="26">
        <v>0.024</v>
      </c>
      <c r="F211" s="26">
        <f>F207*E211</f>
        <v>0.588</v>
      </c>
      <c r="G211" s="718"/>
      <c r="H211" s="718"/>
      <c r="I211" s="417"/>
      <c r="J211" s="417"/>
      <c r="K211" s="417"/>
      <c r="L211" s="417">
        <f>F211*K211</f>
        <v>0</v>
      </c>
      <c r="M211" s="417">
        <f t="shared" si="6"/>
        <v>0</v>
      </c>
    </row>
    <row r="212" spans="1:13" s="293" customFormat="1" ht="27">
      <c r="A212" s="292">
        <v>24</v>
      </c>
      <c r="B212" s="293" t="s">
        <v>25</v>
      </c>
      <c r="C212" s="135" t="s">
        <v>749</v>
      </c>
      <c r="D212" s="33" t="s">
        <v>16</v>
      </c>
      <c r="E212" s="249"/>
      <c r="F212" s="249">
        <v>95</v>
      </c>
      <c r="G212" s="732"/>
      <c r="H212" s="732"/>
      <c r="I212" s="731"/>
      <c r="J212" s="731"/>
      <c r="K212" s="731"/>
      <c r="L212" s="731"/>
      <c r="M212" s="417">
        <f t="shared" si="6"/>
        <v>0</v>
      </c>
    </row>
    <row r="213" spans="1:13" s="31" customFormat="1" ht="13.5">
      <c r="A213" s="116"/>
      <c r="B213" s="116"/>
      <c r="C213" s="28" t="s">
        <v>43</v>
      </c>
      <c r="D213" s="28" t="s">
        <v>15</v>
      </c>
      <c r="E213" s="26">
        <v>0.93</v>
      </c>
      <c r="F213" s="26">
        <f>F212*E213</f>
        <v>88.35000000000001</v>
      </c>
      <c r="G213" s="417"/>
      <c r="H213" s="417">
        <f>F213*G213</f>
        <v>0</v>
      </c>
      <c r="I213" s="718"/>
      <c r="J213" s="718"/>
      <c r="K213" s="718"/>
      <c r="L213" s="718"/>
      <c r="M213" s="417">
        <f t="shared" si="6"/>
        <v>0</v>
      </c>
    </row>
    <row r="214" spans="1:13" s="31" customFormat="1" ht="13.5">
      <c r="A214" s="116"/>
      <c r="C214" s="28" t="s">
        <v>44</v>
      </c>
      <c r="D214" s="28" t="s">
        <v>45</v>
      </c>
      <c r="E214" s="26">
        <v>0.026</v>
      </c>
      <c r="F214" s="26">
        <f>F212*E214</f>
        <v>2.4699999999999998</v>
      </c>
      <c r="G214" s="718"/>
      <c r="H214" s="718"/>
      <c r="I214" s="718"/>
      <c r="J214" s="718"/>
      <c r="K214" s="417"/>
      <c r="L214" s="417">
        <f>F214*K214</f>
        <v>0</v>
      </c>
      <c r="M214" s="417">
        <f t="shared" si="6"/>
        <v>0</v>
      </c>
    </row>
    <row r="215" spans="1:13" s="115" customFormat="1" ht="13.5">
      <c r="A215" s="116"/>
      <c r="B215" s="31"/>
      <c r="C215" s="28" t="s">
        <v>68</v>
      </c>
      <c r="D215" s="28" t="s">
        <v>46</v>
      </c>
      <c r="E215" s="30">
        <v>0.0256</v>
      </c>
      <c r="F215" s="26">
        <f>F212*E215</f>
        <v>2.432</v>
      </c>
      <c r="G215" s="718"/>
      <c r="H215" s="718"/>
      <c r="I215" s="417"/>
      <c r="J215" s="417">
        <f>F215*I215</f>
        <v>0</v>
      </c>
      <c r="K215" s="718"/>
      <c r="L215" s="718"/>
      <c r="M215" s="417">
        <f t="shared" si="6"/>
        <v>0</v>
      </c>
    </row>
    <row r="216" spans="1:13" s="278" customFormat="1" ht="13.5">
      <c r="A216" s="117"/>
      <c r="B216" s="117" t="s">
        <v>26</v>
      </c>
      <c r="C216" s="28" t="s">
        <v>69</v>
      </c>
      <c r="D216" s="28" t="s">
        <v>70</v>
      </c>
      <c r="E216" s="26">
        <v>0.024</v>
      </c>
      <c r="F216" s="26">
        <f>F212*E216</f>
        <v>2.2800000000000002</v>
      </c>
      <c r="G216" s="718"/>
      <c r="H216" s="718"/>
      <c r="I216" s="417"/>
      <c r="J216" s="417"/>
      <c r="K216" s="417"/>
      <c r="L216" s="417">
        <f>F216*K216</f>
        <v>0</v>
      </c>
      <c r="M216" s="417">
        <f t="shared" si="6"/>
        <v>0</v>
      </c>
    </row>
    <row r="217" spans="1:13" s="308" customFormat="1" ht="27">
      <c r="A217" s="292">
        <v>25</v>
      </c>
      <c r="B217" s="292" t="s">
        <v>91</v>
      </c>
      <c r="C217" s="135" t="s">
        <v>354</v>
      </c>
      <c r="D217" s="33" t="s">
        <v>16</v>
      </c>
      <c r="E217" s="33"/>
      <c r="F217" s="34">
        <v>95</v>
      </c>
      <c r="G217" s="731"/>
      <c r="H217" s="731"/>
      <c r="I217" s="731"/>
      <c r="J217" s="731"/>
      <c r="K217" s="731"/>
      <c r="L217" s="731"/>
      <c r="M217" s="417">
        <f t="shared" si="6"/>
        <v>0</v>
      </c>
    </row>
    <row r="218" spans="1:13" s="115" customFormat="1" ht="13.5">
      <c r="A218" s="116"/>
      <c r="C218" s="28" t="s">
        <v>53</v>
      </c>
      <c r="D218" s="28" t="s">
        <v>15</v>
      </c>
      <c r="E218" s="26">
        <v>0.658</v>
      </c>
      <c r="F218" s="27">
        <f>F217*E218</f>
        <v>62.510000000000005</v>
      </c>
      <c r="G218" s="417"/>
      <c r="H218" s="417">
        <f>F218*G218</f>
        <v>0</v>
      </c>
      <c r="I218" s="718"/>
      <c r="J218" s="718"/>
      <c r="K218" s="718"/>
      <c r="L218" s="718"/>
      <c r="M218" s="417">
        <f t="shared" si="6"/>
        <v>0</v>
      </c>
    </row>
    <row r="219" spans="1:13" s="115" customFormat="1" ht="13.5">
      <c r="A219" s="116"/>
      <c r="B219" s="31"/>
      <c r="C219" s="28" t="s">
        <v>44</v>
      </c>
      <c r="D219" s="28" t="s">
        <v>45</v>
      </c>
      <c r="E219" s="26">
        <v>0.01</v>
      </c>
      <c r="F219" s="27">
        <f>F217*E219</f>
        <v>0.9500000000000001</v>
      </c>
      <c r="G219" s="718"/>
      <c r="H219" s="718"/>
      <c r="I219" s="718"/>
      <c r="J219" s="718"/>
      <c r="K219" s="417"/>
      <c r="L219" s="417">
        <f>F219*K219</f>
        <v>0</v>
      </c>
      <c r="M219" s="417">
        <f t="shared" si="6"/>
        <v>0</v>
      </c>
    </row>
    <row r="220" spans="1:13" s="115" customFormat="1" ht="13.5">
      <c r="A220" s="116"/>
      <c r="C220" s="28" t="s">
        <v>92</v>
      </c>
      <c r="D220" s="28" t="s">
        <v>49</v>
      </c>
      <c r="E220" s="27">
        <v>0.63</v>
      </c>
      <c r="F220" s="27">
        <f>F217*E220</f>
        <v>59.85</v>
      </c>
      <c r="G220" s="718"/>
      <c r="H220" s="718"/>
      <c r="I220" s="417"/>
      <c r="J220" s="417">
        <f>F220*I220</f>
        <v>0</v>
      </c>
      <c r="K220" s="718"/>
      <c r="L220" s="718"/>
      <c r="M220" s="417">
        <f t="shared" si="6"/>
        <v>0</v>
      </c>
    </row>
    <row r="221" spans="1:13" s="115" customFormat="1" ht="13.5">
      <c r="A221" s="116"/>
      <c r="B221" s="31"/>
      <c r="C221" s="28" t="s">
        <v>355</v>
      </c>
      <c r="D221" s="28" t="s">
        <v>49</v>
      </c>
      <c r="E221" s="26">
        <v>0.79</v>
      </c>
      <c r="F221" s="27">
        <f>F217*E221</f>
        <v>75.05</v>
      </c>
      <c r="G221" s="718"/>
      <c r="H221" s="718"/>
      <c r="I221" s="417"/>
      <c r="J221" s="417">
        <f>F221*I221</f>
        <v>0</v>
      </c>
      <c r="K221" s="718"/>
      <c r="L221" s="718"/>
      <c r="M221" s="417">
        <f t="shared" si="6"/>
        <v>0</v>
      </c>
    </row>
    <row r="222" spans="1:13" s="115" customFormat="1" ht="13.5">
      <c r="A222" s="117"/>
      <c r="B222" s="118"/>
      <c r="C222" s="28" t="s">
        <v>47</v>
      </c>
      <c r="D222" s="28" t="s">
        <v>45</v>
      </c>
      <c r="E222" s="26">
        <v>0.016</v>
      </c>
      <c r="F222" s="27">
        <f>F217*E222</f>
        <v>1.52</v>
      </c>
      <c r="G222" s="718"/>
      <c r="H222" s="718"/>
      <c r="I222" s="417"/>
      <c r="J222" s="417">
        <f>F222*I222</f>
        <v>0</v>
      </c>
      <c r="K222" s="718"/>
      <c r="L222" s="718"/>
      <c r="M222" s="417">
        <f t="shared" si="6"/>
        <v>0</v>
      </c>
    </row>
    <row r="223" spans="1:13" s="293" customFormat="1" ht="27">
      <c r="A223" s="292">
        <v>26</v>
      </c>
      <c r="B223" s="292" t="s">
        <v>356</v>
      </c>
      <c r="C223" s="135" t="s">
        <v>750</v>
      </c>
      <c r="D223" s="33" t="s">
        <v>16</v>
      </c>
      <c r="E223" s="249"/>
      <c r="F223" s="249">
        <f>6.6+7.8</f>
        <v>14.399999999999999</v>
      </c>
      <c r="G223" s="731"/>
      <c r="H223" s="731"/>
      <c r="I223" s="732"/>
      <c r="J223" s="732"/>
      <c r="K223" s="731"/>
      <c r="L223" s="731"/>
      <c r="M223" s="417">
        <f t="shared" si="6"/>
        <v>0</v>
      </c>
    </row>
    <row r="224" spans="1:13" s="29" customFormat="1" ht="13.5">
      <c r="A224" s="116"/>
      <c r="C224" s="28" t="s">
        <v>43</v>
      </c>
      <c r="D224" s="28" t="s">
        <v>15</v>
      </c>
      <c r="E224" s="26">
        <v>7.65</v>
      </c>
      <c r="F224" s="26">
        <f>F223*E224</f>
        <v>110.16</v>
      </c>
      <c r="G224" s="417"/>
      <c r="H224" s="417">
        <f>F224*G224</f>
        <v>0</v>
      </c>
      <c r="I224" s="718"/>
      <c r="J224" s="718"/>
      <c r="K224" s="718"/>
      <c r="L224" s="718"/>
      <c r="M224" s="417">
        <f t="shared" si="6"/>
        <v>0</v>
      </c>
    </row>
    <row r="225" spans="1:13" s="29" customFormat="1" ht="13.5">
      <c r="A225" s="116"/>
      <c r="B225" s="31"/>
      <c r="C225" s="28" t="s">
        <v>44</v>
      </c>
      <c r="D225" s="28" t="s">
        <v>45</v>
      </c>
      <c r="E225" s="26">
        <v>0.348</v>
      </c>
      <c r="F225" s="26">
        <f>F223*E225</f>
        <v>5.011199999999999</v>
      </c>
      <c r="G225" s="718"/>
      <c r="H225" s="718"/>
      <c r="I225" s="718"/>
      <c r="J225" s="718"/>
      <c r="K225" s="417"/>
      <c r="L225" s="417">
        <f>F225*K225</f>
        <v>0</v>
      </c>
      <c r="M225" s="417">
        <f t="shared" si="6"/>
        <v>0</v>
      </c>
    </row>
    <row r="226" spans="1:13" s="370" customFormat="1" ht="27">
      <c r="A226" s="292"/>
      <c r="B226" s="293"/>
      <c r="C226" s="33" t="s">
        <v>357</v>
      </c>
      <c r="D226" s="33" t="s">
        <v>16</v>
      </c>
      <c r="E226" s="249">
        <v>1</v>
      </c>
      <c r="F226" s="249">
        <f>F223*E226</f>
        <v>14.399999999999999</v>
      </c>
      <c r="G226" s="731"/>
      <c r="H226" s="731"/>
      <c r="I226" s="732"/>
      <c r="J226" s="732">
        <f>F226*I226</f>
        <v>0</v>
      </c>
      <c r="K226" s="731"/>
      <c r="L226" s="731"/>
      <c r="M226" s="417">
        <f t="shared" si="6"/>
        <v>0</v>
      </c>
    </row>
    <row r="227" spans="1:13" s="31" customFormat="1" ht="13.5">
      <c r="A227" s="117"/>
      <c r="B227" s="118"/>
      <c r="C227" s="28" t="s">
        <v>47</v>
      </c>
      <c r="D227" s="28" t="s">
        <v>45</v>
      </c>
      <c r="E227" s="30">
        <v>0.656</v>
      </c>
      <c r="F227" s="26">
        <f>F223*E227</f>
        <v>9.446399999999999</v>
      </c>
      <c r="G227" s="718"/>
      <c r="H227" s="718"/>
      <c r="I227" s="417"/>
      <c r="J227" s="417">
        <f>F227*I227</f>
        <v>0</v>
      </c>
      <c r="K227" s="718"/>
      <c r="L227" s="718"/>
      <c r="M227" s="417">
        <f t="shared" si="6"/>
        <v>0</v>
      </c>
    </row>
    <row r="228" spans="1:13" s="31" customFormat="1" ht="27">
      <c r="A228" s="116">
        <v>27</v>
      </c>
      <c r="B228" s="116" t="s">
        <v>356</v>
      </c>
      <c r="C228" s="303" t="s">
        <v>822</v>
      </c>
      <c r="D228" s="28" t="s">
        <v>16</v>
      </c>
      <c r="E228" s="26"/>
      <c r="F228" s="26">
        <v>15.4</v>
      </c>
      <c r="G228" s="718"/>
      <c r="H228" s="718"/>
      <c r="I228" s="417"/>
      <c r="J228" s="417"/>
      <c r="K228" s="718"/>
      <c r="L228" s="718"/>
      <c r="M228" s="417">
        <f t="shared" si="6"/>
        <v>0</v>
      </c>
    </row>
    <row r="229" spans="1:13" s="29" customFormat="1" ht="13.5">
      <c r="A229" s="116"/>
      <c r="C229" s="28" t="s">
        <v>43</v>
      </c>
      <c r="D229" s="28" t="s">
        <v>15</v>
      </c>
      <c r="E229" s="26">
        <v>7.65</v>
      </c>
      <c r="F229" s="26">
        <f>F228*E229</f>
        <v>117.81</v>
      </c>
      <c r="G229" s="417"/>
      <c r="H229" s="417">
        <f>F229*G229</f>
        <v>0</v>
      </c>
      <c r="I229" s="718"/>
      <c r="J229" s="718"/>
      <c r="K229" s="718"/>
      <c r="L229" s="718"/>
      <c r="M229" s="417">
        <f t="shared" si="6"/>
        <v>0</v>
      </c>
    </row>
    <row r="230" spans="1:13" s="29" customFormat="1" ht="13.5">
      <c r="A230" s="116"/>
      <c r="B230" s="31"/>
      <c r="C230" s="28" t="s">
        <v>44</v>
      </c>
      <c r="D230" s="28" t="s">
        <v>45</v>
      </c>
      <c r="E230" s="26">
        <v>0.348</v>
      </c>
      <c r="F230" s="26">
        <f>F228*E230</f>
        <v>5.3591999999999995</v>
      </c>
      <c r="G230" s="718"/>
      <c r="H230" s="718"/>
      <c r="I230" s="718"/>
      <c r="J230" s="718"/>
      <c r="K230" s="417"/>
      <c r="L230" s="417">
        <f>F230*K230</f>
        <v>0</v>
      </c>
      <c r="M230" s="417">
        <f t="shared" si="6"/>
        <v>0</v>
      </c>
    </row>
    <row r="231" spans="1:13" s="29" customFormat="1" ht="13.5">
      <c r="A231" s="116"/>
      <c r="B231" s="31" t="s">
        <v>290</v>
      </c>
      <c r="C231" s="28" t="s">
        <v>358</v>
      </c>
      <c r="D231" s="28" t="s">
        <v>70</v>
      </c>
      <c r="E231" s="26">
        <f>(3.64+15.6)/100</f>
        <v>0.1924</v>
      </c>
      <c r="F231" s="26">
        <f>F228*E231</f>
        <v>2.96296</v>
      </c>
      <c r="G231" s="718"/>
      <c r="H231" s="718"/>
      <c r="I231" s="718"/>
      <c r="J231" s="718"/>
      <c r="K231" s="417"/>
      <c r="L231" s="417">
        <f>F231*K231</f>
        <v>0</v>
      </c>
      <c r="M231" s="417">
        <f t="shared" si="6"/>
        <v>0</v>
      </c>
    </row>
    <row r="232" spans="1:13" s="370" customFormat="1" ht="27">
      <c r="A232" s="292"/>
      <c r="B232" s="293"/>
      <c r="C232" s="33" t="s">
        <v>823</v>
      </c>
      <c r="D232" s="33" t="s">
        <v>16</v>
      </c>
      <c r="E232" s="249">
        <v>1</v>
      </c>
      <c r="F232" s="249">
        <f>F228*E232</f>
        <v>15.4</v>
      </c>
      <c r="G232" s="731"/>
      <c r="H232" s="731"/>
      <c r="I232" s="732"/>
      <c r="J232" s="732">
        <f>F232*I232</f>
        <v>0</v>
      </c>
      <c r="K232" s="731"/>
      <c r="L232" s="731"/>
      <c r="M232" s="417">
        <f t="shared" si="6"/>
        <v>0</v>
      </c>
    </row>
    <row r="233" spans="1:13" s="31" customFormat="1" ht="13.5">
      <c r="A233" s="117"/>
      <c r="B233" s="118"/>
      <c r="C233" s="28" t="s">
        <v>47</v>
      </c>
      <c r="D233" s="28" t="s">
        <v>45</v>
      </c>
      <c r="E233" s="30">
        <v>0.656</v>
      </c>
      <c r="F233" s="26">
        <f>F228*E233</f>
        <v>10.102400000000001</v>
      </c>
      <c r="G233" s="718"/>
      <c r="H233" s="718"/>
      <c r="I233" s="417"/>
      <c r="J233" s="417">
        <f>F233*I233</f>
        <v>0</v>
      </c>
      <c r="K233" s="718"/>
      <c r="L233" s="718"/>
      <c r="M233" s="417">
        <f t="shared" si="6"/>
        <v>0</v>
      </c>
    </row>
    <row r="234" spans="1:13" s="289" customFormat="1" ht="42.75" customHeight="1">
      <c r="A234" s="292">
        <v>18</v>
      </c>
      <c r="B234" s="364" t="s">
        <v>571</v>
      </c>
      <c r="C234" s="135" t="s">
        <v>751</v>
      </c>
      <c r="D234" s="33" t="s">
        <v>16</v>
      </c>
      <c r="E234" s="249"/>
      <c r="F234" s="249">
        <v>44</v>
      </c>
      <c r="G234" s="731"/>
      <c r="H234" s="731"/>
      <c r="I234" s="732"/>
      <c r="J234" s="732"/>
      <c r="K234" s="731"/>
      <c r="L234" s="731"/>
      <c r="M234" s="417">
        <f t="shared" si="6"/>
        <v>0</v>
      </c>
    </row>
    <row r="235" spans="1:13" s="278" customFormat="1" ht="13.5">
      <c r="A235" s="116"/>
      <c r="B235" s="253" t="s">
        <v>572</v>
      </c>
      <c r="C235" s="28" t="s">
        <v>43</v>
      </c>
      <c r="D235" s="33" t="s">
        <v>15</v>
      </c>
      <c r="E235" s="33">
        <v>1.99</v>
      </c>
      <c r="F235" s="33">
        <f>F234*E235</f>
        <v>87.56</v>
      </c>
      <c r="G235" s="417"/>
      <c r="H235" s="417">
        <f>F235*G235</f>
        <v>0</v>
      </c>
      <c r="I235" s="718"/>
      <c r="J235" s="718"/>
      <c r="K235" s="718"/>
      <c r="L235" s="718"/>
      <c r="M235" s="417">
        <f t="shared" si="6"/>
        <v>0</v>
      </c>
    </row>
    <row r="236" spans="1:13" s="278" customFormat="1" ht="13.5">
      <c r="A236" s="116"/>
      <c r="B236" s="31"/>
      <c r="C236" s="28" t="s">
        <v>44</v>
      </c>
      <c r="D236" s="28" t="s">
        <v>45</v>
      </c>
      <c r="E236" s="30">
        <f>4.5/100</f>
        <v>0.045</v>
      </c>
      <c r="F236" s="26">
        <f>F234*E236</f>
        <v>1.98</v>
      </c>
      <c r="G236" s="718"/>
      <c r="H236" s="718"/>
      <c r="I236" s="718"/>
      <c r="J236" s="718"/>
      <c r="K236" s="417"/>
      <c r="L236" s="417">
        <f>F236*K236</f>
        <v>0</v>
      </c>
      <c r="M236" s="417">
        <f t="shared" si="6"/>
        <v>0</v>
      </c>
    </row>
    <row r="237" spans="1:13" s="278" customFormat="1" ht="27">
      <c r="A237" s="116"/>
      <c r="B237" s="31"/>
      <c r="C237" s="280" t="s">
        <v>885</v>
      </c>
      <c r="D237" s="28" t="s">
        <v>16</v>
      </c>
      <c r="E237" s="26">
        <v>1.05</v>
      </c>
      <c r="F237" s="26">
        <f>F234*E237</f>
        <v>46.2</v>
      </c>
      <c r="G237" s="718"/>
      <c r="H237" s="718"/>
      <c r="I237" s="417"/>
      <c r="J237" s="417">
        <f>F237*I237</f>
        <v>0</v>
      </c>
      <c r="K237" s="718"/>
      <c r="L237" s="718"/>
      <c r="M237" s="417">
        <f t="shared" si="6"/>
        <v>0</v>
      </c>
    </row>
    <row r="238" spans="1:13" s="278" customFormat="1" ht="13.5">
      <c r="A238" s="117"/>
      <c r="B238" s="118"/>
      <c r="C238" s="28" t="s">
        <v>47</v>
      </c>
      <c r="D238" s="28" t="s">
        <v>45</v>
      </c>
      <c r="E238" s="30">
        <v>0.294</v>
      </c>
      <c r="F238" s="26">
        <f>F234*E238</f>
        <v>12.936</v>
      </c>
      <c r="G238" s="718"/>
      <c r="H238" s="718"/>
      <c r="I238" s="417"/>
      <c r="J238" s="417">
        <f>F238*I238</f>
        <v>0</v>
      </c>
      <c r="K238" s="718"/>
      <c r="L238" s="718"/>
      <c r="M238" s="417">
        <f t="shared" si="6"/>
        <v>0</v>
      </c>
    </row>
    <row r="239" spans="1:13" s="289" customFormat="1" ht="25.5" customHeight="1">
      <c r="A239" s="292">
        <v>18</v>
      </c>
      <c r="B239" s="364"/>
      <c r="C239" s="135" t="s">
        <v>752</v>
      </c>
      <c r="D239" s="33" t="s">
        <v>51</v>
      </c>
      <c r="E239" s="249"/>
      <c r="F239" s="249">
        <v>6</v>
      </c>
      <c r="G239" s="731"/>
      <c r="H239" s="731"/>
      <c r="I239" s="732"/>
      <c r="J239" s="732"/>
      <c r="K239" s="731"/>
      <c r="L239" s="731"/>
      <c r="M239" s="417">
        <f t="shared" si="6"/>
        <v>0</v>
      </c>
    </row>
    <row r="240" spans="1:13" s="278" customFormat="1" ht="13.5">
      <c r="A240" s="116"/>
      <c r="B240" s="253" t="s">
        <v>573</v>
      </c>
      <c r="C240" s="28" t="s">
        <v>43</v>
      </c>
      <c r="D240" s="33" t="s">
        <v>51</v>
      </c>
      <c r="E240" s="33">
        <v>1</v>
      </c>
      <c r="F240" s="33">
        <f>F239*E240</f>
        <v>6</v>
      </c>
      <c r="G240" s="417"/>
      <c r="H240" s="417">
        <f>F240*G240</f>
        <v>0</v>
      </c>
      <c r="I240" s="718"/>
      <c r="J240" s="718"/>
      <c r="K240" s="718"/>
      <c r="L240" s="718"/>
      <c r="M240" s="417">
        <f t="shared" si="6"/>
        <v>0</v>
      </c>
    </row>
    <row r="241" spans="1:13" s="278" customFormat="1" ht="16.5" customHeight="1">
      <c r="A241" s="116"/>
      <c r="B241" s="31"/>
      <c r="C241" s="280" t="s">
        <v>574</v>
      </c>
      <c r="D241" s="28" t="s">
        <v>51</v>
      </c>
      <c r="E241" s="26">
        <v>1</v>
      </c>
      <c r="F241" s="26">
        <f>F239*E241</f>
        <v>6</v>
      </c>
      <c r="G241" s="718"/>
      <c r="H241" s="718"/>
      <c r="I241" s="417"/>
      <c r="J241" s="417">
        <f>F241*I241</f>
        <v>0</v>
      </c>
      <c r="K241" s="718"/>
      <c r="L241" s="718"/>
      <c r="M241" s="417">
        <f t="shared" si="6"/>
        <v>0</v>
      </c>
    </row>
    <row r="242" spans="1:13" s="289" customFormat="1" ht="27">
      <c r="A242" s="306">
        <v>18</v>
      </c>
      <c r="B242" s="374"/>
      <c r="C242" s="135" t="s">
        <v>588</v>
      </c>
      <c r="D242" s="33" t="s">
        <v>51</v>
      </c>
      <c r="E242" s="249"/>
      <c r="F242" s="249">
        <v>4</v>
      </c>
      <c r="G242" s="731"/>
      <c r="H242" s="731"/>
      <c r="I242" s="732"/>
      <c r="J242" s="732"/>
      <c r="K242" s="731"/>
      <c r="L242" s="731"/>
      <c r="M242" s="417">
        <f t="shared" si="6"/>
        <v>0</v>
      </c>
    </row>
    <row r="243" spans="1:13" s="278" customFormat="1" ht="13.5">
      <c r="A243" s="116"/>
      <c r="B243" s="253" t="s">
        <v>573</v>
      </c>
      <c r="C243" s="28" t="s">
        <v>43</v>
      </c>
      <c r="D243" s="33" t="s">
        <v>51</v>
      </c>
      <c r="E243" s="33">
        <v>1</v>
      </c>
      <c r="F243" s="33">
        <f>F242*E243</f>
        <v>4</v>
      </c>
      <c r="G243" s="417"/>
      <c r="H243" s="417">
        <f>F243*G243</f>
        <v>0</v>
      </c>
      <c r="I243" s="718"/>
      <c r="J243" s="718"/>
      <c r="K243" s="718"/>
      <c r="L243" s="718"/>
      <c r="M243" s="417">
        <f t="shared" si="6"/>
        <v>0</v>
      </c>
    </row>
    <row r="244" spans="1:13" s="278" customFormat="1" ht="13.5">
      <c r="A244" s="117"/>
      <c r="B244" s="118"/>
      <c r="C244" s="280" t="s">
        <v>575</v>
      </c>
      <c r="D244" s="28" t="s">
        <v>51</v>
      </c>
      <c r="E244" s="26">
        <v>1</v>
      </c>
      <c r="F244" s="26">
        <f>F242*E244</f>
        <v>4</v>
      </c>
      <c r="G244" s="718"/>
      <c r="H244" s="718"/>
      <c r="I244" s="417"/>
      <c r="J244" s="417">
        <f>F244*I244</f>
        <v>0</v>
      </c>
      <c r="K244" s="718"/>
      <c r="L244" s="718"/>
      <c r="M244" s="417">
        <f t="shared" si="6"/>
        <v>0</v>
      </c>
    </row>
    <row r="245" spans="1:13" s="289" customFormat="1" ht="27">
      <c r="A245" s="292">
        <v>3</v>
      </c>
      <c r="B245" s="367" t="s">
        <v>576</v>
      </c>
      <c r="C245" s="135" t="s">
        <v>753</v>
      </c>
      <c r="D245" s="33" t="s">
        <v>16</v>
      </c>
      <c r="E245" s="249"/>
      <c r="F245" s="249">
        <f>6*1.2*4*0.6+4*2*4*0.6</f>
        <v>36.48</v>
      </c>
      <c r="G245" s="731"/>
      <c r="H245" s="731"/>
      <c r="I245" s="731"/>
      <c r="J245" s="731"/>
      <c r="K245" s="731"/>
      <c r="L245" s="731"/>
      <c r="M245" s="417">
        <f t="shared" si="6"/>
        <v>0</v>
      </c>
    </row>
    <row r="246" spans="1:13" s="278" customFormat="1" ht="13.5">
      <c r="A246" s="116"/>
      <c r="C246" s="28" t="s">
        <v>43</v>
      </c>
      <c r="D246" s="28" t="s">
        <v>15</v>
      </c>
      <c r="E246" s="26">
        <v>0.391</v>
      </c>
      <c r="F246" s="26">
        <f>F245*E246</f>
        <v>14.263679999999999</v>
      </c>
      <c r="G246" s="417"/>
      <c r="H246" s="417">
        <f>F246*G246</f>
        <v>0</v>
      </c>
      <c r="I246" s="718"/>
      <c r="J246" s="718"/>
      <c r="K246" s="718"/>
      <c r="L246" s="718"/>
      <c r="M246" s="417">
        <f t="shared" si="6"/>
        <v>0</v>
      </c>
    </row>
    <row r="247" spans="1:13" s="278" customFormat="1" ht="13.5">
      <c r="A247" s="116"/>
      <c r="B247" s="253"/>
      <c r="C247" s="28" t="s">
        <v>44</v>
      </c>
      <c r="D247" s="28" t="s">
        <v>45</v>
      </c>
      <c r="E247" s="30">
        <v>0.0284</v>
      </c>
      <c r="F247" s="26">
        <f>F245*E247</f>
        <v>1.036032</v>
      </c>
      <c r="G247" s="718"/>
      <c r="H247" s="718"/>
      <c r="I247" s="718"/>
      <c r="J247" s="718"/>
      <c r="K247" s="417"/>
      <c r="L247" s="417">
        <f>F247*K247</f>
        <v>0</v>
      </c>
      <c r="M247" s="417">
        <f t="shared" si="6"/>
        <v>0</v>
      </c>
    </row>
    <row r="248" spans="1:13" s="278" customFormat="1" ht="13.5">
      <c r="A248" s="116"/>
      <c r="B248" s="253"/>
      <c r="C248" s="28" t="s">
        <v>579</v>
      </c>
      <c r="D248" s="28" t="s">
        <v>16</v>
      </c>
      <c r="E248" s="30">
        <v>1</v>
      </c>
      <c r="F248" s="26">
        <f>F245*E248</f>
        <v>36.48</v>
      </c>
      <c r="G248" s="718"/>
      <c r="H248" s="718"/>
      <c r="I248" s="417"/>
      <c r="J248" s="417">
        <f>F248*I248</f>
        <v>0</v>
      </c>
      <c r="K248" s="718"/>
      <c r="L248" s="718"/>
      <c r="M248" s="417">
        <f t="shared" si="6"/>
        <v>0</v>
      </c>
    </row>
    <row r="249" spans="1:13" s="278" customFormat="1" ht="13.5">
      <c r="A249" s="116"/>
      <c r="B249" s="253"/>
      <c r="C249" s="28" t="s">
        <v>577</v>
      </c>
      <c r="D249" s="28" t="s">
        <v>49</v>
      </c>
      <c r="E249" s="26">
        <v>0.072</v>
      </c>
      <c r="F249" s="26">
        <f>F245*E249</f>
        <v>2.6265599999999996</v>
      </c>
      <c r="G249" s="718"/>
      <c r="H249" s="718"/>
      <c r="I249" s="417"/>
      <c r="J249" s="417">
        <f>F249*I249</f>
        <v>0</v>
      </c>
      <c r="K249" s="718"/>
      <c r="L249" s="718"/>
      <c r="M249" s="417">
        <f t="shared" si="6"/>
        <v>0</v>
      </c>
    </row>
    <row r="250" spans="1:13" s="278" customFormat="1" ht="13.5">
      <c r="A250" s="117"/>
      <c r="B250" s="118"/>
      <c r="C250" s="28" t="s">
        <v>578</v>
      </c>
      <c r="D250" s="28" t="s">
        <v>45</v>
      </c>
      <c r="E250" s="30">
        <v>0.0055</v>
      </c>
      <c r="F250" s="26">
        <f>F245*E250</f>
        <v>0.20063999999999999</v>
      </c>
      <c r="G250" s="718"/>
      <c r="H250" s="718"/>
      <c r="I250" s="417"/>
      <c r="J250" s="417">
        <f>F250*I250</f>
        <v>0</v>
      </c>
      <c r="K250" s="718"/>
      <c r="L250" s="718"/>
      <c r="M250" s="417">
        <f t="shared" si="6"/>
        <v>0</v>
      </c>
    </row>
    <row r="251" spans="1:13" s="293" customFormat="1" ht="27">
      <c r="A251" s="312"/>
      <c r="B251" s="308" t="s">
        <v>580</v>
      </c>
      <c r="C251" s="135" t="s">
        <v>754</v>
      </c>
      <c r="D251" s="33" t="s">
        <v>581</v>
      </c>
      <c r="E251" s="33"/>
      <c r="F251" s="33">
        <v>1</v>
      </c>
      <c r="G251" s="732"/>
      <c r="H251" s="732"/>
      <c r="I251" s="732"/>
      <c r="J251" s="732"/>
      <c r="K251" s="731"/>
      <c r="L251" s="731"/>
      <c r="M251" s="417">
        <f t="shared" si="6"/>
        <v>0</v>
      </c>
    </row>
    <row r="252" spans="1:13" s="31" customFormat="1" ht="13.5">
      <c r="A252" s="116"/>
      <c r="B252" s="116"/>
      <c r="C252" s="28" t="s">
        <v>43</v>
      </c>
      <c r="D252" s="28" t="s">
        <v>15</v>
      </c>
      <c r="E252" s="26">
        <v>10</v>
      </c>
      <c r="F252" s="26">
        <f>F251*E252</f>
        <v>10</v>
      </c>
      <c r="G252" s="417"/>
      <c r="H252" s="417">
        <f>F252*G252</f>
        <v>0</v>
      </c>
      <c r="I252" s="718"/>
      <c r="J252" s="718"/>
      <c r="K252" s="718"/>
      <c r="L252" s="718"/>
      <c r="M252" s="417">
        <f t="shared" si="6"/>
        <v>0</v>
      </c>
    </row>
    <row r="253" spans="1:13" s="31" customFormat="1" ht="13.5">
      <c r="A253" s="313"/>
      <c r="B253" s="115" t="s">
        <v>582</v>
      </c>
      <c r="C253" s="28" t="s">
        <v>583</v>
      </c>
      <c r="D253" s="28" t="s">
        <v>70</v>
      </c>
      <c r="E253" s="28">
        <v>1.12</v>
      </c>
      <c r="F253" s="26">
        <f>F251*E253</f>
        <v>1.12</v>
      </c>
      <c r="G253" s="417"/>
      <c r="H253" s="417"/>
      <c r="I253" s="417"/>
      <c r="J253" s="417"/>
      <c r="K253" s="417"/>
      <c r="L253" s="417">
        <f>F253*K253</f>
        <v>0</v>
      </c>
      <c r="M253" s="417">
        <f t="shared" si="6"/>
        <v>0</v>
      </c>
    </row>
    <row r="254" spans="1:13" s="31" customFormat="1" ht="13.5">
      <c r="A254" s="313"/>
      <c r="B254" s="115"/>
      <c r="C254" s="28" t="s">
        <v>624</v>
      </c>
      <c r="D254" s="28" t="s">
        <v>46</v>
      </c>
      <c r="E254" s="28"/>
      <c r="F254" s="26">
        <f>(6*1.2*1.2*0.6+2*2*0.6*4)*1.1</f>
        <v>16.2624</v>
      </c>
      <c r="G254" s="417"/>
      <c r="H254" s="417"/>
      <c r="I254" s="417"/>
      <c r="J254" s="417">
        <f>F254*I254</f>
        <v>0</v>
      </c>
      <c r="K254" s="417"/>
      <c r="L254" s="417"/>
      <c r="M254" s="417">
        <f t="shared" si="6"/>
        <v>0</v>
      </c>
    </row>
    <row r="255" spans="1:13" s="31" customFormat="1" ht="34.5" customHeight="1">
      <c r="A255" s="313"/>
      <c r="B255" s="115"/>
      <c r="C255" s="33" t="s">
        <v>623</v>
      </c>
      <c r="D255" s="150" t="s">
        <v>51</v>
      </c>
      <c r="E255" s="150">
        <v>10</v>
      </c>
      <c r="F255" s="256">
        <f>F251*E255</f>
        <v>10</v>
      </c>
      <c r="G255" s="589"/>
      <c r="H255" s="589"/>
      <c r="I255" s="589"/>
      <c r="J255" s="589">
        <f>F255*I255</f>
        <v>0</v>
      </c>
      <c r="K255" s="725"/>
      <c r="L255" s="725"/>
      <c r="M255" s="417">
        <f t="shared" si="6"/>
        <v>0</v>
      </c>
    </row>
    <row r="256" spans="1:13" s="31" customFormat="1" ht="13.5">
      <c r="A256" s="290"/>
      <c r="B256" s="118"/>
      <c r="C256" s="28" t="s">
        <v>584</v>
      </c>
      <c r="D256" s="28" t="s">
        <v>46</v>
      </c>
      <c r="E256" s="28">
        <v>1.07</v>
      </c>
      <c r="F256" s="26">
        <f>F251*E256</f>
        <v>1.07</v>
      </c>
      <c r="G256" s="417"/>
      <c r="H256" s="417"/>
      <c r="I256" s="417"/>
      <c r="J256" s="417">
        <f>F256*I256</f>
        <v>0</v>
      </c>
      <c r="K256" s="718"/>
      <c r="L256" s="718"/>
      <c r="M256" s="417">
        <f t="shared" si="6"/>
        <v>0</v>
      </c>
    </row>
    <row r="257" spans="1:13" s="289" customFormat="1" ht="40.5">
      <c r="A257" s="306">
        <v>18</v>
      </c>
      <c r="B257" s="374"/>
      <c r="C257" s="135" t="s">
        <v>755</v>
      </c>
      <c r="D257" s="33" t="s">
        <v>51</v>
      </c>
      <c r="E257" s="249"/>
      <c r="F257" s="249">
        <v>16</v>
      </c>
      <c r="G257" s="731"/>
      <c r="H257" s="731"/>
      <c r="I257" s="732"/>
      <c r="J257" s="732"/>
      <c r="K257" s="731"/>
      <c r="L257" s="731"/>
      <c r="M257" s="417">
        <f t="shared" si="6"/>
        <v>0</v>
      </c>
    </row>
    <row r="258" spans="1:13" s="278" customFormat="1" ht="13.5">
      <c r="A258" s="116"/>
      <c r="B258" s="253" t="s">
        <v>573</v>
      </c>
      <c r="C258" s="28" t="s">
        <v>43</v>
      </c>
      <c r="D258" s="33" t="s">
        <v>51</v>
      </c>
      <c r="E258" s="33">
        <v>1</v>
      </c>
      <c r="F258" s="33">
        <f>F257*E258</f>
        <v>16</v>
      </c>
      <c r="G258" s="417"/>
      <c r="H258" s="417">
        <f>F258*G258</f>
        <v>0</v>
      </c>
      <c r="I258" s="718"/>
      <c r="J258" s="718"/>
      <c r="K258" s="718"/>
      <c r="L258" s="718"/>
      <c r="M258" s="417">
        <f t="shared" si="6"/>
        <v>0</v>
      </c>
    </row>
    <row r="259" spans="1:13" s="278" customFormat="1" ht="13.5">
      <c r="A259" s="117"/>
      <c r="B259" s="118"/>
      <c r="C259" s="280" t="s">
        <v>625</v>
      </c>
      <c r="D259" s="28" t="s">
        <v>51</v>
      </c>
      <c r="E259" s="26">
        <v>1</v>
      </c>
      <c r="F259" s="26">
        <f>F257*E259</f>
        <v>16</v>
      </c>
      <c r="G259" s="718"/>
      <c r="H259" s="718"/>
      <c r="I259" s="417"/>
      <c r="J259" s="417">
        <f>F259*I259</f>
        <v>0</v>
      </c>
      <c r="K259" s="718"/>
      <c r="L259" s="718"/>
      <c r="M259" s="417">
        <f t="shared" si="6"/>
        <v>0</v>
      </c>
    </row>
    <row r="260" spans="1:13" s="370" customFormat="1" ht="27">
      <c r="A260" s="292">
        <v>4</v>
      </c>
      <c r="B260" s="292" t="s">
        <v>113</v>
      </c>
      <c r="C260" s="135" t="s">
        <v>756</v>
      </c>
      <c r="D260" s="33" t="s">
        <v>200</v>
      </c>
      <c r="E260" s="34"/>
      <c r="F260" s="238">
        <f>11.36/100</f>
        <v>0.11359999999999999</v>
      </c>
      <c r="G260" s="731"/>
      <c r="H260" s="731"/>
      <c r="I260" s="732"/>
      <c r="J260" s="732"/>
      <c r="K260" s="731"/>
      <c r="L260" s="731"/>
      <c r="M260" s="417">
        <f t="shared" si="6"/>
        <v>0</v>
      </c>
    </row>
    <row r="261" spans="1:13" s="29" customFormat="1" ht="13.5">
      <c r="A261" s="116"/>
      <c r="C261" s="28" t="s">
        <v>43</v>
      </c>
      <c r="D261" s="28" t="s">
        <v>15</v>
      </c>
      <c r="E261" s="27">
        <v>83</v>
      </c>
      <c r="F261" s="27">
        <f>F260*E261</f>
        <v>9.428799999999999</v>
      </c>
      <c r="G261" s="417"/>
      <c r="H261" s="417">
        <f>F261*G261</f>
        <v>0</v>
      </c>
      <c r="I261" s="718"/>
      <c r="J261" s="718"/>
      <c r="K261" s="718"/>
      <c r="L261" s="718"/>
      <c r="M261" s="417">
        <f t="shared" si="6"/>
        <v>0</v>
      </c>
    </row>
    <row r="262" spans="1:13" s="31" customFormat="1" ht="13.5">
      <c r="A262" s="116"/>
      <c r="C262" s="28" t="s">
        <v>44</v>
      </c>
      <c r="D262" s="28" t="s">
        <v>45</v>
      </c>
      <c r="E262" s="27">
        <v>0.41</v>
      </c>
      <c r="F262" s="27">
        <f>F260*E262</f>
        <v>0.04657599999999999</v>
      </c>
      <c r="G262" s="718"/>
      <c r="H262" s="718"/>
      <c r="I262" s="417"/>
      <c r="J262" s="417"/>
      <c r="K262" s="417"/>
      <c r="L262" s="417">
        <f>F262*K262</f>
        <v>0</v>
      </c>
      <c r="M262" s="417">
        <f t="shared" si="6"/>
        <v>0</v>
      </c>
    </row>
    <row r="263" spans="1:13" s="29" customFormat="1" ht="13.5">
      <c r="A263" s="116"/>
      <c r="B263" s="31"/>
      <c r="C263" s="28" t="s">
        <v>724</v>
      </c>
      <c r="D263" s="28" t="s">
        <v>94</v>
      </c>
      <c r="E263" s="27">
        <f>100*1.05</f>
        <v>105</v>
      </c>
      <c r="F263" s="27">
        <f>F260*E263</f>
        <v>11.927999999999999</v>
      </c>
      <c r="G263" s="718"/>
      <c r="H263" s="718"/>
      <c r="I263" s="417"/>
      <c r="J263" s="417">
        <f>F263*I263</f>
        <v>0</v>
      </c>
      <c r="K263" s="718"/>
      <c r="L263" s="718"/>
      <c r="M263" s="417">
        <f t="shared" si="6"/>
        <v>0</v>
      </c>
    </row>
    <row r="264" spans="1:13" s="29" customFormat="1" ht="13.5">
      <c r="A264" s="117"/>
      <c r="B264" s="118"/>
      <c r="C264" s="28" t="s">
        <v>47</v>
      </c>
      <c r="D264" s="28" t="s">
        <v>45</v>
      </c>
      <c r="E264" s="27">
        <v>7.8</v>
      </c>
      <c r="F264" s="27">
        <f>F260*E264</f>
        <v>0.8860799999999999</v>
      </c>
      <c r="G264" s="718"/>
      <c r="H264" s="718"/>
      <c r="I264" s="417"/>
      <c r="J264" s="417">
        <f>F264*I264</f>
        <v>0</v>
      </c>
      <c r="K264" s="718"/>
      <c r="L264" s="718"/>
      <c r="M264" s="417">
        <f t="shared" si="6"/>
        <v>0</v>
      </c>
    </row>
    <row r="265" spans="1:13" s="115" customFormat="1" ht="27">
      <c r="A265" s="116">
        <v>3</v>
      </c>
      <c r="B265" s="116" t="s">
        <v>725</v>
      </c>
      <c r="C265" s="114" t="s">
        <v>757</v>
      </c>
      <c r="D265" s="393" t="s">
        <v>745</v>
      </c>
      <c r="E265" s="326"/>
      <c r="F265" s="365">
        <v>21</v>
      </c>
      <c r="G265" s="739"/>
      <c r="H265" s="740"/>
      <c r="I265" s="739"/>
      <c r="J265" s="740"/>
      <c r="K265" s="741"/>
      <c r="L265" s="742"/>
      <c r="M265" s="417">
        <f t="shared" si="6"/>
        <v>0</v>
      </c>
    </row>
    <row r="266" spans="1:13" s="115" customFormat="1" ht="13.5">
      <c r="A266" s="116"/>
      <c r="B266" s="31"/>
      <c r="C266" s="28" t="s">
        <v>43</v>
      </c>
      <c r="D266" s="28" t="s">
        <v>15</v>
      </c>
      <c r="E266" s="26">
        <v>0.73</v>
      </c>
      <c r="F266" s="26">
        <f>F265*E266</f>
        <v>15.33</v>
      </c>
      <c r="G266" s="417"/>
      <c r="H266" s="417">
        <f>F266*G266</f>
        <v>0</v>
      </c>
      <c r="I266" s="718"/>
      <c r="J266" s="718"/>
      <c r="K266" s="718"/>
      <c r="L266" s="718"/>
      <c r="M266" s="417">
        <f t="shared" si="6"/>
        <v>0</v>
      </c>
    </row>
    <row r="267" spans="1:13" s="115" customFormat="1" ht="13.5">
      <c r="A267" s="116"/>
      <c r="B267" s="31"/>
      <c r="C267" s="28" t="s">
        <v>44</v>
      </c>
      <c r="D267" s="28" t="s">
        <v>45</v>
      </c>
      <c r="E267" s="26">
        <v>0.099</v>
      </c>
      <c r="F267" s="26">
        <f>F265*E267</f>
        <v>2.079</v>
      </c>
      <c r="G267" s="718"/>
      <c r="H267" s="718"/>
      <c r="I267" s="417"/>
      <c r="J267" s="417"/>
      <c r="K267" s="417"/>
      <c r="L267" s="417">
        <f>F267*K267</f>
        <v>0</v>
      </c>
      <c r="M267" s="417">
        <f t="shared" si="6"/>
        <v>0</v>
      </c>
    </row>
    <row r="268" spans="1:13" s="115" customFormat="1" ht="13.5">
      <c r="A268" s="116"/>
      <c r="B268" s="31"/>
      <c r="C268" s="28" t="s">
        <v>824</v>
      </c>
      <c r="D268" s="28" t="s">
        <v>51</v>
      </c>
      <c r="E268" s="26">
        <v>1</v>
      </c>
      <c r="F268" s="26">
        <f>F265*E268</f>
        <v>21</v>
      </c>
      <c r="G268" s="718"/>
      <c r="H268" s="718"/>
      <c r="I268" s="417"/>
      <c r="J268" s="417">
        <f>F268*I268</f>
        <v>0</v>
      </c>
      <c r="K268" s="718"/>
      <c r="L268" s="718"/>
      <c r="M268" s="417">
        <f t="shared" si="6"/>
        <v>0</v>
      </c>
    </row>
    <row r="269" spans="1:13" s="115" customFormat="1" ht="13.5">
      <c r="A269" s="117"/>
      <c r="B269" s="118"/>
      <c r="C269" s="28" t="s">
        <v>47</v>
      </c>
      <c r="D269" s="28" t="s">
        <v>45</v>
      </c>
      <c r="E269" s="26">
        <v>0.18</v>
      </c>
      <c r="F269" s="26">
        <f>F265*E269</f>
        <v>3.78</v>
      </c>
      <c r="G269" s="718"/>
      <c r="H269" s="718"/>
      <c r="I269" s="417"/>
      <c r="J269" s="417">
        <f>F269*I269</f>
        <v>0</v>
      </c>
      <c r="K269" s="718"/>
      <c r="L269" s="718"/>
      <c r="M269" s="417">
        <f t="shared" si="6"/>
        <v>0</v>
      </c>
    </row>
    <row r="270" spans="1:13" s="380" customFormat="1" ht="36" customHeight="1">
      <c r="A270" s="376">
        <v>29</v>
      </c>
      <c r="B270" s="377" t="s">
        <v>95</v>
      </c>
      <c r="C270" s="378" t="s">
        <v>96</v>
      </c>
      <c r="D270" s="379" t="s">
        <v>97</v>
      </c>
      <c r="E270" s="379"/>
      <c r="F270" s="394">
        <v>985</v>
      </c>
      <c r="G270" s="743"/>
      <c r="H270" s="744">
        <f>F270*G270</f>
        <v>0</v>
      </c>
      <c r="I270" s="743"/>
      <c r="J270" s="744">
        <f aca="true" t="shared" si="7" ref="J270:J277">F270*I270</f>
        <v>0</v>
      </c>
      <c r="K270" s="743"/>
      <c r="L270" s="744">
        <f>F270*K270</f>
        <v>0</v>
      </c>
      <c r="M270" s="417">
        <f t="shared" si="6"/>
        <v>0</v>
      </c>
    </row>
    <row r="271" spans="1:13" s="382" customFormat="1" ht="13.5">
      <c r="A271" s="376"/>
      <c r="B271" s="377"/>
      <c r="C271" s="33" t="s">
        <v>48</v>
      </c>
      <c r="D271" s="381" t="s">
        <v>15</v>
      </c>
      <c r="E271" s="381">
        <f>(45.8)*0.01</f>
        <v>0.45799999999999996</v>
      </c>
      <c r="F271" s="26">
        <f>E271*F270</f>
        <v>451.12999999999994</v>
      </c>
      <c r="G271" s="745"/>
      <c r="H271" s="589">
        <f>F271*G271</f>
        <v>0</v>
      </c>
      <c r="I271" s="745"/>
      <c r="J271" s="589">
        <f t="shared" si="7"/>
        <v>0</v>
      </c>
      <c r="K271" s="745"/>
      <c r="L271" s="589">
        <f>F271*K271</f>
        <v>0</v>
      </c>
      <c r="M271" s="417">
        <f t="shared" si="6"/>
        <v>0</v>
      </c>
    </row>
    <row r="272" spans="1:13" s="382" customFormat="1" ht="13.5">
      <c r="A272" s="376"/>
      <c r="B272" s="377"/>
      <c r="C272" s="33" t="s">
        <v>98</v>
      </c>
      <c r="D272" s="381"/>
      <c r="E272" s="381" t="s">
        <v>99</v>
      </c>
      <c r="F272" s="26"/>
      <c r="G272" s="745"/>
      <c r="H272" s="589"/>
      <c r="I272" s="745"/>
      <c r="J272" s="589">
        <f t="shared" si="7"/>
        <v>0</v>
      </c>
      <c r="K272" s="745"/>
      <c r="L272" s="589">
        <f>F272*K272</f>
        <v>0</v>
      </c>
      <c r="M272" s="417">
        <f t="shared" si="6"/>
        <v>0</v>
      </c>
    </row>
    <row r="273" spans="1:13" s="380" customFormat="1" ht="13.5">
      <c r="A273" s="376"/>
      <c r="B273" s="383"/>
      <c r="C273" s="33" t="s">
        <v>100</v>
      </c>
      <c r="D273" s="381" t="s">
        <v>45</v>
      </c>
      <c r="E273" s="381">
        <f>(0.23)*0.01</f>
        <v>0.0023</v>
      </c>
      <c r="F273" s="26">
        <f>E273*F270</f>
        <v>2.2655</v>
      </c>
      <c r="G273" s="745"/>
      <c r="H273" s="589"/>
      <c r="I273" s="745"/>
      <c r="J273" s="589">
        <f t="shared" si="7"/>
        <v>0</v>
      </c>
      <c r="K273" s="745"/>
      <c r="L273" s="589">
        <f>F273*K273</f>
        <v>0</v>
      </c>
      <c r="M273" s="417">
        <f t="shared" si="6"/>
        <v>0</v>
      </c>
    </row>
    <row r="274" spans="1:13" s="382" customFormat="1" ht="13.5">
      <c r="A274" s="376"/>
      <c r="B274" s="377" t="s">
        <v>101</v>
      </c>
      <c r="C274" s="33" t="s">
        <v>102</v>
      </c>
      <c r="D274" s="381"/>
      <c r="E274" s="381"/>
      <c r="F274" s="26"/>
      <c r="G274" s="745"/>
      <c r="H274" s="589"/>
      <c r="I274" s="745"/>
      <c r="J274" s="589">
        <f t="shared" si="7"/>
        <v>0</v>
      </c>
      <c r="K274" s="745"/>
      <c r="L274" s="589"/>
      <c r="M274" s="417">
        <f>L274+J274+H274</f>
        <v>0</v>
      </c>
    </row>
    <row r="275" spans="1:13" s="382" customFormat="1" ht="14.25" customHeight="1">
      <c r="A275" s="376"/>
      <c r="B275" s="377" t="s">
        <v>103</v>
      </c>
      <c r="C275" s="33" t="s">
        <v>104</v>
      </c>
      <c r="D275" s="381" t="s">
        <v>105</v>
      </c>
      <c r="E275" s="384">
        <f>0.037*0.01</f>
        <v>0.00037</v>
      </c>
      <c r="F275" s="26">
        <f>E275*F270</f>
        <v>0.36445</v>
      </c>
      <c r="G275" s="745"/>
      <c r="H275" s="589"/>
      <c r="I275" s="745"/>
      <c r="J275" s="746">
        <f t="shared" si="7"/>
        <v>0</v>
      </c>
      <c r="K275" s="745"/>
      <c r="L275" s="589"/>
      <c r="M275" s="417">
        <f>L275+J275+H275</f>
        <v>0</v>
      </c>
    </row>
    <row r="276" spans="1:13" s="382" customFormat="1" ht="14.25" customHeight="1">
      <c r="A276" s="376"/>
      <c r="B276" s="377" t="s">
        <v>106</v>
      </c>
      <c r="C276" s="33" t="s">
        <v>107</v>
      </c>
      <c r="D276" s="381" t="s">
        <v>108</v>
      </c>
      <c r="E276" s="384">
        <f>0.006*0.01</f>
        <v>6E-05</v>
      </c>
      <c r="F276" s="26">
        <f>E276*F270</f>
        <v>0.0591</v>
      </c>
      <c r="G276" s="745"/>
      <c r="H276" s="589"/>
      <c r="I276" s="745"/>
      <c r="J276" s="746">
        <f t="shared" si="7"/>
        <v>0</v>
      </c>
      <c r="K276" s="745"/>
      <c r="L276" s="589"/>
      <c r="M276" s="417">
        <f>L276+J276+H276</f>
        <v>0</v>
      </c>
    </row>
    <row r="277" spans="1:13" s="382" customFormat="1" ht="14.25" customHeight="1" thickBot="1">
      <c r="A277" s="385"/>
      <c r="B277" s="386" t="s">
        <v>109</v>
      </c>
      <c r="C277" s="33" t="s">
        <v>110</v>
      </c>
      <c r="D277" s="381" t="s">
        <v>97</v>
      </c>
      <c r="E277" s="387">
        <f>1.2*0.01</f>
        <v>0.012</v>
      </c>
      <c r="F277" s="26">
        <f>E277*F270</f>
        <v>11.82</v>
      </c>
      <c r="G277" s="745"/>
      <c r="H277" s="589"/>
      <c r="I277" s="745"/>
      <c r="J277" s="746">
        <f t="shared" si="7"/>
        <v>0</v>
      </c>
      <c r="K277" s="745"/>
      <c r="L277" s="589"/>
      <c r="M277" s="417">
        <f>L277+J277+H277</f>
        <v>0</v>
      </c>
    </row>
    <row r="278" spans="1:13" ht="21" customHeight="1">
      <c r="A278" s="258"/>
      <c r="B278" s="258"/>
      <c r="C278" s="270" t="s">
        <v>24</v>
      </c>
      <c r="D278" s="259"/>
      <c r="E278" s="260"/>
      <c r="F278" s="26"/>
      <c r="G278" s="747"/>
      <c r="H278" s="668">
        <f>SUM(H10:H277)</f>
        <v>0</v>
      </c>
      <c r="I278" s="748"/>
      <c r="J278" s="668">
        <f>SUM(J8:J277)</f>
        <v>0</v>
      </c>
      <c r="K278" s="748"/>
      <c r="L278" s="668">
        <f>SUM(L9:L277)</f>
        <v>0</v>
      </c>
      <c r="M278" s="668">
        <f>SUM(M8:M277)</f>
        <v>0</v>
      </c>
    </row>
    <row r="279" spans="1:13" ht="20.25" customHeight="1">
      <c r="A279" s="264"/>
      <c r="B279" s="264"/>
      <c r="C279" s="270" t="s">
        <v>30</v>
      </c>
      <c r="D279" s="265">
        <v>0</v>
      </c>
      <c r="E279" s="260"/>
      <c r="F279" s="266"/>
      <c r="G279" s="747"/>
      <c r="H279" s="749"/>
      <c r="I279" s="749"/>
      <c r="J279" s="749"/>
      <c r="K279" s="749"/>
      <c r="L279" s="432"/>
      <c r="M279" s="432">
        <f>M278*D279</f>
        <v>0</v>
      </c>
    </row>
    <row r="280" spans="1:13" ht="15.75" customHeight="1">
      <c r="A280" s="264"/>
      <c r="B280" s="264"/>
      <c r="C280" s="270" t="s">
        <v>0</v>
      </c>
      <c r="D280" s="265"/>
      <c r="E280" s="267"/>
      <c r="F280" s="266"/>
      <c r="G280" s="747"/>
      <c r="H280" s="749"/>
      <c r="I280" s="749"/>
      <c r="J280" s="749"/>
      <c r="K280" s="749"/>
      <c r="L280" s="432"/>
      <c r="M280" s="432">
        <f>M278+M279</f>
        <v>0</v>
      </c>
    </row>
    <row r="281" spans="1:13" ht="13.5">
      <c r="A281" s="264"/>
      <c r="B281" s="264"/>
      <c r="C281" s="270" t="s">
        <v>17</v>
      </c>
      <c r="D281" s="265">
        <v>0</v>
      </c>
      <c r="E281" s="260"/>
      <c r="F281" s="266"/>
      <c r="G281" s="747"/>
      <c r="H281" s="749"/>
      <c r="I281" s="749"/>
      <c r="J281" s="749"/>
      <c r="K281" s="749"/>
      <c r="L281" s="432"/>
      <c r="M281" s="432">
        <f>M280*D281</f>
        <v>0</v>
      </c>
    </row>
    <row r="282" spans="1:13" ht="13.5">
      <c r="A282" s="264"/>
      <c r="B282" s="264"/>
      <c r="C282" s="270" t="s">
        <v>18</v>
      </c>
      <c r="D282" s="259"/>
      <c r="E282" s="260"/>
      <c r="F282" s="266"/>
      <c r="G282" s="747"/>
      <c r="H282" s="749"/>
      <c r="I282" s="749"/>
      <c r="J282" s="749"/>
      <c r="K282" s="749"/>
      <c r="L282" s="432"/>
      <c r="M282" s="807">
        <f>SUM(M280:M281)</f>
        <v>0</v>
      </c>
    </row>
    <row r="283" spans="3:13" ht="13.5">
      <c r="C283" s="314"/>
      <c r="M283" s="1052">
        <f>SUM(M280:M281)</f>
        <v>0</v>
      </c>
    </row>
    <row r="284" spans="1:7" ht="21.75" customHeight="1">
      <c r="A284" s="1079"/>
      <c r="B284" s="1079"/>
      <c r="C284" s="1079"/>
      <c r="D284" s="1079"/>
      <c r="E284" s="1079"/>
      <c r="F284" s="1079"/>
      <c r="G284" s="316"/>
    </row>
    <row r="285" spans="2:14" ht="13.5">
      <c r="B285" s="207"/>
      <c r="C285" s="177"/>
      <c r="G285" s="177"/>
      <c r="I285" s="177"/>
      <c r="N285" s="177"/>
    </row>
    <row r="286" spans="2:14" ht="13.5">
      <c r="B286" s="207"/>
      <c r="C286" s="177"/>
      <c r="G286" s="177"/>
      <c r="I286" s="177"/>
      <c r="N286" s="177"/>
    </row>
    <row r="287" spans="2:14" ht="13.5">
      <c r="B287" s="207"/>
      <c r="C287" s="177"/>
      <c r="G287" s="177"/>
      <c r="I287" s="177"/>
      <c r="N287" s="177"/>
    </row>
    <row r="288" spans="2:14" ht="13.5">
      <c r="B288" s="207"/>
      <c r="C288" s="177"/>
      <c r="G288" s="177"/>
      <c r="I288" s="177"/>
      <c r="N288" s="177"/>
    </row>
  </sheetData>
  <sheetProtection/>
  <autoFilter ref="A7:M277"/>
  <mergeCells count="13">
    <mergeCell ref="A284:C284"/>
    <mergeCell ref="D284:F284"/>
    <mergeCell ref="E5:E6"/>
    <mergeCell ref="F5:F6"/>
    <mergeCell ref="C3:L3"/>
    <mergeCell ref="C2:L2"/>
    <mergeCell ref="A1:M1"/>
    <mergeCell ref="K4:L4"/>
    <mergeCell ref="D4:F4"/>
    <mergeCell ref="G4:H4"/>
    <mergeCell ref="I4:J4"/>
    <mergeCell ref="C4:C6"/>
    <mergeCell ref="D5:D6"/>
  </mergeCells>
  <printOptions/>
  <pageMargins left="0.7" right="0.7" top="0.75" bottom="0.75" header="0.3" footer="0.3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M154"/>
  <sheetViews>
    <sheetView view="pageBreakPreview" zoomScaleSheetLayoutView="100" zoomScalePageLayoutView="0" workbookViewId="0" topLeftCell="A142">
      <selection activeCell="A156" sqref="A156"/>
    </sheetView>
  </sheetViews>
  <sheetFormatPr defaultColWidth="9.140625" defaultRowHeight="15"/>
  <cols>
    <col min="1" max="1" width="4.57421875" style="207" customWidth="1"/>
    <col min="2" max="2" width="9.7109375" style="177" customWidth="1"/>
    <col min="3" max="3" width="40.7109375" style="396" customWidth="1"/>
    <col min="4" max="4" width="9.28125" style="396" bestFit="1" customWidth="1"/>
    <col min="5" max="5" width="11.57421875" style="395" bestFit="1" customWidth="1"/>
    <col min="6" max="6" width="12.421875" style="395" bestFit="1" customWidth="1"/>
    <col min="7" max="7" width="9.421875" style="395" customWidth="1"/>
    <col min="8" max="8" width="11.28125" style="395" bestFit="1" customWidth="1"/>
    <col min="9" max="9" width="9.421875" style="395" customWidth="1"/>
    <col min="10" max="10" width="11.421875" style="395" bestFit="1" customWidth="1"/>
    <col min="11" max="12" width="9.28125" style="395" bestFit="1" customWidth="1"/>
    <col min="13" max="13" width="11.7109375" style="395" bestFit="1" customWidth="1"/>
    <col min="14" max="16" width="0" style="395" hidden="1" customWidth="1"/>
    <col min="17" max="17" width="34.57421875" style="395" hidden="1" customWidth="1"/>
    <col min="18" max="18" width="11.00390625" style="395" customWidth="1"/>
    <col min="19" max="19" width="11.28125" style="396" bestFit="1" customWidth="1"/>
    <col min="20" max="20" width="44.8515625" style="397" hidden="1" customWidth="1"/>
    <col min="21" max="21" width="14.8515625" style="397" hidden="1" customWidth="1"/>
    <col min="22" max="22" width="14.8515625" style="397" customWidth="1"/>
    <col min="23" max="23" width="13.140625" style="397" customWidth="1"/>
    <col min="24" max="24" width="18.8515625" style="395" customWidth="1"/>
    <col min="25" max="25" width="13.00390625" style="395" customWidth="1"/>
    <col min="26" max="26" width="18.140625" style="395" customWidth="1"/>
    <col min="27" max="16384" width="9.140625" style="395" customWidth="1"/>
  </cols>
  <sheetData>
    <row r="1" spans="1:19" s="177" customFormat="1" ht="32.25" customHeight="1">
      <c r="A1" s="208"/>
      <c r="B1" s="1081" t="s">
        <v>1216</v>
      </c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S1" s="176"/>
    </row>
    <row r="2" spans="1:19" s="177" customFormat="1" ht="25.5" customHeight="1">
      <c r="A2" s="208"/>
      <c r="B2" s="1080" t="s">
        <v>595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477"/>
      <c r="S2" s="176"/>
    </row>
    <row r="3" spans="1:19" s="177" customFormat="1" ht="29.25" customHeight="1">
      <c r="A3" s="208"/>
      <c r="B3" s="1082" t="s">
        <v>758</v>
      </c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204"/>
      <c r="N3" s="477"/>
      <c r="O3" s="477"/>
      <c r="P3" s="477"/>
      <c r="S3" s="176"/>
    </row>
    <row r="4" spans="1:13" ht="54.75" customHeight="1">
      <c r="A4" s="1084" t="s">
        <v>1</v>
      </c>
      <c r="B4" s="1084" t="s">
        <v>72</v>
      </c>
      <c r="C4" s="1085" t="s">
        <v>59</v>
      </c>
      <c r="D4" s="1083" t="s">
        <v>73</v>
      </c>
      <c r="E4" s="1083"/>
      <c r="F4" s="1083"/>
      <c r="G4" s="1083" t="s">
        <v>74</v>
      </c>
      <c r="H4" s="1083"/>
      <c r="I4" s="1083" t="s">
        <v>75</v>
      </c>
      <c r="J4" s="1083"/>
      <c r="K4" s="1066" t="s">
        <v>76</v>
      </c>
      <c r="L4" s="1066"/>
      <c r="M4" s="1083" t="s">
        <v>0</v>
      </c>
    </row>
    <row r="5" spans="1:13" ht="27">
      <c r="A5" s="1084"/>
      <c r="B5" s="1084"/>
      <c r="C5" s="1085"/>
      <c r="D5" s="398" t="s">
        <v>77</v>
      </c>
      <c r="E5" s="398" t="s">
        <v>78</v>
      </c>
      <c r="F5" s="398" t="s">
        <v>79</v>
      </c>
      <c r="G5" s="317" t="s">
        <v>80</v>
      </c>
      <c r="H5" s="398" t="s">
        <v>79</v>
      </c>
      <c r="I5" s="317" t="s">
        <v>80</v>
      </c>
      <c r="J5" s="398" t="s">
        <v>79</v>
      </c>
      <c r="K5" s="317" t="s">
        <v>80</v>
      </c>
      <c r="L5" s="398" t="s">
        <v>79</v>
      </c>
      <c r="M5" s="1083"/>
    </row>
    <row r="6" spans="1:13" ht="13.5">
      <c r="A6" s="399" t="s">
        <v>2</v>
      </c>
      <c r="B6" s="399" t="s">
        <v>3</v>
      </c>
      <c r="C6" s="399" t="s">
        <v>4</v>
      </c>
      <c r="D6" s="399" t="s">
        <v>5</v>
      </c>
      <c r="E6" s="399" t="s">
        <v>6</v>
      </c>
      <c r="F6" s="399" t="s">
        <v>7</v>
      </c>
      <c r="G6" s="399" t="s">
        <v>8</v>
      </c>
      <c r="H6" s="399" t="s">
        <v>9</v>
      </c>
      <c r="I6" s="399" t="s">
        <v>10</v>
      </c>
      <c r="J6" s="399" t="s">
        <v>11</v>
      </c>
      <c r="K6" s="399" t="s">
        <v>12</v>
      </c>
      <c r="L6" s="399" t="s">
        <v>13</v>
      </c>
      <c r="M6" s="399" t="s">
        <v>14</v>
      </c>
    </row>
    <row r="7" spans="1:23" s="401" customFormat="1" ht="13.5">
      <c r="A7" s="215" t="s">
        <v>2</v>
      </c>
      <c r="B7" s="216" t="s">
        <v>3</v>
      </c>
      <c r="C7" s="217" t="s">
        <v>4</v>
      </c>
      <c r="D7" s="215" t="s">
        <v>5</v>
      </c>
      <c r="E7" s="216" t="s">
        <v>6</v>
      </c>
      <c r="F7" s="400" t="s">
        <v>7</v>
      </c>
      <c r="G7" s="217" t="s">
        <v>8</v>
      </c>
      <c r="H7" s="215" t="s">
        <v>9</v>
      </c>
      <c r="I7" s="216" t="s">
        <v>10</v>
      </c>
      <c r="J7" s="217" t="s">
        <v>11</v>
      </c>
      <c r="K7" s="216" t="s">
        <v>12</v>
      </c>
      <c r="L7" s="215" t="s">
        <v>13</v>
      </c>
      <c r="M7" s="216" t="s">
        <v>14</v>
      </c>
      <c r="S7" s="402"/>
      <c r="T7" s="403"/>
      <c r="U7" s="403"/>
      <c r="V7" s="403"/>
      <c r="W7" s="403"/>
    </row>
    <row r="8" spans="1:13" s="410" customFormat="1" ht="28.5" customHeight="1">
      <c r="A8" s="404"/>
      <c r="B8" s="302"/>
      <c r="C8" s="140" t="s">
        <v>759</v>
      </c>
      <c r="D8" s="479"/>
      <c r="E8" s="480"/>
      <c r="F8" s="480"/>
      <c r="G8" s="481"/>
      <c r="H8" s="482"/>
      <c r="I8" s="482"/>
      <c r="J8" s="479"/>
      <c r="K8" s="483"/>
      <c r="L8" s="482"/>
      <c r="M8" s="482"/>
    </row>
    <row r="9" spans="1:13" s="410" customFormat="1" ht="31.5">
      <c r="A9" s="412">
        <v>2</v>
      </c>
      <c r="B9" s="413" t="s">
        <v>114</v>
      </c>
      <c r="C9" s="484" t="s">
        <v>765</v>
      </c>
      <c r="D9" s="485" t="s">
        <v>50</v>
      </c>
      <c r="E9" s="486"/>
      <c r="F9" s="487">
        <f>F12*2+F13+F14*0.5</f>
        <v>30.5</v>
      </c>
      <c r="G9" s="487"/>
      <c r="H9" s="487"/>
      <c r="I9" s="487"/>
      <c r="J9" s="487"/>
      <c r="K9" s="487"/>
      <c r="L9" s="487"/>
      <c r="M9" s="487"/>
    </row>
    <row r="10" spans="1:13" s="410" customFormat="1" ht="13.5">
      <c r="A10" s="414"/>
      <c r="B10" s="414"/>
      <c r="C10" s="414" t="s">
        <v>43</v>
      </c>
      <c r="D10" s="414" t="s">
        <v>15</v>
      </c>
      <c r="E10" s="415">
        <f>58.3/100</f>
        <v>0.583</v>
      </c>
      <c r="F10" s="416">
        <f>F9*E10</f>
        <v>17.781499999999998</v>
      </c>
      <c r="G10" s="416"/>
      <c r="H10" s="416">
        <f>F10*G10</f>
        <v>0</v>
      </c>
      <c r="I10" s="416"/>
      <c r="J10" s="416"/>
      <c r="K10" s="416"/>
      <c r="L10" s="416"/>
      <c r="M10" s="416">
        <f>H10</f>
        <v>0</v>
      </c>
    </row>
    <row r="11" spans="1:13" s="410" customFormat="1" ht="13.5">
      <c r="A11" s="414"/>
      <c r="B11" s="414"/>
      <c r="C11" s="414" t="s">
        <v>44</v>
      </c>
      <c r="D11" s="414" t="s">
        <v>45</v>
      </c>
      <c r="E11" s="415">
        <f>0.46/100</f>
        <v>0.0046</v>
      </c>
      <c r="F11" s="416">
        <f>F9*E11</f>
        <v>0.1403</v>
      </c>
      <c r="G11" s="416"/>
      <c r="H11" s="416"/>
      <c r="I11" s="416"/>
      <c r="J11" s="416"/>
      <c r="K11" s="416"/>
      <c r="L11" s="416">
        <f>F11*K11</f>
        <v>0</v>
      </c>
      <c r="M11" s="416">
        <f>L11</f>
        <v>0</v>
      </c>
    </row>
    <row r="12" spans="1:13" s="410" customFormat="1" ht="13.5">
      <c r="A12" s="414"/>
      <c r="B12" s="414"/>
      <c r="C12" s="506" t="s">
        <v>119</v>
      </c>
      <c r="D12" s="414" t="s">
        <v>51</v>
      </c>
      <c r="E12" s="415"/>
      <c r="F12" s="416">
        <v>9</v>
      </c>
      <c r="G12" s="416"/>
      <c r="H12" s="416"/>
      <c r="I12" s="416"/>
      <c r="J12" s="416">
        <f>F12*I12</f>
        <v>0</v>
      </c>
      <c r="K12" s="416"/>
      <c r="L12" s="416"/>
      <c r="M12" s="416">
        <f>J12</f>
        <v>0</v>
      </c>
    </row>
    <row r="13" spans="1:13" s="410" customFormat="1" ht="13.5">
      <c r="A13" s="414"/>
      <c r="B13" s="414"/>
      <c r="C13" s="414" t="s">
        <v>120</v>
      </c>
      <c r="D13" s="414" t="s">
        <v>51</v>
      </c>
      <c r="E13" s="415"/>
      <c r="F13" s="416">
        <v>9</v>
      </c>
      <c r="G13" s="416"/>
      <c r="H13" s="416"/>
      <c r="I13" s="416"/>
      <c r="J13" s="416">
        <f>F13*I13</f>
        <v>0</v>
      </c>
      <c r="K13" s="416"/>
      <c r="L13" s="416"/>
      <c r="M13" s="416">
        <f>J13</f>
        <v>0</v>
      </c>
    </row>
    <row r="14" spans="1:13" s="410" customFormat="1" ht="13.5">
      <c r="A14" s="414"/>
      <c r="B14" s="414"/>
      <c r="C14" s="414" t="s">
        <v>121</v>
      </c>
      <c r="D14" s="414" t="s">
        <v>51</v>
      </c>
      <c r="E14" s="415"/>
      <c r="F14" s="416">
        <v>7</v>
      </c>
      <c r="G14" s="416"/>
      <c r="H14" s="416"/>
      <c r="I14" s="416"/>
      <c r="J14" s="416">
        <f>F14*I14</f>
        <v>0</v>
      </c>
      <c r="K14" s="416"/>
      <c r="L14" s="416"/>
      <c r="M14" s="416">
        <f>J14</f>
        <v>0</v>
      </c>
    </row>
    <row r="15" spans="1:13" s="410" customFormat="1" ht="13.5">
      <c r="A15" s="28"/>
      <c r="B15" s="28"/>
      <c r="C15" s="28" t="s">
        <v>115</v>
      </c>
      <c r="D15" s="28" t="s">
        <v>51</v>
      </c>
      <c r="E15" s="433" t="s">
        <v>54</v>
      </c>
      <c r="F15" s="417">
        <v>16</v>
      </c>
      <c r="G15" s="417"/>
      <c r="H15" s="417"/>
      <c r="I15" s="417"/>
      <c r="J15" s="417">
        <f>F15*I15</f>
        <v>0</v>
      </c>
      <c r="K15" s="417"/>
      <c r="L15" s="417"/>
      <c r="M15" s="417">
        <f>J15</f>
        <v>0</v>
      </c>
    </row>
    <row r="16" spans="1:13" s="410" customFormat="1" ht="13.5">
      <c r="A16" s="414"/>
      <c r="B16" s="414"/>
      <c r="C16" s="414" t="s">
        <v>52</v>
      </c>
      <c r="D16" s="414" t="s">
        <v>45</v>
      </c>
      <c r="E16" s="415">
        <f>20.8/100</f>
        <v>0.20800000000000002</v>
      </c>
      <c r="F16" s="416">
        <f>F9*E16</f>
        <v>6.344</v>
      </c>
      <c r="G16" s="416"/>
      <c r="H16" s="416"/>
      <c r="I16" s="416"/>
      <c r="J16" s="416">
        <f>F16*I16</f>
        <v>0</v>
      </c>
      <c r="K16" s="416"/>
      <c r="L16" s="416"/>
      <c r="M16" s="416">
        <f>J16</f>
        <v>0</v>
      </c>
    </row>
    <row r="17" spans="1:13" s="410" customFormat="1" ht="33" customHeight="1">
      <c r="A17" s="412">
        <v>3</v>
      </c>
      <c r="B17" s="412" t="s">
        <v>116</v>
      </c>
      <c r="C17" s="484" t="s">
        <v>766</v>
      </c>
      <c r="D17" s="485" t="s">
        <v>50</v>
      </c>
      <c r="E17" s="486"/>
      <c r="F17" s="487">
        <f>F20*2+F21+F22*0.5</f>
        <v>28</v>
      </c>
      <c r="G17" s="487"/>
      <c r="H17" s="487"/>
      <c r="I17" s="487"/>
      <c r="J17" s="487"/>
      <c r="K17" s="487"/>
      <c r="L17" s="487"/>
      <c r="M17" s="487"/>
    </row>
    <row r="18" spans="1:13" s="410" customFormat="1" ht="13.5">
      <c r="A18" s="414"/>
      <c r="B18" s="414"/>
      <c r="C18" s="414" t="s">
        <v>43</v>
      </c>
      <c r="D18" s="414" t="s">
        <v>15</v>
      </c>
      <c r="E18" s="415">
        <v>0.609</v>
      </c>
      <c r="F18" s="416">
        <f>F17*E18</f>
        <v>17.052</v>
      </c>
      <c r="G18" s="416"/>
      <c r="H18" s="416">
        <f>F18*G18</f>
        <v>0</v>
      </c>
      <c r="I18" s="416"/>
      <c r="J18" s="416"/>
      <c r="K18" s="416"/>
      <c r="L18" s="416"/>
      <c r="M18" s="416">
        <f>H18</f>
        <v>0</v>
      </c>
    </row>
    <row r="19" spans="1:13" s="410" customFormat="1" ht="13.5">
      <c r="A19" s="414"/>
      <c r="B19" s="414"/>
      <c r="C19" s="414" t="s">
        <v>44</v>
      </c>
      <c r="D19" s="414" t="s">
        <v>45</v>
      </c>
      <c r="E19" s="415">
        <v>0.0021</v>
      </c>
      <c r="F19" s="415">
        <f>F17*E19</f>
        <v>0.0588</v>
      </c>
      <c r="G19" s="416"/>
      <c r="H19" s="416"/>
      <c r="I19" s="416"/>
      <c r="J19" s="416"/>
      <c r="K19" s="416"/>
      <c r="L19" s="416">
        <f>F19*K19</f>
        <v>0</v>
      </c>
      <c r="M19" s="416">
        <f>L19</f>
        <v>0</v>
      </c>
    </row>
    <row r="20" spans="1:13" s="410" customFormat="1" ht="13.5">
      <c r="A20" s="414"/>
      <c r="B20" s="414"/>
      <c r="C20" s="414" t="s">
        <v>122</v>
      </c>
      <c r="D20" s="414" t="s">
        <v>51</v>
      </c>
      <c r="E20" s="415"/>
      <c r="F20" s="416">
        <v>8</v>
      </c>
      <c r="G20" s="416"/>
      <c r="H20" s="416"/>
      <c r="I20" s="416"/>
      <c r="J20" s="416">
        <f>F20*I20</f>
        <v>0</v>
      </c>
      <c r="K20" s="416"/>
      <c r="L20" s="416"/>
      <c r="M20" s="416">
        <f>J20</f>
        <v>0</v>
      </c>
    </row>
    <row r="21" spans="1:13" s="410" customFormat="1" ht="13.5">
      <c r="A21" s="414"/>
      <c r="B21" s="414"/>
      <c r="C21" s="414" t="s">
        <v>123</v>
      </c>
      <c r="D21" s="414" t="s">
        <v>51</v>
      </c>
      <c r="E21" s="415"/>
      <c r="F21" s="416">
        <v>6</v>
      </c>
      <c r="G21" s="416"/>
      <c r="H21" s="416"/>
      <c r="I21" s="416"/>
      <c r="J21" s="416">
        <f>F21*I21</f>
        <v>0</v>
      </c>
      <c r="K21" s="416"/>
      <c r="L21" s="416"/>
      <c r="M21" s="416">
        <f>J21</f>
        <v>0</v>
      </c>
    </row>
    <row r="22" spans="1:13" s="410" customFormat="1" ht="13.5">
      <c r="A22" s="414"/>
      <c r="B22" s="414"/>
      <c r="C22" s="414" t="s">
        <v>124</v>
      </c>
      <c r="D22" s="414" t="s">
        <v>51</v>
      </c>
      <c r="E22" s="415"/>
      <c r="F22" s="416">
        <v>12</v>
      </c>
      <c r="G22" s="416"/>
      <c r="H22" s="416"/>
      <c r="I22" s="416"/>
      <c r="J22" s="416">
        <f>F22*I22</f>
        <v>0</v>
      </c>
      <c r="K22" s="416"/>
      <c r="L22" s="416"/>
      <c r="M22" s="416">
        <f>J22</f>
        <v>0</v>
      </c>
    </row>
    <row r="23" spans="1:13" s="410" customFormat="1" ht="13.5">
      <c r="A23" s="28"/>
      <c r="B23" s="28"/>
      <c r="C23" s="28" t="s">
        <v>115</v>
      </c>
      <c r="D23" s="28" t="s">
        <v>51</v>
      </c>
      <c r="E23" s="433" t="s">
        <v>54</v>
      </c>
      <c r="F23" s="417">
        <v>13</v>
      </c>
      <c r="G23" s="417"/>
      <c r="H23" s="417"/>
      <c r="I23" s="417"/>
      <c r="J23" s="417">
        <f>F23*I23</f>
        <v>0</v>
      </c>
      <c r="K23" s="417"/>
      <c r="L23" s="417"/>
      <c r="M23" s="417">
        <f>J23</f>
        <v>0</v>
      </c>
    </row>
    <row r="24" spans="1:13" s="410" customFormat="1" ht="13.5">
      <c r="A24" s="414"/>
      <c r="B24" s="414"/>
      <c r="C24" s="414" t="s">
        <v>52</v>
      </c>
      <c r="D24" s="414" t="s">
        <v>45</v>
      </c>
      <c r="E24" s="415">
        <v>0.156</v>
      </c>
      <c r="F24" s="416">
        <f>F17*E24</f>
        <v>4.368</v>
      </c>
      <c r="G24" s="416"/>
      <c r="H24" s="416"/>
      <c r="I24" s="416"/>
      <c r="J24" s="416">
        <f>F24*I24</f>
        <v>0</v>
      </c>
      <c r="K24" s="416"/>
      <c r="L24" s="416"/>
      <c r="M24" s="416">
        <f>J24</f>
        <v>0</v>
      </c>
    </row>
    <row r="25" spans="1:13" s="410" customFormat="1" ht="31.5">
      <c r="A25" s="418">
        <v>4</v>
      </c>
      <c r="B25" s="419" t="s">
        <v>117</v>
      </c>
      <c r="C25" s="488" t="s">
        <v>760</v>
      </c>
      <c r="D25" s="488" t="s">
        <v>51</v>
      </c>
      <c r="E25" s="486"/>
      <c r="F25" s="487">
        <f>SUM(F28:F35)</f>
        <v>90</v>
      </c>
      <c r="G25" s="487"/>
      <c r="H25" s="487"/>
      <c r="I25" s="487"/>
      <c r="J25" s="487"/>
      <c r="K25" s="487"/>
      <c r="L25" s="487"/>
      <c r="M25" s="487"/>
    </row>
    <row r="26" spans="1:13" s="410" customFormat="1" ht="13.5">
      <c r="A26" s="414"/>
      <c r="B26" s="414"/>
      <c r="C26" s="414" t="s">
        <v>43</v>
      </c>
      <c r="D26" s="414" t="s">
        <v>15</v>
      </c>
      <c r="E26" s="415">
        <f>3.89/10</f>
        <v>0.389</v>
      </c>
      <c r="F26" s="416">
        <f>F25*E26</f>
        <v>35.01</v>
      </c>
      <c r="G26" s="416"/>
      <c r="H26" s="416">
        <f>F26*G26</f>
        <v>0</v>
      </c>
      <c r="I26" s="416"/>
      <c r="J26" s="416"/>
      <c r="K26" s="416"/>
      <c r="L26" s="416"/>
      <c r="M26" s="416">
        <f>H26</f>
        <v>0</v>
      </c>
    </row>
    <row r="27" spans="1:13" s="410" customFormat="1" ht="13.5">
      <c r="A27" s="414"/>
      <c r="B27" s="414"/>
      <c r="C27" s="414" t="s">
        <v>44</v>
      </c>
      <c r="D27" s="414" t="s">
        <v>45</v>
      </c>
      <c r="E27" s="415">
        <f>1.51/10</f>
        <v>0.151</v>
      </c>
      <c r="F27" s="416">
        <f>F25*E27</f>
        <v>13.59</v>
      </c>
      <c r="G27" s="416"/>
      <c r="H27" s="416"/>
      <c r="I27" s="416"/>
      <c r="J27" s="416"/>
      <c r="K27" s="416"/>
      <c r="L27" s="416">
        <f>F27*K27</f>
        <v>0</v>
      </c>
      <c r="M27" s="416">
        <f>L27</f>
        <v>0</v>
      </c>
    </row>
    <row r="28" spans="1:13" s="410" customFormat="1" ht="15">
      <c r="A28" s="420"/>
      <c r="B28" s="420"/>
      <c r="C28" s="420" t="s">
        <v>127</v>
      </c>
      <c r="D28" s="420" t="s">
        <v>51</v>
      </c>
      <c r="E28" s="507" t="s">
        <v>54</v>
      </c>
      <c r="F28" s="421">
        <v>12</v>
      </c>
      <c r="G28" s="421"/>
      <c r="H28" s="421"/>
      <c r="I28" s="421"/>
      <c r="J28" s="421">
        <f aca="true" t="shared" si="0" ref="J28:J36">F28*I28</f>
        <v>0</v>
      </c>
      <c r="K28" s="421"/>
      <c r="L28" s="421"/>
      <c r="M28" s="421">
        <f aca="true" t="shared" si="1" ref="M28:M36">J28</f>
        <v>0</v>
      </c>
    </row>
    <row r="29" spans="1:13" s="410" customFormat="1" ht="15">
      <c r="A29" s="420"/>
      <c r="B29" s="420"/>
      <c r="C29" s="420" t="s">
        <v>129</v>
      </c>
      <c r="D29" s="420" t="s">
        <v>51</v>
      </c>
      <c r="E29" s="507" t="s">
        <v>54</v>
      </c>
      <c r="F29" s="421">
        <v>11</v>
      </c>
      <c r="G29" s="421"/>
      <c r="H29" s="421"/>
      <c r="I29" s="421"/>
      <c r="J29" s="421">
        <f t="shared" si="0"/>
        <v>0</v>
      </c>
      <c r="K29" s="421"/>
      <c r="L29" s="421"/>
      <c r="M29" s="421">
        <f t="shared" si="1"/>
        <v>0</v>
      </c>
    </row>
    <row r="30" spans="1:13" s="410" customFormat="1" ht="15">
      <c r="A30" s="420"/>
      <c r="B30" s="420"/>
      <c r="C30" s="508" t="s">
        <v>128</v>
      </c>
      <c r="D30" s="420" t="s">
        <v>51</v>
      </c>
      <c r="E30" s="507" t="s">
        <v>54</v>
      </c>
      <c r="F30" s="421">
        <v>3</v>
      </c>
      <c r="G30" s="421"/>
      <c r="H30" s="421"/>
      <c r="I30" s="421"/>
      <c r="J30" s="421">
        <f t="shared" si="0"/>
        <v>0</v>
      </c>
      <c r="K30" s="421"/>
      <c r="L30" s="421"/>
      <c r="M30" s="421">
        <f t="shared" si="1"/>
        <v>0</v>
      </c>
    </row>
    <row r="31" spans="1:13" s="410" customFormat="1" ht="15.75">
      <c r="A31" s="420"/>
      <c r="B31" s="420"/>
      <c r="C31" s="420" t="s">
        <v>125</v>
      </c>
      <c r="D31" s="420" t="s">
        <v>51</v>
      </c>
      <c r="E31" s="507" t="s">
        <v>54</v>
      </c>
      <c r="F31" s="421">
        <v>24</v>
      </c>
      <c r="G31" s="421"/>
      <c r="H31" s="421"/>
      <c r="I31" s="421"/>
      <c r="J31" s="421">
        <f>F31*I31</f>
        <v>0</v>
      </c>
      <c r="K31" s="421"/>
      <c r="L31" s="421"/>
      <c r="M31" s="421">
        <f>J31</f>
        <v>0</v>
      </c>
    </row>
    <row r="32" spans="1:13" s="410" customFormat="1" ht="15.75">
      <c r="A32" s="420"/>
      <c r="B32" s="420"/>
      <c r="C32" s="420" t="s">
        <v>126</v>
      </c>
      <c r="D32" s="420" t="s">
        <v>51</v>
      </c>
      <c r="E32" s="507" t="s">
        <v>54</v>
      </c>
      <c r="F32" s="421">
        <v>30</v>
      </c>
      <c r="G32" s="421"/>
      <c r="H32" s="421"/>
      <c r="I32" s="421"/>
      <c r="J32" s="421">
        <f>F32*I32</f>
        <v>0</v>
      </c>
      <c r="K32" s="421"/>
      <c r="L32" s="421"/>
      <c r="M32" s="421">
        <f>J32</f>
        <v>0</v>
      </c>
    </row>
    <row r="33" spans="1:13" s="410" customFormat="1" ht="15.75">
      <c r="A33" s="420"/>
      <c r="B33" s="420"/>
      <c r="C33" s="420" t="s">
        <v>130</v>
      </c>
      <c r="D33" s="420" t="s">
        <v>51</v>
      </c>
      <c r="E33" s="507" t="s">
        <v>54</v>
      </c>
      <c r="F33" s="421">
        <v>5</v>
      </c>
      <c r="G33" s="421"/>
      <c r="H33" s="421"/>
      <c r="I33" s="421"/>
      <c r="J33" s="421">
        <f t="shared" si="0"/>
        <v>0</v>
      </c>
      <c r="K33" s="421"/>
      <c r="L33" s="421"/>
      <c r="M33" s="421">
        <f t="shared" si="1"/>
        <v>0</v>
      </c>
    </row>
    <row r="34" spans="1:13" s="410" customFormat="1" ht="13.5">
      <c r="A34" s="420"/>
      <c r="B34" s="420"/>
      <c r="C34" s="508" t="s">
        <v>131</v>
      </c>
      <c r="D34" s="420" t="s">
        <v>51</v>
      </c>
      <c r="E34" s="507" t="s">
        <v>54</v>
      </c>
      <c r="F34" s="421">
        <v>2</v>
      </c>
      <c r="G34" s="421"/>
      <c r="H34" s="421"/>
      <c r="I34" s="421"/>
      <c r="J34" s="421">
        <f t="shared" si="0"/>
        <v>0</v>
      </c>
      <c r="K34" s="421"/>
      <c r="L34" s="421"/>
      <c r="M34" s="421">
        <f t="shared" si="1"/>
        <v>0</v>
      </c>
    </row>
    <row r="35" spans="1:13" s="410" customFormat="1" ht="13.5">
      <c r="A35" s="420"/>
      <c r="B35" s="420"/>
      <c r="C35" s="420" t="s">
        <v>132</v>
      </c>
      <c r="D35" s="420" t="s">
        <v>51</v>
      </c>
      <c r="E35" s="507" t="s">
        <v>54</v>
      </c>
      <c r="F35" s="421">
        <v>3</v>
      </c>
      <c r="G35" s="421"/>
      <c r="H35" s="421"/>
      <c r="I35" s="421"/>
      <c r="J35" s="421">
        <f>F35*I35</f>
        <v>0</v>
      </c>
      <c r="K35" s="421"/>
      <c r="L35" s="421"/>
      <c r="M35" s="421">
        <f>J35</f>
        <v>0</v>
      </c>
    </row>
    <row r="36" spans="1:13" s="410" customFormat="1" ht="13.5">
      <c r="A36" s="414"/>
      <c r="B36" s="414"/>
      <c r="C36" s="414" t="s">
        <v>52</v>
      </c>
      <c r="D36" s="414" t="s">
        <v>45</v>
      </c>
      <c r="E36" s="415">
        <f>0.24/10</f>
        <v>0.024</v>
      </c>
      <c r="F36" s="416">
        <f>F25*E36</f>
        <v>2.16</v>
      </c>
      <c r="G36" s="416"/>
      <c r="H36" s="416"/>
      <c r="I36" s="416"/>
      <c r="J36" s="416">
        <f t="shared" si="0"/>
        <v>0</v>
      </c>
      <c r="K36" s="416"/>
      <c r="L36" s="416"/>
      <c r="M36" s="416">
        <f t="shared" si="1"/>
        <v>0</v>
      </c>
    </row>
    <row r="37" spans="1:13" s="410" customFormat="1" ht="27.75" customHeight="1">
      <c r="A37" s="150"/>
      <c r="B37" s="464"/>
      <c r="C37" s="140" t="s">
        <v>762</v>
      </c>
      <c r="D37" s="479"/>
      <c r="E37" s="480"/>
      <c r="F37" s="480"/>
      <c r="G37" s="750"/>
      <c r="H37" s="751"/>
      <c r="I37" s="751"/>
      <c r="J37" s="751"/>
      <c r="K37" s="750"/>
      <c r="L37" s="751"/>
      <c r="M37" s="751"/>
    </row>
    <row r="38" spans="1:13" s="423" customFormat="1" ht="45.75">
      <c r="A38" s="110">
        <v>1</v>
      </c>
      <c r="B38" s="110" t="s">
        <v>116</v>
      </c>
      <c r="C38" s="489" t="s">
        <v>767</v>
      </c>
      <c r="D38" s="372" t="s">
        <v>50</v>
      </c>
      <c r="E38" s="112"/>
      <c r="F38" s="422">
        <v>30</v>
      </c>
      <c r="G38" s="752"/>
      <c r="H38" s="752"/>
      <c r="I38" s="753"/>
      <c r="J38" s="753"/>
      <c r="K38" s="754"/>
      <c r="L38" s="755"/>
      <c r="M38" s="753"/>
    </row>
    <row r="39" spans="1:13" s="424" customFormat="1" ht="16.5">
      <c r="A39" s="46"/>
      <c r="B39" s="465"/>
      <c r="C39" s="28" t="s">
        <v>43</v>
      </c>
      <c r="D39" s="28" t="s">
        <v>15</v>
      </c>
      <c r="E39" s="26">
        <v>0.583</v>
      </c>
      <c r="F39" s="27">
        <f>F38*E39</f>
        <v>17.49</v>
      </c>
      <c r="G39" s="417"/>
      <c r="H39" s="417">
        <f>F39*G39</f>
        <v>0</v>
      </c>
      <c r="I39" s="417"/>
      <c r="J39" s="417"/>
      <c r="K39" s="417"/>
      <c r="L39" s="417"/>
      <c r="M39" s="417">
        <f>H39</f>
        <v>0</v>
      </c>
    </row>
    <row r="40" spans="1:13" s="424" customFormat="1" ht="16.5">
      <c r="A40" s="46"/>
      <c r="B40" s="46"/>
      <c r="C40" s="28" t="s">
        <v>44</v>
      </c>
      <c r="D40" s="28" t="s">
        <v>45</v>
      </c>
      <c r="E40" s="30">
        <f>0.46/100</f>
        <v>0.0046</v>
      </c>
      <c r="F40" s="26">
        <f>F38*E40</f>
        <v>0.138</v>
      </c>
      <c r="G40" s="417"/>
      <c r="H40" s="417"/>
      <c r="I40" s="417"/>
      <c r="J40" s="417"/>
      <c r="K40" s="417"/>
      <c r="L40" s="417">
        <f>F40*K40</f>
        <v>0</v>
      </c>
      <c r="M40" s="417">
        <f>L40</f>
        <v>0</v>
      </c>
    </row>
    <row r="41" spans="1:13" s="424" customFormat="1" ht="16.5">
      <c r="A41" s="46"/>
      <c r="B41" s="46"/>
      <c r="C41" s="471" t="s">
        <v>138</v>
      </c>
      <c r="D41" s="28" t="s">
        <v>50</v>
      </c>
      <c r="E41" s="26" t="s">
        <v>54</v>
      </c>
      <c r="F41" s="27">
        <f>F38</f>
        <v>30</v>
      </c>
      <c r="G41" s="417"/>
      <c r="H41" s="417"/>
      <c r="I41" s="417"/>
      <c r="J41" s="417">
        <f>F41*I41</f>
        <v>0</v>
      </c>
      <c r="K41" s="417"/>
      <c r="L41" s="417"/>
      <c r="M41" s="417">
        <f>J41</f>
        <v>0</v>
      </c>
    </row>
    <row r="42" spans="1:13" s="324" customFormat="1" ht="15.75">
      <c r="A42" s="46"/>
      <c r="B42" s="46"/>
      <c r="C42" s="28" t="s">
        <v>137</v>
      </c>
      <c r="D42" s="28" t="s">
        <v>51</v>
      </c>
      <c r="E42" s="26"/>
      <c r="F42" s="26">
        <v>15</v>
      </c>
      <c r="G42" s="417"/>
      <c r="H42" s="417"/>
      <c r="I42" s="417"/>
      <c r="J42" s="417">
        <f>F42*I42</f>
        <v>0</v>
      </c>
      <c r="K42" s="417"/>
      <c r="L42" s="417"/>
      <c r="M42" s="417">
        <f>J42</f>
        <v>0</v>
      </c>
    </row>
    <row r="43" spans="1:13" s="324" customFormat="1" ht="15.75">
      <c r="A43" s="46"/>
      <c r="B43" s="46"/>
      <c r="C43" s="28" t="s">
        <v>52</v>
      </c>
      <c r="D43" s="28" t="s">
        <v>45</v>
      </c>
      <c r="E43" s="26">
        <v>0.208</v>
      </c>
      <c r="F43" s="26">
        <f>F38*E43</f>
        <v>6.239999999999999</v>
      </c>
      <c r="G43" s="417"/>
      <c r="H43" s="417"/>
      <c r="I43" s="417"/>
      <c r="J43" s="417">
        <f>F43*I43</f>
        <v>0</v>
      </c>
      <c r="K43" s="417"/>
      <c r="L43" s="417"/>
      <c r="M43" s="417">
        <f>J43</f>
        <v>0</v>
      </c>
    </row>
    <row r="44" spans="1:13" s="423" customFormat="1" ht="45.75">
      <c r="A44" s="429">
        <v>2</v>
      </c>
      <c r="B44" s="430" t="s">
        <v>116</v>
      </c>
      <c r="C44" s="490" t="s">
        <v>140</v>
      </c>
      <c r="D44" s="133" t="s">
        <v>50</v>
      </c>
      <c r="E44" s="468"/>
      <c r="F44" s="469">
        <v>36</v>
      </c>
      <c r="G44" s="137"/>
      <c r="H44" s="137"/>
      <c r="I44" s="137"/>
      <c r="J44" s="137"/>
      <c r="K44" s="738"/>
      <c r="L44" s="738"/>
      <c r="M44" s="137"/>
    </row>
    <row r="45" spans="1:13" s="424" customFormat="1" ht="16.5">
      <c r="A45" s="46"/>
      <c r="B45" s="465"/>
      <c r="C45" s="28" t="s">
        <v>43</v>
      </c>
      <c r="D45" s="28" t="s">
        <v>15</v>
      </c>
      <c r="E45" s="26">
        <v>0.61</v>
      </c>
      <c r="F45" s="27">
        <f>F44*E45</f>
        <v>21.96</v>
      </c>
      <c r="G45" s="417"/>
      <c r="H45" s="417">
        <f>F45*G45</f>
        <v>0</v>
      </c>
      <c r="I45" s="417"/>
      <c r="J45" s="417"/>
      <c r="K45" s="417"/>
      <c r="L45" s="417"/>
      <c r="M45" s="417">
        <f>H45</f>
        <v>0</v>
      </c>
    </row>
    <row r="46" spans="1:13" s="424" customFormat="1" ht="16.5">
      <c r="A46" s="46"/>
      <c r="B46" s="46"/>
      <c r="C46" s="28" t="s">
        <v>44</v>
      </c>
      <c r="D46" s="28" t="s">
        <v>45</v>
      </c>
      <c r="E46" s="26">
        <v>0.0021</v>
      </c>
      <c r="F46" s="26">
        <f>F44*E46</f>
        <v>0.0756</v>
      </c>
      <c r="G46" s="417"/>
      <c r="H46" s="417"/>
      <c r="I46" s="417"/>
      <c r="J46" s="417"/>
      <c r="K46" s="417"/>
      <c r="L46" s="417">
        <f>F46*K46</f>
        <v>0</v>
      </c>
      <c r="M46" s="417">
        <f>L46</f>
        <v>0</v>
      </c>
    </row>
    <row r="47" spans="1:13" s="424" customFormat="1" ht="16.5">
      <c r="A47" s="46"/>
      <c r="B47" s="46"/>
      <c r="C47" s="471" t="s">
        <v>788</v>
      </c>
      <c r="D47" s="150" t="s">
        <v>50</v>
      </c>
      <c r="E47" s="256" t="s">
        <v>54</v>
      </c>
      <c r="F47" s="300">
        <f>F44</f>
        <v>36</v>
      </c>
      <c r="G47" s="589"/>
      <c r="H47" s="589"/>
      <c r="I47" s="589"/>
      <c r="J47" s="589">
        <f>F47*I47</f>
        <v>0</v>
      </c>
      <c r="K47" s="589"/>
      <c r="L47" s="589"/>
      <c r="M47" s="589">
        <f>J47</f>
        <v>0</v>
      </c>
    </row>
    <row r="48" spans="1:13" s="324" customFormat="1" ht="15.75">
      <c r="A48" s="46"/>
      <c r="B48" s="46"/>
      <c r="C48" s="28" t="s">
        <v>137</v>
      </c>
      <c r="D48" s="28" t="s">
        <v>51</v>
      </c>
      <c r="E48" s="26"/>
      <c r="F48" s="26">
        <v>13</v>
      </c>
      <c r="G48" s="417"/>
      <c r="H48" s="417"/>
      <c r="I48" s="417"/>
      <c r="J48" s="417">
        <f>F48*I48</f>
        <v>0</v>
      </c>
      <c r="K48" s="417"/>
      <c r="L48" s="417"/>
      <c r="M48" s="417">
        <f>J48</f>
        <v>0</v>
      </c>
    </row>
    <row r="49" spans="1:13" s="324" customFormat="1" ht="15.75">
      <c r="A49" s="46"/>
      <c r="B49" s="46"/>
      <c r="C49" s="28" t="s">
        <v>52</v>
      </c>
      <c r="D49" s="28" t="s">
        <v>45</v>
      </c>
      <c r="E49" s="26">
        <v>0.156</v>
      </c>
      <c r="F49" s="26">
        <f>F44*E49</f>
        <v>5.616</v>
      </c>
      <c r="G49" s="417"/>
      <c r="H49" s="417"/>
      <c r="I49" s="417"/>
      <c r="J49" s="417">
        <f>F49*I49</f>
        <v>0</v>
      </c>
      <c r="K49" s="417"/>
      <c r="L49" s="417"/>
      <c r="M49" s="417">
        <f>J49</f>
        <v>0</v>
      </c>
    </row>
    <row r="50" spans="1:13" s="423" customFormat="1" ht="50.25" customHeight="1">
      <c r="A50" s="429">
        <v>3</v>
      </c>
      <c r="B50" s="430" t="s">
        <v>116</v>
      </c>
      <c r="C50" s="490" t="s">
        <v>139</v>
      </c>
      <c r="D50" s="133" t="s">
        <v>50</v>
      </c>
      <c r="E50" s="468"/>
      <c r="F50" s="469">
        <v>4</v>
      </c>
      <c r="G50" s="137"/>
      <c r="H50" s="137"/>
      <c r="I50" s="137"/>
      <c r="J50" s="137"/>
      <c r="K50" s="738"/>
      <c r="L50" s="738"/>
      <c r="M50" s="137"/>
    </row>
    <row r="51" spans="1:13" s="424" customFormat="1" ht="16.5">
      <c r="A51" s="46"/>
      <c r="B51" s="465"/>
      <c r="C51" s="28" t="s">
        <v>43</v>
      </c>
      <c r="D51" s="28" t="s">
        <v>15</v>
      </c>
      <c r="E51" s="26">
        <v>0.61</v>
      </c>
      <c r="F51" s="27">
        <f>F50*E51</f>
        <v>2.44</v>
      </c>
      <c r="G51" s="417"/>
      <c r="H51" s="417">
        <f>F51*G51</f>
        <v>0</v>
      </c>
      <c r="I51" s="417"/>
      <c r="J51" s="417"/>
      <c r="K51" s="417"/>
      <c r="L51" s="417"/>
      <c r="M51" s="417">
        <f>H51</f>
        <v>0</v>
      </c>
    </row>
    <row r="52" spans="1:13" s="424" customFormat="1" ht="16.5">
      <c r="A52" s="46"/>
      <c r="B52" s="46"/>
      <c r="C52" s="28" t="s">
        <v>44</v>
      </c>
      <c r="D52" s="28" t="s">
        <v>45</v>
      </c>
      <c r="E52" s="26">
        <v>0.0021</v>
      </c>
      <c r="F52" s="26">
        <f>F50*E52</f>
        <v>0.0084</v>
      </c>
      <c r="G52" s="417"/>
      <c r="H52" s="417"/>
      <c r="I52" s="417"/>
      <c r="J52" s="417"/>
      <c r="K52" s="417"/>
      <c r="L52" s="417">
        <f>F52*K52</f>
        <v>0</v>
      </c>
      <c r="M52" s="417">
        <f>L52</f>
        <v>0</v>
      </c>
    </row>
    <row r="53" spans="1:13" s="424" customFormat="1" ht="16.5">
      <c r="A53" s="46"/>
      <c r="B53" s="46"/>
      <c r="C53" s="471" t="s">
        <v>761</v>
      </c>
      <c r="D53" s="28" t="s">
        <v>50</v>
      </c>
      <c r="E53" s="26" t="s">
        <v>54</v>
      </c>
      <c r="F53" s="27">
        <f>F50</f>
        <v>4</v>
      </c>
      <c r="G53" s="417"/>
      <c r="H53" s="417"/>
      <c r="I53" s="417"/>
      <c r="J53" s="417">
        <f>F53*I53</f>
        <v>0</v>
      </c>
      <c r="K53" s="417"/>
      <c r="L53" s="417"/>
      <c r="M53" s="417">
        <f>J53</f>
        <v>0</v>
      </c>
    </row>
    <row r="54" spans="1:13" s="324" customFormat="1" ht="15.75">
      <c r="A54" s="46"/>
      <c r="B54" s="46"/>
      <c r="C54" s="28" t="s">
        <v>137</v>
      </c>
      <c r="D54" s="28" t="s">
        <v>51</v>
      </c>
      <c r="E54" s="26"/>
      <c r="F54" s="26">
        <v>3</v>
      </c>
      <c r="G54" s="417"/>
      <c r="H54" s="417"/>
      <c r="I54" s="417"/>
      <c r="J54" s="417">
        <f>F54*I54</f>
        <v>0</v>
      </c>
      <c r="K54" s="417"/>
      <c r="L54" s="417"/>
      <c r="M54" s="417">
        <f>J54</f>
        <v>0</v>
      </c>
    </row>
    <row r="55" spans="1:13" s="324" customFormat="1" ht="15.75">
      <c r="A55" s="46"/>
      <c r="B55" s="46"/>
      <c r="C55" s="28" t="s">
        <v>52</v>
      </c>
      <c r="D55" s="28" t="s">
        <v>45</v>
      </c>
      <c r="E55" s="26">
        <v>0.156</v>
      </c>
      <c r="F55" s="26">
        <f>F50*E55</f>
        <v>0.624</v>
      </c>
      <c r="G55" s="417"/>
      <c r="H55" s="417"/>
      <c r="I55" s="417"/>
      <c r="J55" s="417">
        <f>F55*I55</f>
        <v>0</v>
      </c>
      <c r="K55" s="417"/>
      <c r="L55" s="417"/>
      <c r="M55" s="417">
        <f>J55</f>
        <v>0</v>
      </c>
    </row>
    <row r="56" spans="1:13" s="410" customFormat="1" ht="39" customHeight="1">
      <c r="A56" s="135">
        <v>1</v>
      </c>
      <c r="B56" s="431" t="s">
        <v>133</v>
      </c>
      <c r="C56" s="140" t="s">
        <v>768</v>
      </c>
      <c r="D56" s="140" t="s">
        <v>50</v>
      </c>
      <c r="E56" s="491"/>
      <c r="F56" s="491">
        <v>9</v>
      </c>
      <c r="G56" s="491"/>
      <c r="H56" s="491"/>
      <c r="I56" s="491"/>
      <c r="J56" s="491"/>
      <c r="K56" s="491"/>
      <c r="L56" s="491"/>
      <c r="M56" s="491"/>
    </row>
    <row r="57" spans="1:13" s="410" customFormat="1" ht="13.5">
      <c r="A57" s="28"/>
      <c r="B57" s="28"/>
      <c r="C57" s="28" t="s">
        <v>43</v>
      </c>
      <c r="D57" s="28" t="s">
        <v>15</v>
      </c>
      <c r="E57" s="433">
        <v>1.56</v>
      </c>
      <c r="F57" s="417">
        <f>F56*E57</f>
        <v>14.040000000000001</v>
      </c>
      <c r="G57" s="417"/>
      <c r="H57" s="417">
        <f>F57*G57</f>
        <v>0</v>
      </c>
      <c r="I57" s="417"/>
      <c r="J57" s="417"/>
      <c r="K57" s="417"/>
      <c r="L57" s="417"/>
      <c r="M57" s="417">
        <f>H57</f>
        <v>0</v>
      </c>
    </row>
    <row r="58" spans="1:13" s="410" customFormat="1" ht="13.5">
      <c r="A58" s="28"/>
      <c r="B58" s="28"/>
      <c r="C58" s="28" t="s">
        <v>44</v>
      </c>
      <c r="D58" s="28" t="s">
        <v>45</v>
      </c>
      <c r="E58" s="433">
        <v>0.0217</v>
      </c>
      <c r="F58" s="417">
        <f>F56*E58</f>
        <v>0.1953</v>
      </c>
      <c r="G58" s="417"/>
      <c r="H58" s="417"/>
      <c r="I58" s="417"/>
      <c r="J58" s="417"/>
      <c r="K58" s="417"/>
      <c r="L58" s="417">
        <f>F58*K58</f>
        <v>0</v>
      </c>
      <c r="M58" s="417">
        <f>L58</f>
        <v>0</v>
      </c>
    </row>
    <row r="59" spans="1:13" s="410" customFormat="1" ht="13.5">
      <c r="A59" s="28"/>
      <c r="B59" s="28"/>
      <c r="C59" s="28" t="s">
        <v>134</v>
      </c>
      <c r="D59" s="28" t="s">
        <v>50</v>
      </c>
      <c r="E59" s="433">
        <v>0.937</v>
      </c>
      <c r="F59" s="417">
        <f>F56*E59</f>
        <v>8.433</v>
      </c>
      <c r="G59" s="417"/>
      <c r="H59" s="417"/>
      <c r="I59" s="417"/>
      <c r="J59" s="417">
        <f>F59*I59</f>
        <v>0</v>
      </c>
      <c r="K59" s="417"/>
      <c r="L59" s="417"/>
      <c r="M59" s="417">
        <f>J59</f>
        <v>0</v>
      </c>
    </row>
    <row r="60" spans="1:13" s="410" customFormat="1" ht="13.5">
      <c r="A60" s="28"/>
      <c r="B60" s="28"/>
      <c r="C60" s="28" t="s">
        <v>115</v>
      </c>
      <c r="D60" s="28" t="s">
        <v>51</v>
      </c>
      <c r="E60" s="433" t="s">
        <v>54</v>
      </c>
      <c r="F60" s="417">
        <v>5</v>
      </c>
      <c r="G60" s="417"/>
      <c r="H60" s="417"/>
      <c r="I60" s="417"/>
      <c r="J60" s="417">
        <f>F60*I60</f>
        <v>0</v>
      </c>
      <c r="K60" s="417"/>
      <c r="L60" s="417"/>
      <c r="M60" s="417">
        <f>J60</f>
        <v>0</v>
      </c>
    </row>
    <row r="61" spans="1:13" s="410" customFormat="1" ht="13.5">
      <c r="A61" s="28"/>
      <c r="B61" s="28"/>
      <c r="C61" s="28" t="s">
        <v>52</v>
      </c>
      <c r="D61" s="28" t="s">
        <v>45</v>
      </c>
      <c r="E61" s="433">
        <v>0.0708</v>
      </c>
      <c r="F61" s="417">
        <f>F56*E61</f>
        <v>0.6372</v>
      </c>
      <c r="G61" s="417"/>
      <c r="H61" s="417"/>
      <c r="I61" s="417"/>
      <c r="J61" s="417">
        <f>F61*I61</f>
        <v>0</v>
      </c>
      <c r="K61" s="417"/>
      <c r="L61" s="417"/>
      <c r="M61" s="417">
        <f>J61</f>
        <v>0</v>
      </c>
    </row>
    <row r="62" spans="1:13" s="410" customFormat="1" ht="32.25" customHeight="1">
      <c r="A62" s="322">
        <v>2</v>
      </c>
      <c r="B62" s="434" t="s">
        <v>135</v>
      </c>
      <c r="C62" s="140" t="s">
        <v>769</v>
      </c>
      <c r="D62" s="157" t="s">
        <v>50</v>
      </c>
      <c r="E62" s="492"/>
      <c r="F62" s="491">
        <v>6</v>
      </c>
      <c r="G62" s="491"/>
      <c r="H62" s="491"/>
      <c r="I62" s="491"/>
      <c r="J62" s="491"/>
      <c r="K62" s="491"/>
      <c r="L62" s="491"/>
      <c r="M62" s="491"/>
    </row>
    <row r="63" spans="1:13" s="410" customFormat="1" ht="13.5">
      <c r="A63" s="28"/>
      <c r="B63" s="28"/>
      <c r="C63" s="28" t="s">
        <v>43</v>
      </c>
      <c r="D63" s="28" t="s">
        <v>15</v>
      </c>
      <c r="E63" s="433">
        <v>1.17</v>
      </c>
      <c r="F63" s="417">
        <f>F62*E63</f>
        <v>7.02</v>
      </c>
      <c r="G63" s="417"/>
      <c r="H63" s="417">
        <f>F63*G63</f>
        <v>0</v>
      </c>
      <c r="I63" s="417"/>
      <c r="J63" s="417"/>
      <c r="K63" s="417"/>
      <c r="L63" s="417"/>
      <c r="M63" s="417">
        <f>H63</f>
        <v>0</v>
      </c>
    </row>
    <row r="64" spans="1:13" s="410" customFormat="1" ht="13.5">
      <c r="A64" s="28"/>
      <c r="B64" s="28"/>
      <c r="C64" s="28" t="s">
        <v>44</v>
      </c>
      <c r="D64" s="28" t="s">
        <v>45</v>
      </c>
      <c r="E64" s="433">
        <v>0.0172</v>
      </c>
      <c r="F64" s="417">
        <f>F62*E64</f>
        <v>0.1032</v>
      </c>
      <c r="G64" s="417"/>
      <c r="H64" s="417"/>
      <c r="I64" s="417"/>
      <c r="J64" s="417"/>
      <c r="K64" s="417"/>
      <c r="L64" s="417">
        <f>F64*K64</f>
        <v>0</v>
      </c>
      <c r="M64" s="417">
        <f>L64</f>
        <v>0</v>
      </c>
    </row>
    <row r="65" spans="1:13" s="410" customFormat="1" ht="13.5">
      <c r="A65" s="28"/>
      <c r="B65" s="28"/>
      <c r="C65" s="28" t="s">
        <v>136</v>
      </c>
      <c r="D65" s="28" t="s">
        <v>50</v>
      </c>
      <c r="E65" s="433">
        <v>0.938</v>
      </c>
      <c r="F65" s="417">
        <f>F62*E65</f>
        <v>5.628</v>
      </c>
      <c r="G65" s="417"/>
      <c r="H65" s="417"/>
      <c r="I65" s="417"/>
      <c r="J65" s="417">
        <f>F65*I65</f>
        <v>0</v>
      </c>
      <c r="K65" s="417"/>
      <c r="L65" s="417"/>
      <c r="M65" s="417">
        <f>J65</f>
        <v>0</v>
      </c>
    </row>
    <row r="66" spans="1:13" s="410" customFormat="1" ht="13.5">
      <c r="A66" s="28"/>
      <c r="B66" s="28"/>
      <c r="C66" s="28" t="s">
        <v>115</v>
      </c>
      <c r="D66" s="28" t="s">
        <v>51</v>
      </c>
      <c r="E66" s="433" t="s">
        <v>54</v>
      </c>
      <c r="F66" s="417">
        <v>4</v>
      </c>
      <c r="G66" s="417"/>
      <c r="H66" s="417"/>
      <c r="I66" s="417"/>
      <c r="J66" s="417">
        <f>F66*I66</f>
        <v>0</v>
      </c>
      <c r="K66" s="417"/>
      <c r="L66" s="417"/>
      <c r="M66" s="417">
        <f>J66</f>
        <v>0</v>
      </c>
    </row>
    <row r="67" spans="1:13" s="410" customFormat="1" ht="13.5">
      <c r="A67" s="28"/>
      <c r="B67" s="28"/>
      <c r="C67" s="28" t="s">
        <v>52</v>
      </c>
      <c r="D67" s="28" t="s">
        <v>45</v>
      </c>
      <c r="E67" s="433">
        <v>0.0393</v>
      </c>
      <c r="F67" s="417">
        <f>F62*E67</f>
        <v>0.2358</v>
      </c>
      <c r="G67" s="417"/>
      <c r="H67" s="417"/>
      <c r="I67" s="417"/>
      <c r="J67" s="417">
        <f>F67*I67</f>
        <v>0</v>
      </c>
      <c r="K67" s="417"/>
      <c r="L67" s="417"/>
      <c r="M67" s="417">
        <f>J67</f>
        <v>0</v>
      </c>
    </row>
    <row r="68" spans="1:17" s="438" customFormat="1" ht="27">
      <c r="A68" s="135">
        <v>5</v>
      </c>
      <c r="B68" s="135" t="s">
        <v>141</v>
      </c>
      <c r="C68" s="140" t="s">
        <v>118</v>
      </c>
      <c r="D68" s="140" t="s">
        <v>51</v>
      </c>
      <c r="E68" s="472"/>
      <c r="F68" s="473">
        <f>SUM(F74:F87)</f>
        <v>65</v>
      </c>
      <c r="G68" s="756"/>
      <c r="H68" s="756"/>
      <c r="I68" s="756"/>
      <c r="J68" s="756"/>
      <c r="K68" s="757"/>
      <c r="L68" s="757"/>
      <c r="M68" s="756"/>
      <c r="N68" s="437"/>
      <c r="O68" s="437"/>
      <c r="P68" s="436"/>
      <c r="Q68" s="437"/>
    </row>
    <row r="69" spans="1:17" s="442" customFormat="1" ht="16.5">
      <c r="A69" s="474"/>
      <c r="B69" s="475"/>
      <c r="C69" s="420" t="s">
        <v>43</v>
      </c>
      <c r="D69" s="420" t="s">
        <v>15</v>
      </c>
      <c r="E69" s="509">
        <v>0.91</v>
      </c>
      <c r="F69" s="510">
        <f>F68*E69</f>
        <v>59.15</v>
      </c>
      <c r="G69" s="421"/>
      <c r="H69" s="421">
        <f>F69*G69</f>
        <v>0</v>
      </c>
      <c r="I69" s="421"/>
      <c r="J69" s="421"/>
      <c r="K69" s="421"/>
      <c r="L69" s="421"/>
      <c r="M69" s="421">
        <f>H69</f>
        <v>0</v>
      </c>
      <c r="N69" s="439"/>
      <c r="O69" s="440"/>
      <c r="P69" s="439"/>
      <c r="Q69" s="441"/>
    </row>
    <row r="70" spans="1:17" s="442" customFormat="1" ht="16.5">
      <c r="A70" s="474"/>
      <c r="B70" s="474"/>
      <c r="C70" s="420" t="s">
        <v>44</v>
      </c>
      <c r="D70" s="420" t="s">
        <v>45</v>
      </c>
      <c r="E70" s="509">
        <v>0.12</v>
      </c>
      <c r="F70" s="510">
        <f>F68*E70</f>
        <v>7.8</v>
      </c>
      <c r="G70" s="421"/>
      <c r="H70" s="421"/>
      <c r="I70" s="421"/>
      <c r="J70" s="421"/>
      <c r="K70" s="421"/>
      <c r="L70" s="421">
        <f>F70*K70</f>
        <v>0</v>
      </c>
      <c r="M70" s="421">
        <f>L70</f>
        <v>0</v>
      </c>
      <c r="N70" s="441"/>
      <c r="O70" s="441"/>
      <c r="P70" s="441"/>
      <c r="Q70" s="441"/>
    </row>
    <row r="71" spans="1:13" s="441" customFormat="1" ht="16.5">
      <c r="A71" s="474"/>
      <c r="B71" s="475"/>
      <c r="C71" s="420" t="s">
        <v>142</v>
      </c>
      <c r="D71" s="420" t="s">
        <v>51</v>
      </c>
      <c r="E71" s="509" t="s">
        <v>54</v>
      </c>
      <c r="F71" s="510">
        <v>1</v>
      </c>
      <c r="G71" s="421"/>
      <c r="H71" s="421"/>
      <c r="I71" s="421"/>
      <c r="J71" s="421">
        <f>F71*I71</f>
        <v>0</v>
      </c>
      <c r="K71" s="421"/>
      <c r="L71" s="421"/>
      <c r="M71" s="421">
        <f>J71</f>
        <v>0</v>
      </c>
    </row>
    <row r="72" spans="1:13" s="441" customFormat="1" ht="16.5">
      <c r="A72" s="474"/>
      <c r="B72" s="475"/>
      <c r="C72" s="420" t="s">
        <v>143</v>
      </c>
      <c r="D72" s="420" t="s">
        <v>51</v>
      </c>
      <c r="E72" s="509" t="s">
        <v>54</v>
      </c>
      <c r="F72" s="510">
        <v>1</v>
      </c>
      <c r="G72" s="421"/>
      <c r="H72" s="421"/>
      <c r="I72" s="421"/>
      <c r="J72" s="421">
        <f>F72*I72</f>
        <v>0</v>
      </c>
      <c r="K72" s="421"/>
      <c r="L72" s="421"/>
      <c r="M72" s="421">
        <f>J72</f>
        <v>0</v>
      </c>
    </row>
    <row r="73" spans="1:13" s="441" customFormat="1" ht="16.5">
      <c r="A73" s="474"/>
      <c r="B73" s="475"/>
      <c r="C73" s="420" t="s">
        <v>144</v>
      </c>
      <c r="D73" s="420" t="s">
        <v>51</v>
      </c>
      <c r="E73" s="509" t="s">
        <v>54</v>
      </c>
      <c r="F73" s="510">
        <v>4</v>
      </c>
      <c r="G73" s="421"/>
      <c r="H73" s="421"/>
      <c r="I73" s="421"/>
      <c r="J73" s="421">
        <f>F73*I73</f>
        <v>0</v>
      </c>
      <c r="K73" s="421"/>
      <c r="L73" s="421"/>
      <c r="M73" s="421">
        <f>J73</f>
        <v>0</v>
      </c>
    </row>
    <row r="74" spans="1:13" s="441" customFormat="1" ht="16.5">
      <c r="A74" s="474"/>
      <c r="B74" s="475"/>
      <c r="C74" s="420" t="s">
        <v>145</v>
      </c>
      <c r="D74" s="420" t="s">
        <v>51</v>
      </c>
      <c r="E74" s="509" t="s">
        <v>54</v>
      </c>
      <c r="F74" s="510">
        <v>4</v>
      </c>
      <c r="G74" s="421"/>
      <c r="H74" s="421"/>
      <c r="I74" s="421"/>
      <c r="J74" s="421">
        <f aca="true" t="shared" si="2" ref="J74:J89">F74*I74</f>
        <v>0</v>
      </c>
      <c r="K74" s="421"/>
      <c r="L74" s="421"/>
      <c r="M74" s="421">
        <f aca="true" t="shared" si="3" ref="M74:M89">J74</f>
        <v>0</v>
      </c>
    </row>
    <row r="75" spans="1:13" s="441" customFormat="1" ht="16.5">
      <c r="A75" s="474"/>
      <c r="B75" s="475"/>
      <c r="C75" s="420" t="s">
        <v>146</v>
      </c>
      <c r="D75" s="420" t="s">
        <v>51</v>
      </c>
      <c r="E75" s="509" t="s">
        <v>54</v>
      </c>
      <c r="F75" s="510">
        <v>4</v>
      </c>
      <c r="G75" s="421"/>
      <c r="H75" s="421"/>
      <c r="I75" s="421"/>
      <c r="J75" s="421">
        <f>F75*I75</f>
        <v>0</v>
      </c>
      <c r="K75" s="421"/>
      <c r="L75" s="421"/>
      <c r="M75" s="421">
        <f>J75</f>
        <v>0</v>
      </c>
    </row>
    <row r="76" spans="1:13" s="441" customFormat="1" ht="16.5">
      <c r="A76" s="474"/>
      <c r="B76" s="475"/>
      <c r="C76" s="420" t="s">
        <v>770</v>
      </c>
      <c r="D76" s="420" t="s">
        <v>51</v>
      </c>
      <c r="E76" s="509" t="s">
        <v>54</v>
      </c>
      <c r="F76" s="510">
        <v>5</v>
      </c>
      <c r="G76" s="421"/>
      <c r="H76" s="421"/>
      <c r="I76" s="421"/>
      <c r="J76" s="421">
        <f>F76*I76</f>
        <v>0</v>
      </c>
      <c r="K76" s="421"/>
      <c r="L76" s="421"/>
      <c r="M76" s="421">
        <f>J76</f>
        <v>0</v>
      </c>
    </row>
    <row r="77" spans="1:13" s="441" customFormat="1" ht="16.5">
      <c r="A77" s="474"/>
      <c r="B77" s="475"/>
      <c r="C77" s="420" t="s">
        <v>771</v>
      </c>
      <c r="D77" s="420" t="s">
        <v>51</v>
      </c>
      <c r="E77" s="509" t="s">
        <v>54</v>
      </c>
      <c r="F77" s="510">
        <v>3</v>
      </c>
      <c r="G77" s="421"/>
      <c r="H77" s="421"/>
      <c r="I77" s="421"/>
      <c r="J77" s="421">
        <f>F77*I77</f>
        <v>0</v>
      </c>
      <c r="K77" s="421"/>
      <c r="L77" s="421"/>
      <c r="M77" s="421">
        <f>J77</f>
        <v>0</v>
      </c>
    </row>
    <row r="78" spans="1:13" s="441" customFormat="1" ht="16.5">
      <c r="A78" s="474"/>
      <c r="B78" s="475"/>
      <c r="C78" s="420" t="s">
        <v>772</v>
      </c>
      <c r="D78" s="420" t="s">
        <v>51</v>
      </c>
      <c r="E78" s="509" t="s">
        <v>54</v>
      </c>
      <c r="F78" s="510">
        <v>3</v>
      </c>
      <c r="G78" s="421"/>
      <c r="H78" s="421"/>
      <c r="I78" s="421"/>
      <c r="J78" s="421">
        <f t="shared" si="2"/>
        <v>0</v>
      </c>
      <c r="K78" s="421"/>
      <c r="L78" s="421"/>
      <c r="M78" s="421">
        <f t="shared" si="3"/>
        <v>0</v>
      </c>
    </row>
    <row r="79" spans="1:13" s="441" customFormat="1" ht="16.5">
      <c r="A79" s="474"/>
      <c r="B79" s="475"/>
      <c r="C79" s="420" t="s">
        <v>773</v>
      </c>
      <c r="D79" s="420" t="s">
        <v>51</v>
      </c>
      <c r="E79" s="509" t="s">
        <v>54</v>
      </c>
      <c r="F79" s="510">
        <v>8</v>
      </c>
      <c r="G79" s="421"/>
      <c r="H79" s="421"/>
      <c r="I79" s="421"/>
      <c r="J79" s="421">
        <f t="shared" si="2"/>
        <v>0</v>
      </c>
      <c r="K79" s="421"/>
      <c r="L79" s="421"/>
      <c r="M79" s="421">
        <f t="shared" si="3"/>
        <v>0</v>
      </c>
    </row>
    <row r="80" spans="1:13" s="441" customFormat="1" ht="16.5">
      <c r="A80" s="474"/>
      <c r="B80" s="475"/>
      <c r="C80" s="420" t="s">
        <v>774</v>
      </c>
      <c r="D80" s="420" t="s">
        <v>51</v>
      </c>
      <c r="E80" s="509" t="s">
        <v>54</v>
      </c>
      <c r="F80" s="510">
        <v>10</v>
      </c>
      <c r="G80" s="421"/>
      <c r="H80" s="421"/>
      <c r="I80" s="421"/>
      <c r="J80" s="421">
        <f t="shared" si="2"/>
        <v>0</v>
      </c>
      <c r="K80" s="421"/>
      <c r="L80" s="421"/>
      <c r="M80" s="421">
        <f t="shared" si="3"/>
        <v>0</v>
      </c>
    </row>
    <row r="81" spans="1:13" s="441" customFormat="1" ht="16.5">
      <c r="A81" s="474"/>
      <c r="B81" s="475"/>
      <c r="C81" s="420" t="s">
        <v>775</v>
      </c>
      <c r="D81" s="420" t="s">
        <v>51</v>
      </c>
      <c r="E81" s="509" t="s">
        <v>54</v>
      </c>
      <c r="F81" s="510">
        <v>12</v>
      </c>
      <c r="G81" s="421"/>
      <c r="H81" s="421"/>
      <c r="I81" s="421"/>
      <c r="J81" s="421">
        <f t="shared" si="2"/>
        <v>0</v>
      </c>
      <c r="K81" s="421"/>
      <c r="L81" s="421"/>
      <c r="M81" s="421">
        <f t="shared" si="3"/>
        <v>0</v>
      </c>
    </row>
    <row r="82" spans="1:13" s="441" customFormat="1" ht="16.5">
      <c r="A82" s="474"/>
      <c r="B82" s="475"/>
      <c r="C82" s="420" t="s">
        <v>776</v>
      </c>
      <c r="D82" s="420" t="s">
        <v>51</v>
      </c>
      <c r="E82" s="509" t="s">
        <v>54</v>
      </c>
      <c r="F82" s="510">
        <v>3</v>
      </c>
      <c r="G82" s="421"/>
      <c r="H82" s="421"/>
      <c r="I82" s="421"/>
      <c r="J82" s="421">
        <f t="shared" si="2"/>
        <v>0</v>
      </c>
      <c r="K82" s="421"/>
      <c r="L82" s="421"/>
      <c r="M82" s="421">
        <f t="shared" si="3"/>
        <v>0</v>
      </c>
    </row>
    <row r="83" spans="1:13" s="441" customFormat="1" ht="16.5">
      <c r="A83" s="474"/>
      <c r="B83" s="475"/>
      <c r="C83" s="420" t="s">
        <v>777</v>
      </c>
      <c r="D83" s="420" t="s">
        <v>51</v>
      </c>
      <c r="E83" s="509" t="s">
        <v>54</v>
      </c>
      <c r="F83" s="510">
        <v>4</v>
      </c>
      <c r="G83" s="421"/>
      <c r="H83" s="421"/>
      <c r="I83" s="421"/>
      <c r="J83" s="421">
        <f>F83*I83</f>
        <v>0</v>
      </c>
      <c r="K83" s="421"/>
      <c r="L83" s="421"/>
      <c r="M83" s="421">
        <f>J83</f>
        <v>0</v>
      </c>
    </row>
    <row r="84" spans="1:13" s="441" customFormat="1" ht="16.5">
      <c r="A84" s="474"/>
      <c r="B84" s="475"/>
      <c r="C84" s="420" t="s">
        <v>778</v>
      </c>
      <c r="D84" s="420" t="s">
        <v>51</v>
      </c>
      <c r="E84" s="509" t="s">
        <v>54</v>
      </c>
      <c r="F84" s="510">
        <v>3</v>
      </c>
      <c r="G84" s="421"/>
      <c r="H84" s="421"/>
      <c r="I84" s="421"/>
      <c r="J84" s="421">
        <f>F84*I84</f>
        <v>0</v>
      </c>
      <c r="K84" s="421"/>
      <c r="L84" s="421"/>
      <c r="M84" s="421">
        <f>J84</f>
        <v>0</v>
      </c>
    </row>
    <row r="85" spans="1:13" s="437" customFormat="1" ht="16.5">
      <c r="A85" s="466"/>
      <c r="B85" s="476"/>
      <c r="C85" s="471" t="s">
        <v>153</v>
      </c>
      <c r="D85" s="471" t="s">
        <v>51</v>
      </c>
      <c r="E85" s="511" t="s">
        <v>54</v>
      </c>
      <c r="F85" s="512">
        <v>2</v>
      </c>
      <c r="G85" s="758"/>
      <c r="H85" s="758"/>
      <c r="I85" s="758"/>
      <c r="J85" s="758">
        <f t="shared" si="2"/>
        <v>0</v>
      </c>
      <c r="K85" s="758"/>
      <c r="L85" s="758"/>
      <c r="M85" s="758">
        <f t="shared" si="3"/>
        <v>0</v>
      </c>
    </row>
    <row r="86" spans="1:13" s="437" customFormat="1" ht="16.5">
      <c r="A86" s="466"/>
      <c r="B86" s="476"/>
      <c r="C86" s="471" t="s">
        <v>154</v>
      </c>
      <c r="D86" s="471" t="s">
        <v>51</v>
      </c>
      <c r="E86" s="511" t="s">
        <v>54</v>
      </c>
      <c r="F86" s="512">
        <v>2</v>
      </c>
      <c r="G86" s="758"/>
      <c r="H86" s="758"/>
      <c r="I86" s="758"/>
      <c r="J86" s="758">
        <f t="shared" si="2"/>
        <v>0</v>
      </c>
      <c r="K86" s="758"/>
      <c r="L86" s="758"/>
      <c r="M86" s="758">
        <f t="shared" si="3"/>
        <v>0</v>
      </c>
    </row>
    <row r="87" spans="1:13" s="437" customFormat="1" ht="16.5">
      <c r="A87" s="466"/>
      <c r="B87" s="476"/>
      <c r="C87" s="471" t="s">
        <v>155</v>
      </c>
      <c r="D87" s="471" t="s">
        <v>51</v>
      </c>
      <c r="E87" s="511" t="s">
        <v>54</v>
      </c>
      <c r="F87" s="512">
        <v>2</v>
      </c>
      <c r="G87" s="758"/>
      <c r="H87" s="758"/>
      <c r="I87" s="758"/>
      <c r="J87" s="758">
        <f t="shared" si="2"/>
        <v>0</v>
      </c>
      <c r="K87" s="758"/>
      <c r="L87" s="758"/>
      <c r="M87" s="758">
        <f t="shared" si="3"/>
        <v>0</v>
      </c>
    </row>
    <row r="88" spans="1:13" s="437" customFormat="1" ht="16.5">
      <c r="A88" s="466"/>
      <c r="B88" s="476"/>
      <c r="C88" s="471" t="s">
        <v>156</v>
      </c>
      <c r="D88" s="471" t="s">
        <v>51</v>
      </c>
      <c r="E88" s="511" t="s">
        <v>54</v>
      </c>
      <c r="F88" s="512">
        <v>3</v>
      </c>
      <c r="G88" s="758"/>
      <c r="H88" s="758"/>
      <c r="I88" s="758"/>
      <c r="J88" s="758">
        <f>F88*I88</f>
        <v>0</v>
      </c>
      <c r="K88" s="758"/>
      <c r="L88" s="758"/>
      <c r="M88" s="758">
        <f>J88</f>
        <v>0</v>
      </c>
    </row>
    <row r="89" spans="1:13" s="441" customFormat="1" ht="16.5">
      <c r="A89" s="474"/>
      <c r="B89" s="474"/>
      <c r="C89" s="420" t="s">
        <v>52</v>
      </c>
      <c r="D89" s="420" t="s">
        <v>45</v>
      </c>
      <c r="E89" s="509">
        <v>0.07</v>
      </c>
      <c r="F89" s="510">
        <f>F68*E89</f>
        <v>4.550000000000001</v>
      </c>
      <c r="G89" s="421"/>
      <c r="H89" s="421"/>
      <c r="I89" s="421"/>
      <c r="J89" s="421">
        <f t="shared" si="2"/>
        <v>0</v>
      </c>
      <c r="K89" s="421"/>
      <c r="L89" s="421"/>
      <c r="M89" s="421">
        <f t="shared" si="3"/>
        <v>0</v>
      </c>
    </row>
    <row r="90" spans="1:13" s="410" customFormat="1" ht="26.25" customHeight="1">
      <c r="A90" s="301">
        <v>7</v>
      </c>
      <c r="B90" s="443" t="s">
        <v>148</v>
      </c>
      <c r="C90" s="157" t="s">
        <v>779</v>
      </c>
      <c r="D90" s="157" t="s">
        <v>51</v>
      </c>
      <c r="E90" s="492"/>
      <c r="F90" s="491">
        <f>F93</f>
        <v>2</v>
      </c>
      <c r="G90" s="491"/>
      <c r="H90" s="491"/>
      <c r="I90" s="491"/>
      <c r="J90" s="491"/>
      <c r="K90" s="491"/>
      <c r="L90" s="491"/>
      <c r="M90" s="491"/>
    </row>
    <row r="91" spans="1:13" s="410" customFormat="1" ht="13.5">
      <c r="A91" s="28"/>
      <c r="B91" s="28"/>
      <c r="C91" s="28" t="s">
        <v>43</v>
      </c>
      <c r="D91" s="28" t="s">
        <v>15</v>
      </c>
      <c r="E91" s="433">
        <v>1.51</v>
      </c>
      <c r="F91" s="417">
        <f>F90*E91</f>
        <v>3.02</v>
      </c>
      <c r="G91" s="417"/>
      <c r="H91" s="417">
        <f>F91*G91</f>
        <v>0</v>
      </c>
      <c r="I91" s="417"/>
      <c r="J91" s="417"/>
      <c r="K91" s="417"/>
      <c r="L91" s="417"/>
      <c r="M91" s="417">
        <f>H91</f>
        <v>0</v>
      </c>
    </row>
    <row r="92" spans="1:13" s="410" customFormat="1" ht="13.5">
      <c r="A92" s="28"/>
      <c r="B92" s="28"/>
      <c r="C92" s="28" t="s">
        <v>44</v>
      </c>
      <c r="D92" s="28" t="s">
        <v>45</v>
      </c>
      <c r="E92" s="433">
        <v>0.13</v>
      </c>
      <c r="F92" s="417">
        <f>F90*E92</f>
        <v>0.26</v>
      </c>
      <c r="G92" s="417"/>
      <c r="H92" s="417"/>
      <c r="I92" s="417"/>
      <c r="J92" s="417"/>
      <c r="K92" s="417"/>
      <c r="L92" s="417">
        <f>F92*K92</f>
        <v>0</v>
      </c>
      <c r="M92" s="417">
        <f>L92</f>
        <v>0</v>
      </c>
    </row>
    <row r="93" spans="1:13" s="410" customFormat="1" ht="13.5">
      <c r="A93" s="28"/>
      <c r="B93" s="28"/>
      <c r="C93" s="28" t="s">
        <v>150</v>
      </c>
      <c r="D93" s="28" t="s">
        <v>51</v>
      </c>
      <c r="E93" s="513" t="s">
        <v>54</v>
      </c>
      <c r="F93" s="417">
        <v>2</v>
      </c>
      <c r="G93" s="417"/>
      <c r="H93" s="417"/>
      <c r="I93" s="417"/>
      <c r="J93" s="417">
        <f>F93*I93</f>
        <v>0</v>
      </c>
      <c r="K93" s="417"/>
      <c r="L93" s="417"/>
      <c r="M93" s="417">
        <f>J93</f>
        <v>0</v>
      </c>
    </row>
    <row r="94" spans="1:13" s="410" customFormat="1" ht="13.5">
      <c r="A94" s="28"/>
      <c r="B94" s="28"/>
      <c r="C94" s="28" t="s">
        <v>52</v>
      </c>
      <c r="D94" s="28" t="s">
        <v>45</v>
      </c>
      <c r="E94" s="433">
        <v>0.07</v>
      </c>
      <c r="F94" s="417">
        <f>F90*E94</f>
        <v>0.14</v>
      </c>
      <c r="G94" s="417"/>
      <c r="H94" s="417"/>
      <c r="I94" s="417"/>
      <c r="J94" s="417">
        <f>F94*I94</f>
        <v>0</v>
      </c>
      <c r="K94" s="417"/>
      <c r="L94" s="417"/>
      <c r="M94" s="417">
        <f>J94</f>
        <v>0</v>
      </c>
    </row>
    <row r="95" spans="1:13" s="410" customFormat="1" ht="17.25" customHeight="1">
      <c r="A95" s="301">
        <v>7</v>
      </c>
      <c r="B95" s="443" t="s">
        <v>148</v>
      </c>
      <c r="C95" s="157" t="s">
        <v>780</v>
      </c>
      <c r="D95" s="157" t="s">
        <v>51</v>
      </c>
      <c r="E95" s="492"/>
      <c r="F95" s="491">
        <f>F98+F99+F100</f>
        <v>22</v>
      </c>
      <c r="G95" s="491"/>
      <c r="H95" s="491"/>
      <c r="I95" s="491"/>
      <c r="J95" s="491"/>
      <c r="K95" s="491"/>
      <c r="L95" s="491"/>
      <c r="M95" s="491"/>
    </row>
    <row r="96" spans="1:13" s="410" customFormat="1" ht="13.5">
      <c r="A96" s="28"/>
      <c r="B96" s="28"/>
      <c r="C96" s="28" t="s">
        <v>43</v>
      </c>
      <c r="D96" s="28" t="s">
        <v>15</v>
      </c>
      <c r="E96" s="433">
        <v>1.51</v>
      </c>
      <c r="F96" s="417">
        <f>F95*E96</f>
        <v>33.22</v>
      </c>
      <c r="G96" s="417"/>
      <c r="H96" s="417">
        <f>F96*G96</f>
        <v>0</v>
      </c>
      <c r="I96" s="417"/>
      <c r="J96" s="417"/>
      <c r="K96" s="417"/>
      <c r="L96" s="417"/>
      <c r="M96" s="417">
        <f>H96</f>
        <v>0</v>
      </c>
    </row>
    <row r="97" spans="1:13" s="410" customFormat="1" ht="13.5">
      <c r="A97" s="28"/>
      <c r="B97" s="28"/>
      <c r="C97" s="28" t="s">
        <v>44</v>
      </c>
      <c r="D97" s="28" t="s">
        <v>45</v>
      </c>
      <c r="E97" s="433">
        <v>0.13</v>
      </c>
      <c r="F97" s="417">
        <f>F95*E97</f>
        <v>2.8600000000000003</v>
      </c>
      <c r="G97" s="417"/>
      <c r="H97" s="417"/>
      <c r="I97" s="417"/>
      <c r="J97" s="417"/>
      <c r="K97" s="417"/>
      <c r="L97" s="417">
        <f>F97*K97</f>
        <v>0</v>
      </c>
      <c r="M97" s="417">
        <f>L97</f>
        <v>0</v>
      </c>
    </row>
    <row r="98" spans="1:13" s="410" customFormat="1" ht="13.5">
      <c r="A98" s="28"/>
      <c r="B98" s="28"/>
      <c r="C98" s="28" t="s">
        <v>151</v>
      </c>
      <c r="D98" s="28" t="s">
        <v>51</v>
      </c>
      <c r="E98" s="513" t="s">
        <v>54</v>
      </c>
      <c r="F98" s="417">
        <v>1</v>
      </c>
      <c r="G98" s="417"/>
      <c r="H98" s="417"/>
      <c r="I98" s="417"/>
      <c r="J98" s="417">
        <f>F98*I98</f>
        <v>0</v>
      </c>
      <c r="K98" s="417"/>
      <c r="L98" s="417"/>
      <c r="M98" s="417">
        <f>J98</f>
        <v>0</v>
      </c>
    </row>
    <row r="99" spans="1:13" s="410" customFormat="1" ht="13.5">
      <c r="A99" s="28"/>
      <c r="B99" s="28"/>
      <c r="C99" s="28" t="s">
        <v>149</v>
      </c>
      <c r="D99" s="28" t="s">
        <v>51</v>
      </c>
      <c r="E99" s="513" t="s">
        <v>54</v>
      </c>
      <c r="F99" s="417">
        <v>2</v>
      </c>
      <c r="G99" s="417"/>
      <c r="H99" s="417"/>
      <c r="I99" s="417"/>
      <c r="J99" s="417">
        <f>F99*I99</f>
        <v>0</v>
      </c>
      <c r="K99" s="417"/>
      <c r="L99" s="417"/>
      <c r="M99" s="417">
        <f>J99</f>
        <v>0</v>
      </c>
    </row>
    <row r="100" spans="1:13" s="410" customFormat="1" ht="13.5">
      <c r="A100" s="28"/>
      <c r="B100" s="28"/>
      <c r="C100" s="28" t="s">
        <v>152</v>
      </c>
      <c r="D100" s="28" t="s">
        <v>51</v>
      </c>
      <c r="E100" s="513" t="s">
        <v>54</v>
      </c>
      <c r="F100" s="417">
        <v>19</v>
      </c>
      <c r="G100" s="417"/>
      <c r="H100" s="417"/>
      <c r="I100" s="417"/>
      <c r="J100" s="417">
        <f>F100*I100</f>
        <v>0</v>
      </c>
      <c r="K100" s="417"/>
      <c r="L100" s="417"/>
      <c r="M100" s="417">
        <f>J100</f>
        <v>0</v>
      </c>
    </row>
    <row r="101" spans="1:13" s="410" customFormat="1" ht="13.5">
      <c r="A101" s="28"/>
      <c r="B101" s="28"/>
      <c r="C101" s="28" t="s">
        <v>47</v>
      </c>
      <c r="D101" s="28" t="s">
        <v>45</v>
      </c>
      <c r="E101" s="433">
        <v>0.07</v>
      </c>
      <c r="F101" s="417">
        <f>F95*E101</f>
        <v>1.54</v>
      </c>
      <c r="G101" s="417"/>
      <c r="H101" s="417"/>
      <c r="I101" s="417"/>
      <c r="J101" s="417">
        <f>F101*I101</f>
        <v>0</v>
      </c>
      <c r="K101" s="417"/>
      <c r="L101" s="417"/>
      <c r="M101" s="417">
        <f>J101</f>
        <v>0</v>
      </c>
    </row>
    <row r="102" spans="1:13" s="410" customFormat="1" ht="37.5" customHeight="1">
      <c r="A102" s="150"/>
      <c r="B102" s="150"/>
      <c r="C102" s="140" t="s">
        <v>763</v>
      </c>
      <c r="D102" s="479"/>
      <c r="E102" s="480"/>
      <c r="F102" s="480"/>
      <c r="G102" s="750"/>
      <c r="H102" s="751"/>
      <c r="I102" s="751"/>
      <c r="J102" s="751"/>
      <c r="K102" s="750"/>
      <c r="L102" s="751"/>
      <c r="M102" s="751"/>
    </row>
    <row r="103" spans="1:13" s="410" customFormat="1" ht="31.5">
      <c r="A103" s="135">
        <v>1</v>
      </c>
      <c r="B103" s="431" t="s">
        <v>133</v>
      </c>
      <c r="C103" s="140" t="s">
        <v>781</v>
      </c>
      <c r="D103" s="140" t="s">
        <v>50</v>
      </c>
      <c r="E103" s="491"/>
      <c r="F103" s="491">
        <v>2</v>
      </c>
      <c r="G103" s="491"/>
      <c r="H103" s="491"/>
      <c r="I103" s="491"/>
      <c r="J103" s="491"/>
      <c r="K103" s="491"/>
      <c r="L103" s="491"/>
      <c r="M103" s="491"/>
    </row>
    <row r="104" spans="1:13" s="410" customFormat="1" ht="13.5">
      <c r="A104" s="28"/>
      <c r="B104" s="28"/>
      <c r="C104" s="28" t="s">
        <v>43</v>
      </c>
      <c r="D104" s="28" t="s">
        <v>15</v>
      </c>
      <c r="E104" s="433">
        <v>1.56</v>
      </c>
      <c r="F104" s="417">
        <f>F103*E104</f>
        <v>3.12</v>
      </c>
      <c r="G104" s="417"/>
      <c r="H104" s="417">
        <f>F104*G104</f>
        <v>0</v>
      </c>
      <c r="I104" s="417"/>
      <c r="J104" s="417"/>
      <c r="K104" s="417"/>
      <c r="L104" s="417"/>
      <c r="M104" s="417">
        <f>H104</f>
        <v>0</v>
      </c>
    </row>
    <row r="105" spans="1:13" s="410" customFormat="1" ht="13.5">
      <c r="A105" s="28"/>
      <c r="B105" s="28"/>
      <c r="C105" s="28" t="s">
        <v>44</v>
      </c>
      <c r="D105" s="28" t="s">
        <v>45</v>
      </c>
      <c r="E105" s="433">
        <v>0.0217</v>
      </c>
      <c r="F105" s="417">
        <f>F103*E105</f>
        <v>0.0434</v>
      </c>
      <c r="G105" s="417"/>
      <c r="H105" s="417"/>
      <c r="I105" s="417"/>
      <c r="J105" s="417"/>
      <c r="K105" s="417"/>
      <c r="L105" s="417">
        <f>F105*K105</f>
        <v>0</v>
      </c>
      <c r="M105" s="417">
        <f>L105</f>
        <v>0</v>
      </c>
    </row>
    <row r="106" spans="1:13" s="410" customFormat="1" ht="13.5">
      <c r="A106" s="28"/>
      <c r="B106" s="28"/>
      <c r="C106" s="28" t="s">
        <v>134</v>
      </c>
      <c r="D106" s="28" t="s">
        <v>50</v>
      </c>
      <c r="E106" s="433">
        <v>0.937</v>
      </c>
      <c r="F106" s="417">
        <f>F103*E106</f>
        <v>1.874</v>
      </c>
      <c r="G106" s="417"/>
      <c r="H106" s="417"/>
      <c r="I106" s="417"/>
      <c r="J106" s="417">
        <f>F106*I106</f>
        <v>0</v>
      </c>
      <c r="K106" s="417"/>
      <c r="L106" s="417"/>
      <c r="M106" s="417">
        <f>J106</f>
        <v>0</v>
      </c>
    </row>
    <row r="107" spans="1:13" s="410" customFormat="1" ht="13.5">
      <c r="A107" s="28"/>
      <c r="B107" s="28"/>
      <c r="C107" s="28" t="s">
        <v>115</v>
      </c>
      <c r="D107" s="28" t="s">
        <v>51</v>
      </c>
      <c r="E107" s="433" t="s">
        <v>54</v>
      </c>
      <c r="F107" s="417">
        <v>2</v>
      </c>
      <c r="G107" s="417"/>
      <c r="H107" s="417"/>
      <c r="I107" s="417"/>
      <c r="J107" s="417">
        <f>F107*I107</f>
        <v>0</v>
      </c>
      <c r="K107" s="417"/>
      <c r="L107" s="417"/>
      <c r="M107" s="417">
        <f>J107</f>
        <v>0</v>
      </c>
    </row>
    <row r="108" spans="1:13" s="410" customFormat="1" ht="13.5">
      <c r="A108" s="28"/>
      <c r="B108" s="28"/>
      <c r="C108" s="28" t="s">
        <v>47</v>
      </c>
      <c r="D108" s="28" t="s">
        <v>45</v>
      </c>
      <c r="E108" s="433">
        <v>0.0708</v>
      </c>
      <c r="F108" s="417">
        <f>F103*E108</f>
        <v>0.1416</v>
      </c>
      <c r="G108" s="417"/>
      <c r="H108" s="417"/>
      <c r="I108" s="417"/>
      <c r="J108" s="417">
        <f>F108*I108</f>
        <v>0</v>
      </c>
      <c r="K108" s="417"/>
      <c r="L108" s="417"/>
      <c r="M108" s="417">
        <f>J108</f>
        <v>0</v>
      </c>
    </row>
    <row r="109" spans="1:13" s="410" customFormat="1" ht="33.75" customHeight="1">
      <c r="A109" s="322">
        <v>2</v>
      </c>
      <c r="B109" s="434" t="s">
        <v>135</v>
      </c>
      <c r="C109" s="140" t="s">
        <v>782</v>
      </c>
      <c r="D109" s="157" t="s">
        <v>50</v>
      </c>
      <c r="E109" s="492"/>
      <c r="F109" s="491">
        <v>29</v>
      </c>
      <c r="G109" s="491"/>
      <c r="H109" s="491"/>
      <c r="I109" s="491"/>
      <c r="J109" s="491"/>
      <c r="K109" s="491"/>
      <c r="L109" s="491"/>
      <c r="M109" s="491"/>
    </row>
    <row r="110" spans="1:13" s="410" customFormat="1" ht="13.5">
      <c r="A110" s="28"/>
      <c r="B110" s="28"/>
      <c r="C110" s="28" t="s">
        <v>43</v>
      </c>
      <c r="D110" s="28" t="s">
        <v>15</v>
      </c>
      <c r="E110" s="433">
        <v>1.17</v>
      </c>
      <c r="F110" s="417">
        <f>F109*E110</f>
        <v>33.93</v>
      </c>
      <c r="G110" s="417"/>
      <c r="H110" s="417">
        <f>F110*G110</f>
        <v>0</v>
      </c>
      <c r="I110" s="417"/>
      <c r="J110" s="417"/>
      <c r="K110" s="417"/>
      <c r="L110" s="417"/>
      <c r="M110" s="417">
        <f>H110</f>
        <v>0</v>
      </c>
    </row>
    <row r="111" spans="1:13" s="410" customFormat="1" ht="13.5">
      <c r="A111" s="28"/>
      <c r="B111" s="28"/>
      <c r="C111" s="28" t="s">
        <v>44</v>
      </c>
      <c r="D111" s="28" t="s">
        <v>45</v>
      </c>
      <c r="E111" s="433">
        <v>0.0172</v>
      </c>
      <c r="F111" s="417">
        <f>F109*E111</f>
        <v>0.4988</v>
      </c>
      <c r="G111" s="417"/>
      <c r="H111" s="417"/>
      <c r="I111" s="417"/>
      <c r="J111" s="417"/>
      <c r="K111" s="417"/>
      <c r="L111" s="417">
        <f>F111*K111</f>
        <v>0</v>
      </c>
      <c r="M111" s="417">
        <f>L111</f>
        <v>0</v>
      </c>
    </row>
    <row r="112" spans="1:13" s="410" customFormat="1" ht="13.5">
      <c r="A112" s="28"/>
      <c r="B112" s="28"/>
      <c r="C112" s="28" t="s">
        <v>136</v>
      </c>
      <c r="D112" s="28" t="s">
        <v>50</v>
      </c>
      <c r="E112" s="433">
        <v>0.938</v>
      </c>
      <c r="F112" s="417">
        <f>F109*E112</f>
        <v>27.201999999999998</v>
      </c>
      <c r="G112" s="417"/>
      <c r="H112" s="417"/>
      <c r="I112" s="417"/>
      <c r="J112" s="417">
        <f>F112*I112</f>
        <v>0</v>
      </c>
      <c r="K112" s="417"/>
      <c r="L112" s="417"/>
      <c r="M112" s="417">
        <f>J112</f>
        <v>0</v>
      </c>
    </row>
    <row r="113" spans="1:13" s="410" customFormat="1" ht="13.5">
      <c r="A113" s="28"/>
      <c r="B113" s="28"/>
      <c r="C113" s="28" t="s">
        <v>115</v>
      </c>
      <c r="D113" s="28" t="s">
        <v>51</v>
      </c>
      <c r="E113" s="433" t="s">
        <v>54</v>
      </c>
      <c r="F113" s="417">
        <v>15</v>
      </c>
      <c r="G113" s="417"/>
      <c r="H113" s="417"/>
      <c r="I113" s="417"/>
      <c r="J113" s="417">
        <f>F113*I113</f>
        <v>0</v>
      </c>
      <c r="K113" s="417"/>
      <c r="L113" s="417"/>
      <c r="M113" s="417">
        <f>J113</f>
        <v>0</v>
      </c>
    </row>
    <row r="114" spans="1:13" s="410" customFormat="1" ht="13.5">
      <c r="A114" s="28"/>
      <c r="B114" s="28"/>
      <c r="C114" s="28" t="s">
        <v>47</v>
      </c>
      <c r="D114" s="28" t="s">
        <v>45</v>
      </c>
      <c r="E114" s="433">
        <v>0.0393</v>
      </c>
      <c r="F114" s="417">
        <f>F109*E114</f>
        <v>1.1397</v>
      </c>
      <c r="G114" s="417"/>
      <c r="H114" s="417"/>
      <c r="I114" s="417"/>
      <c r="J114" s="417">
        <f>F114*I114</f>
        <v>0</v>
      </c>
      <c r="K114" s="417"/>
      <c r="L114" s="417"/>
      <c r="M114" s="417">
        <f>J114</f>
        <v>0</v>
      </c>
    </row>
    <row r="115" spans="1:13" s="410" customFormat="1" ht="33" customHeight="1">
      <c r="A115" s="447">
        <v>3</v>
      </c>
      <c r="B115" s="448" t="s">
        <v>158</v>
      </c>
      <c r="C115" s="140" t="s">
        <v>783</v>
      </c>
      <c r="D115" s="493" t="s">
        <v>50</v>
      </c>
      <c r="E115" s="494"/>
      <c r="F115" s="495">
        <v>2</v>
      </c>
      <c r="G115" s="495"/>
      <c r="H115" s="495"/>
      <c r="I115" s="495"/>
      <c r="J115" s="495"/>
      <c r="K115" s="495"/>
      <c r="L115" s="495"/>
      <c r="M115" s="495"/>
    </row>
    <row r="116" spans="1:13" s="410" customFormat="1" ht="13.5">
      <c r="A116" s="449"/>
      <c r="B116" s="449"/>
      <c r="C116" s="449" t="s">
        <v>43</v>
      </c>
      <c r="D116" s="449" t="s">
        <v>15</v>
      </c>
      <c r="E116" s="450">
        <v>1.43</v>
      </c>
      <c r="F116" s="451">
        <f>F115*E116</f>
        <v>2.86</v>
      </c>
      <c r="G116" s="451"/>
      <c r="H116" s="451">
        <f>F116*G116</f>
        <v>0</v>
      </c>
      <c r="I116" s="451"/>
      <c r="J116" s="451"/>
      <c r="K116" s="451"/>
      <c r="L116" s="451"/>
      <c r="M116" s="451">
        <f>H116</f>
        <v>0</v>
      </c>
    </row>
    <row r="117" spans="1:13" s="410" customFormat="1" ht="13.5">
      <c r="A117" s="449"/>
      <c r="B117" s="449"/>
      <c r="C117" s="449" t="s">
        <v>44</v>
      </c>
      <c r="D117" s="449" t="s">
        <v>45</v>
      </c>
      <c r="E117" s="450">
        <v>0.0257</v>
      </c>
      <c r="F117" s="451">
        <f>F115*E117</f>
        <v>0.0514</v>
      </c>
      <c r="G117" s="451"/>
      <c r="H117" s="451"/>
      <c r="I117" s="451"/>
      <c r="J117" s="451"/>
      <c r="K117" s="451"/>
      <c r="L117" s="451">
        <f>F117*K117</f>
        <v>0</v>
      </c>
      <c r="M117" s="451">
        <f>L117</f>
        <v>0</v>
      </c>
    </row>
    <row r="118" spans="1:13" s="410" customFormat="1" ht="13.5">
      <c r="A118" s="449"/>
      <c r="B118" s="449"/>
      <c r="C118" s="449" t="s">
        <v>157</v>
      </c>
      <c r="D118" s="449" t="s">
        <v>50</v>
      </c>
      <c r="E118" s="450">
        <v>0.929</v>
      </c>
      <c r="F118" s="451">
        <f>F115*E118</f>
        <v>1.858</v>
      </c>
      <c r="G118" s="451"/>
      <c r="H118" s="451"/>
      <c r="I118" s="451"/>
      <c r="J118" s="451">
        <f>F118*I118</f>
        <v>0</v>
      </c>
      <c r="K118" s="451"/>
      <c r="L118" s="451"/>
      <c r="M118" s="451">
        <f>J118</f>
        <v>0</v>
      </c>
    </row>
    <row r="119" spans="1:13" s="410" customFormat="1" ht="13.5">
      <c r="A119" s="452"/>
      <c r="B119" s="452"/>
      <c r="C119" s="452" t="s">
        <v>115</v>
      </c>
      <c r="D119" s="452" t="s">
        <v>51</v>
      </c>
      <c r="E119" s="513" t="s">
        <v>54</v>
      </c>
      <c r="F119" s="453">
        <v>2</v>
      </c>
      <c r="G119" s="453"/>
      <c r="H119" s="453"/>
      <c r="I119" s="453"/>
      <c r="J119" s="453">
        <f>F119*I119</f>
        <v>0</v>
      </c>
      <c r="K119" s="453"/>
      <c r="L119" s="453"/>
      <c r="M119" s="453">
        <f>J119</f>
        <v>0</v>
      </c>
    </row>
    <row r="120" spans="1:13" s="410" customFormat="1" ht="13.5">
      <c r="A120" s="449"/>
      <c r="B120" s="449"/>
      <c r="C120" s="28" t="s">
        <v>47</v>
      </c>
      <c r="D120" s="449" t="s">
        <v>45</v>
      </c>
      <c r="E120" s="450">
        <v>0.0457</v>
      </c>
      <c r="F120" s="451">
        <f>F115*E120</f>
        <v>0.0914</v>
      </c>
      <c r="G120" s="451"/>
      <c r="H120" s="451"/>
      <c r="I120" s="451"/>
      <c r="J120" s="451">
        <f>F120*I120</f>
        <v>0</v>
      </c>
      <c r="K120" s="451"/>
      <c r="L120" s="451"/>
      <c r="M120" s="451">
        <f>J120</f>
        <v>0</v>
      </c>
    </row>
    <row r="121" spans="1:17" s="438" customFormat="1" ht="27">
      <c r="A121" s="135">
        <v>4</v>
      </c>
      <c r="B121" s="135" t="s">
        <v>141</v>
      </c>
      <c r="C121" s="140" t="s">
        <v>118</v>
      </c>
      <c r="D121" s="140" t="s">
        <v>51</v>
      </c>
      <c r="E121" s="472"/>
      <c r="F121" s="473">
        <f>SUM(F124:F133)</f>
        <v>33</v>
      </c>
      <c r="G121" s="756"/>
      <c r="H121" s="756"/>
      <c r="I121" s="756"/>
      <c r="J121" s="756"/>
      <c r="K121" s="757"/>
      <c r="L121" s="757"/>
      <c r="M121" s="756"/>
      <c r="N121" s="437"/>
      <c r="O121" s="437"/>
      <c r="P121" s="436"/>
      <c r="Q121" s="437"/>
    </row>
    <row r="122" spans="1:17" s="442" customFormat="1" ht="16.5">
      <c r="A122" s="474"/>
      <c r="B122" s="475"/>
      <c r="C122" s="420" t="s">
        <v>43</v>
      </c>
      <c r="D122" s="420" t="s">
        <v>15</v>
      </c>
      <c r="E122" s="509">
        <v>0.91</v>
      </c>
      <c r="F122" s="510">
        <f>F121*E122</f>
        <v>30.03</v>
      </c>
      <c r="G122" s="421"/>
      <c r="H122" s="421">
        <f>F122*G122</f>
        <v>0</v>
      </c>
      <c r="I122" s="421"/>
      <c r="J122" s="421"/>
      <c r="K122" s="421"/>
      <c r="L122" s="421"/>
      <c r="M122" s="421">
        <f>H122</f>
        <v>0</v>
      </c>
      <c r="N122" s="439"/>
      <c r="O122" s="440"/>
      <c r="P122" s="439"/>
      <c r="Q122" s="441"/>
    </row>
    <row r="123" spans="1:17" s="442" customFormat="1" ht="16.5">
      <c r="A123" s="474"/>
      <c r="B123" s="474"/>
      <c r="C123" s="420" t="s">
        <v>44</v>
      </c>
      <c r="D123" s="420" t="s">
        <v>45</v>
      </c>
      <c r="E123" s="509">
        <v>0.12</v>
      </c>
      <c r="F123" s="510">
        <f>F121*E123</f>
        <v>3.96</v>
      </c>
      <c r="G123" s="421"/>
      <c r="H123" s="421"/>
      <c r="I123" s="421"/>
      <c r="J123" s="421"/>
      <c r="K123" s="421"/>
      <c r="L123" s="421">
        <f>F123*K123</f>
        <v>0</v>
      </c>
      <c r="M123" s="421">
        <f>L123</f>
        <v>0</v>
      </c>
      <c r="N123" s="441"/>
      <c r="O123" s="441"/>
      <c r="P123" s="441"/>
      <c r="Q123" s="441"/>
    </row>
    <row r="124" spans="1:13" s="441" customFormat="1" ht="16.5">
      <c r="A124" s="474"/>
      <c r="B124" s="475"/>
      <c r="C124" s="420" t="s">
        <v>159</v>
      </c>
      <c r="D124" s="420" t="s">
        <v>51</v>
      </c>
      <c r="E124" s="509" t="s">
        <v>54</v>
      </c>
      <c r="F124" s="510">
        <v>2</v>
      </c>
      <c r="G124" s="421"/>
      <c r="H124" s="421"/>
      <c r="I124" s="421"/>
      <c r="J124" s="421">
        <f aca="true" t="shared" si="4" ref="J124:J135">F124*I124</f>
        <v>0</v>
      </c>
      <c r="K124" s="421"/>
      <c r="L124" s="421"/>
      <c r="M124" s="421">
        <f aca="true" t="shared" si="5" ref="M124:M135">J124</f>
        <v>0</v>
      </c>
    </row>
    <row r="125" spans="1:13" s="441" customFormat="1" ht="16.5">
      <c r="A125" s="474"/>
      <c r="B125" s="475"/>
      <c r="C125" s="420" t="s">
        <v>160</v>
      </c>
      <c r="D125" s="420" t="s">
        <v>51</v>
      </c>
      <c r="E125" s="509" t="s">
        <v>54</v>
      </c>
      <c r="F125" s="510">
        <v>1</v>
      </c>
      <c r="G125" s="421"/>
      <c r="H125" s="421"/>
      <c r="I125" s="421"/>
      <c r="J125" s="421">
        <f t="shared" si="4"/>
        <v>0</v>
      </c>
      <c r="K125" s="421"/>
      <c r="L125" s="421"/>
      <c r="M125" s="421">
        <f t="shared" si="5"/>
        <v>0</v>
      </c>
    </row>
    <row r="126" spans="1:13" s="441" customFormat="1" ht="16.5">
      <c r="A126" s="474"/>
      <c r="B126" s="475"/>
      <c r="C126" s="420" t="s">
        <v>147</v>
      </c>
      <c r="D126" s="420" t="s">
        <v>51</v>
      </c>
      <c r="E126" s="509" t="s">
        <v>54</v>
      </c>
      <c r="F126" s="510">
        <v>2</v>
      </c>
      <c r="G126" s="421"/>
      <c r="H126" s="421"/>
      <c r="I126" s="421"/>
      <c r="J126" s="421">
        <f t="shared" si="4"/>
        <v>0</v>
      </c>
      <c r="K126" s="421"/>
      <c r="L126" s="421"/>
      <c r="M126" s="421">
        <f t="shared" si="5"/>
        <v>0</v>
      </c>
    </row>
    <row r="127" spans="1:13" s="441" customFormat="1" ht="16.5">
      <c r="A127" s="474"/>
      <c r="B127" s="475"/>
      <c r="C127" s="420" t="s">
        <v>772</v>
      </c>
      <c r="D127" s="420" t="s">
        <v>51</v>
      </c>
      <c r="E127" s="509" t="s">
        <v>54</v>
      </c>
      <c r="F127" s="510">
        <v>1</v>
      </c>
      <c r="G127" s="421"/>
      <c r="H127" s="421"/>
      <c r="I127" s="421"/>
      <c r="J127" s="421">
        <f t="shared" si="4"/>
        <v>0</v>
      </c>
      <c r="K127" s="421"/>
      <c r="L127" s="421"/>
      <c r="M127" s="421">
        <f t="shared" si="5"/>
        <v>0</v>
      </c>
    </row>
    <row r="128" spans="1:13" s="441" customFormat="1" ht="16.5">
      <c r="A128" s="474"/>
      <c r="B128" s="475"/>
      <c r="C128" s="420" t="s">
        <v>784</v>
      </c>
      <c r="D128" s="420" t="s">
        <v>51</v>
      </c>
      <c r="E128" s="509" t="s">
        <v>54</v>
      </c>
      <c r="F128" s="510">
        <v>10</v>
      </c>
      <c r="G128" s="421"/>
      <c r="H128" s="421"/>
      <c r="I128" s="421"/>
      <c r="J128" s="421">
        <f t="shared" si="4"/>
        <v>0</v>
      </c>
      <c r="K128" s="421"/>
      <c r="L128" s="421"/>
      <c r="M128" s="421">
        <f t="shared" si="5"/>
        <v>0</v>
      </c>
    </row>
    <row r="129" spans="1:13" s="441" customFormat="1" ht="16.5">
      <c r="A129" s="474"/>
      <c r="B129" s="475"/>
      <c r="C129" s="420" t="s">
        <v>785</v>
      </c>
      <c r="D129" s="420" t="s">
        <v>51</v>
      </c>
      <c r="E129" s="509" t="s">
        <v>54</v>
      </c>
      <c r="F129" s="510">
        <v>2</v>
      </c>
      <c r="G129" s="421"/>
      <c r="H129" s="421"/>
      <c r="I129" s="421"/>
      <c r="J129" s="421">
        <f t="shared" si="4"/>
        <v>0</v>
      </c>
      <c r="K129" s="421"/>
      <c r="L129" s="421"/>
      <c r="M129" s="421">
        <f t="shared" si="5"/>
        <v>0</v>
      </c>
    </row>
    <row r="130" spans="1:13" s="441" customFormat="1" ht="16.5">
      <c r="A130" s="474"/>
      <c r="B130" s="475"/>
      <c r="C130" s="420" t="s">
        <v>777</v>
      </c>
      <c r="D130" s="420" t="s">
        <v>51</v>
      </c>
      <c r="E130" s="509" t="s">
        <v>54</v>
      </c>
      <c r="F130" s="510">
        <v>2</v>
      </c>
      <c r="G130" s="421"/>
      <c r="H130" s="421"/>
      <c r="I130" s="421"/>
      <c r="J130" s="421">
        <f t="shared" si="4"/>
        <v>0</v>
      </c>
      <c r="K130" s="421"/>
      <c r="L130" s="421"/>
      <c r="M130" s="421">
        <f t="shared" si="5"/>
        <v>0</v>
      </c>
    </row>
    <row r="131" spans="1:13" s="441" customFormat="1" ht="16.5">
      <c r="A131" s="474"/>
      <c r="B131" s="475"/>
      <c r="C131" s="420" t="s">
        <v>786</v>
      </c>
      <c r="D131" s="420" t="s">
        <v>51</v>
      </c>
      <c r="E131" s="509" t="s">
        <v>54</v>
      </c>
      <c r="F131" s="510">
        <v>10</v>
      </c>
      <c r="G131" s="421"/>
      <c r="H131" s="421"/>
      <c r="I131" s="421"/>
      <c r="J131" s="421">
        <f t="shared" si="4"/>
        <v>0</v>
      </c>
      <c r="K131" s="421"/>
      <c r="L131" s="421"/>
      <c r="M131" s="421">
        <f t="shared" si="5"/>
        <v>0</v>
      </c>
    </row>
    <row r="132" spans="1:13" s="441" customFormat="1" ht="16.5">
      <c r="A132" s="474"/>
      <c r="B132" s="475"/>
      <c r="C132" s="420" t="s">
        <v>787</v>
      </c>
      <c r="D132" s="420" t="s">
        <v>51</v>
      </c>
      <c r="E132" s="509" t="s">
        <v>54</v>
      </c>
      <c r="F132" s="510">
        <v>2</v>
      </c>
      <c r="G132" s="421"/>
      <c r="H132" s="421"/>
      <c r="I132" s="421"/>
      <c r="J132" s="421">
        <f t="shared" si="4"/>
        <v>0</v>
      </c>
      <c r="K132" s="421"/>
      <c r="L132" s="421"/>
      <c r="M132" s="421">
        <f t="shared" si="5"/>
        <v>0</v>
      </c>
    </row>
    <row r="133" spans="1:13" s="437" customFormat="1" ht="16.5">
      <c r="A133" s="466"/>
      <c r="B133" s="476"/>
      <c r="C133" s="471" t="s">
        <v>161</v>
      </c>
      <c r="D133" s="471" t="s">
        <v>51</v>
      </c>
      <c r="E133" s="511" t="s">
        <v>54</v>
      </c>
      <c r="F133" s="512">
        <v>1</v>
      </c>
      <c r="G133" s="758"/>
      <c r="H133" s="758"/>
      <c r="I133" s="758"/>
      <c r="J133" s="758">
        <f t="shared" si="4"/>
        <v>0</v>
      </c>
      <c r="K133" s="758"/>
      <c r="L133" s="758"/>
      <c r="M133" s="758">
        <f t="shared" si="5"/>
        <v>0</v>
      </c>
    </row>
    <row r="134" spans="1:13" s="437" customFormat="1" ht="16.5">
      <c r="A134" s="466"/>
      <c r="B134" s="476"/>
      <c r="C134" s="471" t="s">
        <v>156</v>
      </c>
      <c r="D134" s="471" t="s">
        <v>51</v>
      </c>
      <c r="E134" s="511" t="s">
        <v>54</v>
      </c>
      <c r="F134" s="512">
        <v>4</v>
      </c>
      <c r="G134" s="758"/>
      <c r="H134" s="758"/>
      <c r="I134" s="758"/>
      <c r="J134" s="758">
        <f t="shared" si="4"/>
        <v>0</v>
      </c>
      <c r="K134" s="758"/>
      <c r="L134" s="758"/>
      <c r="M134" s="758">
        <f t="shared" si="5"/>
        <v>0</v>
      </c>
    </row>
    <row r="135" spans="1:13" s="441" customFormat="1" ht="16.5">
      <c r="A135" s="474"/>
      <c r="B135" s="474"/>
      <c r="C135" s="28" t="s">
        <v>47</v>
      </c>
      <c r="D135" s="420" t="s">
        <v>45</v>
      </c>
      <c r="E135" s="509">
        <v>0.07</v>
      </c>
      <c r="F135" s="510">
        <f>F121*E135</f>
        <v>2.31</v>
      </c>
      <c r="G135" s="421"/>
      <c r="H135" s="421"/>
      <c r="I135" s="421"/>
      <c r="J135" s="421">
        <f t="shared" si="4"/>
        <v>0</v>
      </c>
      <c r="K135" s="421"/>
      <c r="L135" s="421"/>
      <c r="M135" s="421">
        <f t="shared" si="5"/>
        <v>0</v>
      </c>
    </row>
    <row r="136" spans="1:13" s="410" customFormat="1" ht="15.75">
      <c r="A136" s="301">
        <v>7</v>
      </c>
      <c r="B136" s="443" t="s">
        <v>148</v>
      </c>
      <c r="C136" s="496" t="s">
        <v>780</v>
      </c>
      <c r="D136" s="496" t="s">
        <v>51</v>
      </c>
      <c r="E136" s="497"/>
      <c r="F136" s="498">
        <v>1</v>
      </c>
      <c r="G136" s="498"/>
      <c r="H136" s="498"/>
      <c r="I136" s="498"/>
      <c r="J136" s="498"/>
      <c r="K136" s="498"/>
      <c r="L136" s="498"/>
      <c r="M136" s="498"/>
    </row>
    <row r="137" spans="1:13" s="410" customFormat="1" ht="13.5">
      <c r="A137" s="28"/>
      <c r="B137" s="28"/>
      <c r="C137" s="28" t="s">
        <v>43</v>
      </c>
      <c r="D137" s="28" t="s">
        <v>15</v>
      </c>
      <c r="E137" s="433">
        <v>1.51</v>
      </c>
      <c r="F137" s="417">
        <f>F136*E137</f>
        <v>1.51</v>
      </c>
      <c r="G137" s="417"/>
      <c r="H137" s="417">
        <f>F137*G137</f>
        <v>0</v>
      </c>
      <c r="I137" s="417"/>
      <c r="J137" s="417"/>
      <c r="K137" s="417"/>
      <c r="L137" s="417"/>
      <c r="M137" s="417">
        <f>H137</f>
        <v>0</v>
      </c>
    </row>
    <row r="138" spans="1:13" s="410" customFormat="1" ht="13.5">
      <c r="A138" s="28"/>
      <c r="B138" s="28"/>
      <c r="C138" s="28" t="s">
        <v>44</v>
      </c>
      <c r="D138" s="28" t="s">
        <v>45</v>
      </c>
      <c r="E138" s="433">
        <v>0.13</v>
      </c>
      <c r="F138" s="417">
        <f>F136*E138</f>
        <v>0.13</v>
      </c>
      <c r="G138" s="417"/>
      <c r="H138" s="417"/>
      <c r="I138" s="417"/>
      <c r="J138" s="417"/>
      <c r="K138" s="417"/>
      <c r="L138" s="417">
        <f>F138*K138</f>
        <v>0</v>
      </c>
      <c r="M138" s="417">
        <f>L138</f>
        <v>0</v>
      </c>
    </row>
    <row r="139" spans="1:13" s="410" customFormat="1" ht="13.5">
      <c r="A139" s="28"/>
      <c r="B139" s="28"/>
      <c r="C139" s="28" t="s">
        <v>162</v>
      </c>
      <c r="D139" s="28" t="s">
        <v>51</v>
      </c>
      <c r="E139" s="513" t="s">
        <v>54</v>
      </c>
      <c r="F139" s="417">
        <v>2</v>
      </c>
      <c r="G139" s="417"/>
      <c r="H139" s="417"/>
      <c r="I139" s="417"/>
      <c r="J139" s="417">
        <f>F139*I139</f>
        <v>0</v>
      </c>
      <c r="K139" s="417"/>
      <c r="L139" s="417"/>
      <c r="M139" s="417">
        <f>J139</f>
        <v>0</v>
      </c>
    </row>
    <row r="140" spans="1:13" s="410" customFormat="1" ht="13.5">
      <c r="A140" s="28"/>
      <c r="B140" s="28"/>
      <c r="C140" s="28" t="s">
        <v>152</v>
      </c>
      <c r="D140" s="28" t="s">
        <v>51</v>
      </c>
      <c r="E140" s="513" t="s">
        <v>54</v>
      </c>
      <c r="F140" s="417">
        <v>11</v>
      </c>
      <c r="G140" s="417"/>
      <c r="H140" s="417"/>
      <c r="I140" s="417"/>
      <c r="J140" s="417">
        <f>F140*I140</f>
        <v>0</v>
      </c>
      <c r="K140" s="417"/>
      <c r="L140" s="417"/>
      <c r="M140" s="417">
        <f>J140</f>
        <v>0</v>
      </c>
    </row>
    <row r="141" spans="1:13" s="410" customFormat="1" ht="13.5">
      <c r="A141" s="28"/>
      <c r="B141" s="28"/>
      <c r="C141" s="28" t="s">
        <v>47</v>
      </c>
      <c r="D141" s="28" t="s">
        <v>45</v>
      </c>
      <c r="E141" s="433">
        <v>0.07</v>
      </c>
      <c r="F141" s="417">
        <f>F136*E141</f>
        <v>0.07</v>
      </c>
      <c r="G141" s="417"/>
      <c r="H141" s="417"/>
      <c r="I141" s="417"/>
      <c r="J141" s="417">
        <f>F141*I141</f>
        <v>0</v>
      </c>
      <c r="K141" s="417"/>
      <c r="L141" s="417"/>
      <c r="M141" s="417">
        <f>J141</f>
        <v>0</v>
      </c>
    </row>
    <row r="142" spans="1:13" s="410" customFormat="1" ht="47.25">
      <c r="A142" s="454">
        <v>9</v>
      </c>
      <c r="B142" s="148" t="s">
        <v>111</v>
      </c>
      <c r="C142" s="119" t="s">
        <v>764</v>
      </c>
      <c r="D142" s="644" t="s">
        <v>112</v>
      </c>
      <c r="E142" s="644"/>
      <c r="F142" s="645">
        <v>2</v>
      </c>
      <c r="G142" s="499"/>
      <c r="H142" s="499"/>
      <c r="I142" s="499"/>
      <c r="J142" s="499"/>
      <c r="K142" s="499"/>
      <c r="L142" s="499"/>
      <c r="M142" s="499"/>
    </row>
    <row r="143" spans="1:13" s="410" customFormat="1" ht="15">
      <c r="A143" s="455"/>
      <c r="B143" s="186"/>
      <c r="C143" s="28" t="s">
        <v>43</v>
      </c>
      <c r="D143" s="28" t="s">
        <v>15</v>
      </c>
      <c r="E143" s="515">
        <v>8.22</v>
      </c>
      <c r="F143" s="456">
        <f>F142*E143</f>
        <v>16.44</v>
      </c>
      <c r="G143" s="516"/>
      <c r="H143" s="516">
        <f aca="true" t="shared" si="6" ref="H143:H148">F143*G143</f>
        <v>0</v>
      </c>
      <c r="I143" s="516"/>
      <c r="J143" s="516">
        <f aca="true" t="shared" si="7" ref="J143:J148">F143*I143</f>
        <v>0</v>
      </c>
      <c r="K143" s="516"/>
      <c r="L143" s="516">
        <f aca="true" t="shared" si="8" ref="L143:L148">F143*K143</f>
        <v>0</v>
      </c>
      <c r="M143" s="516">
        <f aca="true" t="shared" si="9" ref="M143:M148">H143+J143+L143</f>
        <v>0</v>
      </c>
    </row>
    <row r="144" spans="1:13" s="410" customFormat="1" ht="15">
      <c r="A144" s="455"/>
      <c r="B144" s="186"/>
      <c r="C144" s="28" t="s">
        <v>44</v>
      </c>
      <c r="D144" s="28" t="s">
        <v>45</v>
      </c>
      <c r="E144" s="515">
        <v>0.31</v>
      </c>
      <c r="F144" s="517">
        <f>F142*E144</f>
        <v>0.62</v>
      </c>
      <c r="G144" s="516"/>
      <c r="H144" s="516">
        <f t="shared" si="6"/>
        <v>0</v>
      </c>
      <c r="I144" s="516"/>
      <c r="J144" s="516">
        <f t="shared" si="7"/>
        <v>0</v>
      </c>
      <c r="K144" s="516"/>
      <c r="L144" s="516">
        <f t="shared" si="8"/>
        <v>0</v>
      </c>
      <c r="M144" s="516">
        <f t="shared" si="9"/>
        <v>0</v>
      </c>
    </row>
    <row r="145" spans="1:13" s="410" customFormat="1" ht="35.25" customHeight="1">
      <c r="A145" s="455"/>
      <c r="B145" s="186"/>
      <c r="C145" s="478" t="s">
        <v>596</v>
      </c>
      <c r="D145" s="457" t="s">
        <v>112</v>
      </c>
      <c r="E145" s="518">
        <v>1</v>
      </c>
      <c r="F145" s="517">
        <f>F142*E145</f>
        <v>2</v>
      </c>
      <c r="G145" s="516"/>
      <c r="H145" s="516">
        <f t="shared" si="6"/>
        <v>0</v>
      </c>
      <c r="I145" s="516"/>
      <c r="J145" s="516">
        <f t="shared" si="7"/>
        <v>0</v>
      </c>
      <c r="K145" s="516"/>
      <c r="L145" s="516">
        <f t="shared" si="8"/>
        <v>0</v>
      </c>
      <c r="M145" s="516">
        <f t="shared" si="9"/>
        <v>0</v>
      </c>
    </row>
    <row r="146" spans="1:13" s="410" customFormat="1" ht="15">
      <c r="A146" s="455"/>
      <c r="B146" s="186"/>
      <c r="C146" s="259" t="s">
        <v>806</v>
      </c>
      <c r="D146" s="457" t="s">
        <v>112</v>
      </c>
      <c r="E146" s="518">
        <v>2</v>
      </c>
      <c r="F146" s="517">
        <f>F142*E146</f>
        <v>4</v>
      </c>
      <c r="G146" s="516"/>
      <c r="H146" s="516">
        <f t="shared" si="6"/>
        <v>0</v>
      </c>
      <c r="I146" s="516"/>
      <c r="J146" s="516">
        <f t="shared" si="7"/>
        <v>0</v>
      </c>
      <c r="K146" s="516"/>
      <c r="L146" s="516">
        <f t="shared" si="8"/>
        <v>0</v>
      </c>
      <c r="M146" s="516">
        <f t="shared" si="9"/>
        <v>0</v>
      </c>
    </row>
    <row r="147" spans="1:13" s="410" customFormat="1" ht="15">
      <c r="A147" s="455"/>
      <c r="B147" s="186"/>
      <c r="C147" s="259" t="s">
        <v>807</v>
      </c>
      <c r="D147" s="457" t="s">
        <v>112</v>
      </c>
      <c r="E147" s="518">
        <v>2</v>
      </c>
      <c r="F147" s="517">
        <f>F142*E147</f>
        <v>4</v>
      </c>
      <c r="G147" s="516"/>
      <c r="H147" s="516">
        <f t="shared" si="6"/>
        <v>0</v>
      </c>
      <c r="I147" s="516"/>
      <c r="J147" s="516">
        <f t="shared" si="7"/>
        <v>0</v>
      </c>
      <c r="K147" s="516"/>
      <c r="L147" s="516">
        <f t="shared" si="8"/>
        <v>0</v>
      </c>
      <c r="M147" s="516">
        <f t="shared" si="9"/>
        <v>0</v>
      </c>
    </row>
    <row r="148" spans="1:13" s="410" customFormat="1" ht="15">
      <c r="A148" s="455"/>
      <c r="B148" s="186"/>
      <c r="C148" s="259" t="s">
        <v>742</v>
      </c>
      <c r="D148" s="515" t="s">
        <v>32</v>
      </c>
      <c r="E148" s="518">
        <v>0.2</v>
      </c>
      <c r="F148" s="517">
        <f>F142*E148</f>
        <v>0.4</v>
      </c>
      <c r="G148" s="516"/>
      <c r="H148" s="516">
        <f t="shared" si="6"/>
        <v>0</v>
      </c>
      <c r="I148" s="516"/>
      <c r="J148" s="516">
        <f t="shared" si="7"/>
        <v>0</v>
      </c>
      <c r="K148" s="516"/>
      <c r="L148" s="516">
        <f t="shared" si="8"/>
        <v>0</v>
      </c>
      <c r="M148" s="516">
        <f t="shared" si="9"/>
        <v>0</v>
      </c>
    </row>
    <row r="149" spans="1:65" s="397" customFormat="1" ht="15.75">
      <c r="A149" s="258"/>
      <c r="B149" s="258"/>
      <c r="C149" s="140" t="s">
        <v>24</v>
      </c>
      <c r="D149" s="500"/>
      <c r="E149" s="501"/>
      <c r="F149" s="502"/>
      <c r="G149" s="759"/>
      <c r="H149" s="491">
        <f>SUM(H8:H148)</f>
        <v>0</v>
      </c>
      <c r="I149" s="760"/>
      <c r="J149" s="491">
        <f>SUM(J8:J148)</f>
        <v>0</v>
      </c>
      <c r="K149" s="760"/>
      <c r="L149" s="491">
        <f>SUM(L8:L148)</f>
        <v>0</v>
      </c>
      <c r="M149" s="491">
        <f>L149+J149+H149</f>
        <v>0</v>
      </c>
      <c r="N149" s="395"/>
      <c r="O149" s="395"/>
      <c r="P149" s="395"/>
      <c r="Q149" s="395"/>
      <c r="R149" s="459"/>
      <c r="S149" s="460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395"/>
      <c r="BE149" s="395"/>
      <c r="BF149" s="395"/>
      <c r="BG149" s="395"/>
      <c r="BH149" s="395"/>
      <c r="BI149" s="395"/>
      <c r="BJ149" s="395"/>
      <c r="BK149" s="395"/>
      <c r="BL149" s="395"/>
      <c r="BM149" s="395"/>
    </row>
    <row r="150" spans="1:65" s="397" customFormat="1" ht="15.75">
      <c r="A150" s="264"/>
      <c r="B150" s="264"/>
      <c r="C150" s="140" t="s">
        <v>30</v>
      </c>
      <c r="D150" s="503">
        <v>0</v>
      </c>
      <c r="E150" s="501"/>
      <c r="F150" s="504"/>
      <c r="G150" s="759"/>
      <c r="H150" s="760"/>
      <c r="I150" s="760"/>
      <c r="J150" s="760"/>
      <c r="K150" s="760"/>
      <c r="L150" s="491"/>
      <c r="M150" s="491">
        <f>M149*D150</f>
        <v>0</v>
      </c>
      <c r="N150" s="395"/>
      <c r="O150" s="395"/>
      <c r="P150" s="395"/>
      <c r="Q150" s="395"/>
      <c r="R150" s="395"/>
      <c r="S150" s="396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395"/>
      <c r="BE150" s="395"/>
      <c r="BF150" s="395"/>
      <c r="BG150" s="395"/>
      <c r="BH150" s="395"/>
      <c r="BI150" s="395"/>
      <c r="BJ150" s="395"/>
      <c r="BK150" s="395"/>
      <c r="BL150" s="395"/>
      <c r="BM150" s="395"/>
    </row>
    <row r="151" spans="1:65" s="397" customFormat="1" ht="15.75">
      <c r="A151" s="264"/>
      <c r="B151" s="264"/>
      <c r="C151" s="140" t="s">
        <v>0</v>
      </c>
      <c r="D151" s="503"/>
      <c r="E151" s="505"/>
      <c r="F151" s="504"/>
      <c r="G151" s="759"/>
      <c r="H151" s="760"/>
      <c r="I151" s="760"/>
      <c r="J151" s="760"/>
      <c r="K151" s="760"/>
      <c r="L151" s="491"/>
      <c r="M151" s="491">
        <f>M149+M150</f>
        <v>0</v>
      </c>
      <c r="N151" s="395"/>
      <c r="O151" s="395"/>
      <c r="P151" s="395"/>
      <c r="Q151" s="395"/>
      <c r="R151" s="395"/>
      <c r="S151" s="396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395"/>
      <c r="BE151" s="395"/>
      <c r="BF151" s="395"/>
      <c r="BG151" s="395"/>
      <c r="BH151" s="395"/>
      <c r="BI151" s="395"/>
      <c r="BJ151" s="395"/>
      <c r="BK151" s="395"/>
      <c r="BL151" s="395"/>
      <c r="BM151" s="395"/>
    </row>
    <row r="152" spans="1:65" s="397" customFormat="1" ht="15.75">
      <c r="A152" s="264"/>
      <c r="B152" s="264"/>
      <c r="C152" s="140" t="s">
        <v>17</v>
      </c>
      <c r="D152" s="503">
        <v>0</v>
      </c>
      <c r="E152" s="501"/>
      <c r="F152" s="504"/>
      <c r="G152" s="759"/>
      <c r="H152" s="760"/>
      <c r="I152" s="760"/>
      <c r="J152" s="760"/>
      <c r="K152" s="760"/>
      <c r="L152" s="491"/>
      <c r="M152" s="491">
        <f>M151*D152</f>
        <v>0</v>
      </c>
      <c r="N152" s="395"/>
      <c r="O152" s="395"/>
      <c r="P152" s="395"/>
      <c r="Q152" s="395"/>
      <c r="R152" s="395"/>
      <c r="S152" s="396"/>
      <c r="X152" s="395"/>
      <c r="Y152" s="395"/>
      <c r="Z152" s="395"/>
      <c r="AA152" s="395"/>
      <c r="AB152" s="395"/>
      <c r="AC152" s="395"/>
      <c r="AD152" s="395"/>
      <c r="AE152" s="395"/>
      <c r="AF152" s="395"/>
      <c r="AG152" s="395"/>
      <c r="AH152" s="395"/>
      <c r="AI152" s="395"/>
      <c r="AJ152" s="395"/>
      <c r="AK152" s="395"/>
      <c r="AL152" s="395"/>
      <c r="AM152" s="395"/>
      <c r="AN152" s="395"/>
      <c r="AO152" s="395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395"/>
      <c r="BE152" s="395"/>
      <c r="BF152" s="395"/>
      <c r="BG152" s="395"/>
      <c r="BH152" s="395"/>
      <c r="BI152" s="395"/>
      <c r="BJ152" s="395"/>
      <c r="BK152" s="395"/>
      <c r="BL152" s="395"/>
      <c r="BM152" s="395"/>
    </row>
    <row r="153" spans="1:65" s="397" customFormat="1" ht="15.75">
      <c r="A153" s="264"/>
      <c r="B153" s="264"/>
      <c r="C153" s="140" t="s">
        <v>18</v>
      </c>
      <c r="D153" s="500"/>
      <c r="E153" s="501"/>
      <c r="F153" s="504"/>
      <c r="G153" s="759"/>
      <c r="H153" s="760"/>
      <c r="I153" s="760"/>
      <c r="J153" s="760"/>
      <c r="K153" s="760"/>
      <c r="L153" s="491"/>
      <c r="M153" s="491">
        <f>SUM(M151:M152)</f>
        <v>0</v>
      </c>
      <c r="N153" s="395"/>
      <c r="O153" s="395"/>
      <c r="P153" s="395"/>
      <c r="Q153" s="395"/>
      <c r="R153" s="395"/>
      <c r="S153" s="396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395"/>
      <c r="BE153" s="395"/>
      <c r="BF153" s="395"/>
      <c r="BG153" s="395"/>
      <c r="BH153" s="395"/>
      <c r="BI153" s="395"/>
      <c r="BJ153" s="395"/>
      <c r="BK153" s="395"/>
      <c r="BL153" s="395"/>
      <c r="BM153" s="395"/>
    </row>
    <row r="154" spans="1:65" s="397" customFormat="1" ht="13.5">
      <c r="A154" s="207"/>
      <c r="B154" s="177"/>
      <c r="C154" s="463"/>
      <c r="D154" s="396"/>
      <c r="E154" s="395"/>
      <c r="F154" s="395"/>
      <c r="G154" s="395"/>
      <c r="H154" s="395"/>
      <c r="I154" s="395"/>
      <c r="J154" s="395"/>
      <c r="K154" s="395"/>
      <c r="L154" s="395"/>
      <c r="M154" s="395"/>
      <c r="N154" s="395"/>
      <c r="O154" s="395"/>
      <c r="P154" s="395"/>
      <c r="Q154" s="395"/>
      <c r="R154" s="395"/>
      <c r="S154" s="396"/>
      <c r="X154" s="395"/>
      <c r="Y154" s="395"/>
      <c r="Z154" s="395"/>
      <c r="AA154" s="395"/>
      <c r="AB154" s="395"/>
      <c r="AC154" s="395"/>
      <c r="AD154" s="395"/>
      <c r="AE154" s="395"/>
      <c r="AF154" s="395"/>
      <c r="AG154" s="395"/>
      <c r="AH154" s="395"/>
      <c r="AI154" s="395"/>
      <c r="AJ154" s="395"/>
      <c r="AK154" s="395"/>
      <c r="AL154" s="395"/>
      <c r="AM154" s="395"/>
      <c r="AN154" s="395"/>
      <c r="AO154" s="395"/>
      <c r="AP154" s="395"/>
      <c r="AQ154" s="395"/>
      <c r="AR154" s="395"/>
      <c r="AS154" s="395"/>
      <c r="AT154" s="395"/>
      <c r="AU154" s="395"/>
      <c r="AV154" s="395"/>
      <c r="AW154" s="395"/>
      <c r="AX154" s="395"/>
      <c r="AY154" s="395"/>
      <c r="AZ154" s="395"/>
      <c r="BA154" s="395"/>
      <c r="BB154" s="395"/>
      <c r="BC154" s="395"/>
      <c r="BD154" s="395"/>
      <c r="BE154" s="395"/>
      <c r="BF154" s="395"/>
      <c r="BG154" s="395"/>
      <c r="BH154" s="395"/>
      <c r="BI154" s="395"/>
      <c r="BJ154" s="395"/>
      <c r="BK154" s="395"/>
      <c r="BL154" s="395"/>
      <c r="BM154" s="395"/>
    </row>
  </sheetData>
  <sheetProtection/>
  <autoFilter ref="A7:M7"/>
  <mergeCells count="11">
    <mergeCell ref="A4:A5"/>
    <mergeCell ref="B4:B5"/>
    <mergeCell ref="C4:C5"/>
    <mergeCell ref="D4:F4"/>
    <mergeCell ref="G4:H4"/>
    <mergeCell ref="B1:P1"/>
    <mergeCell ref="B2:O2"/>
    <mergeCell ref="B3:L3"/>
    <mergeCell ref="I4:J4"/>
    <mergeCell ref="K4:L4"/>
    <mergeCell ref="M4:M5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233"/>
  <sheetViews>
    <sheetView view="pageBreakPreview" zoomScaleSheetLayoutView="100" zoomScalePageLayoutView="0" workbookViewId="0" topLeftCell="A220">
      <selection activeCell="A234" sqref="A234:IV234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32.00390625" style="0" customWidth="1"/>
    <col min="4" max="4" width="8.421875" style="0" customWidth="1"/>
    <col min="5" max="5" width="7.57421875" style="0" customWidth="1"/>
    <col min="6" max="6" width="13.140625" style="0" customWidth="1"/>
    <col min="7" max="7" width="6.8515625" style="0" customWidth="1"/>
    <col min="8" max="8" width="9.7109375" style="0" customWidth="1"/>
    <col min="9" max="9" width="8.140625" style="0" customWidth="1"/>
    <col min="11" max="11" width="6.8515625" style="0" customWidth="1"/>
    <col min="13" max="13" width="10.421875" style="0" customWidth="1"/>
  </cols>
  <sheetData>
    <row r="1" spans="1:13" ht="18" customHeight="1">
      <c r="A1" s="1087" t="s">
        <v>1216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</row>
    <row r="2" spans="1:13" ht="17.25" customHeight="1">
      <c r="A2" s="1086" t="s">
        <v>1220</v>
      </c>
      <c r="B2" s="1086"/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</row>
    <row r="3" spans="1:13" ht="22.5" customHeight="1">
      <c r="A3" s="1086" t="s">
        <v>611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</row>
    <row r="4" spans="1:23" s="395" customFormat="1" ht="39.75" customHeight="1">
      <c r="A4" s="1084" t="s">
        <v>1</v>
      </c>
      <c r="B4" s="1084" t="s">
        <v>72</v>
      </c>
      <c r="C4" s="1085" t="s">
        <v>59</v>
      </c>
      <c r="D4" s="1083" t="s">
        <v>73</v>
      </c>
      <c r="E4" s="1083"/>
      <c r="F4" s="1083"/>
      <c r="G4" s="1083" t="s">
        <v>74</v>
      </c>
      <c r="H4" s="1083"/>
      <c r="I4" s="1083" t="s">
        <v>75</v>
      </c>
      <c r="J4" s="1083"/>
      <c r="K4" s="1066" t="s">
        <v>76</v>
      </c>
      <c r="L4" s="1066"/>
      <c r="M4" s="1083" t="s">
        <v>0</v>
      </c>
      <c r="S4" s="396"/>
      <c r="T4" s="397"/>
      <c r="U4" s="397"/>
      <c r="V4" s="397"/>
      <c r="W4" s="397"/>
    </row>
    <row r="5" spans="1:23" s="395" customFormat="1" ht="25.5">
      <c r="A5" s="1084"/>
      <c r="B5" s="1084"/>
      <c r="C5" s="1085"/>
      <c r="D5" s="812" t="s">
        <v>77</v>
      </c>
      <c r="E5" s="812" t="s">
        <v>78</v>
      </c>
      <c r="F5" s="812" t="s">
        <v>79</v>
      </c>
      <c r="G5" s="810" t="s">
        <v>80</v>
      </c>
      <c r="H5" s="812" t="s">
        <v>79</v>
      </c>
      <c r="I5" s="810" t="s">
        <v>80</v>
      </c>
      <c r="J5" s="812" t="s">
        <v>79</v>
      </c>
      <c r="K5" s="810" t="s">
        <v>80</v>
      </c>
      <c r="L5" s="812" t="s">
        <v>79</v>
      </c>
      <c r="M5" s="1083"/>
      <c r="S5" s="396"/>
      <c r="T5" s="397"/>
      <c r="U5" s="397"/>
      <c r="V5" s="397"/>
      <c r="W5" s="397"/>
    </row>
    <row r="6" spans="1:23" s="395" customFormat="1" ht="13.5" customHeight="1">
      <c r="A6" s="811" t="s">
        <v>2</v>
      </c>
      <c r="B6" s="811" t="s">
        <v>3</v>
      </c>
      <c r="C6" s="811" t="s">
        <v>4</v>
      </c>
      <c r="D6" s="811" t="s">
        <v>5</v>
      </c>
      <c r="E6" s="813" t="s">
        <v>84</v>
      </c>
      <c r="F6" s="811" t="s">
        <v>7</v>
      </c>
      <c r="G6" s="811" t="s">
        <v>8</v>
      </c>
      <c r="H6" s="811" t="s">
        <v>9</v>
      </c>
      <c r="I6" s="811" t="s">
        <v>10</v>
      </c>
      <c r="J6" s="811" t="s">
        <v>11</v>
      </c>
      <c r="K6" s="811" t="s">
        <v>12</v>
      </c>
      <c r="L6" s="811" t="s">
        <v>13</v>
      </c>
      <c r="M6" s="811" t="s">
        <v>14</v>
      </c>
      <c r="S6" s="396"/>
      <c r="T6" s="397"/>
      <c r="U6" s="397"/>
      <c r="V6" s="397"/>
      <c r="W6" s="397"/>
    </row>
    <row r="7" spans="1:13" ht="28.5">
      <c r="A7" s="818"/>
      <c r="B7" s="818"/>
      <c r="C7" s="39" t="s">
        <v>891</v>
      </c>
      <c r="D7" s="40"/>
      <c r="E7" s="40"/>
      <c r="F7" s="40"/>
      <c r="G7" s="761"/>
      <c r="H7" s="761"/>
      <c r="I7" s="761"/>
      <c r="J7" s="759"/>
      <c r="K7" s="761"/>
      <c r="L7" s="759"/>
      <c r="M7" s="759"/>
    </row>
    <row r="8" spans="1:13" ht="15">
      <c r="A8" s="818"/>
      <c r="B8" s="818"/>
      <c r="C8" s="41" t="s">
        <v>443</v>
      </c>
      <c r="D8" s="42"/>
      <c r="E8" s="43"/>
      <c r="F8" s="37"/>
      <c r="G8" s="737"/>
      <c r="H8" s="737"/>
      <c r="I8" s="737"/>
      <c r="J8" s="759"/>
      <c r="K8" s="737"/>
      <c r="L8" s="759"/>
      <c r="M8" s="759"/>
    </row>
    <row r="9" spans="1:13" s="824" customFormat="1" ht="12.75">
      <c r="A9" s="629">
        <v>1</v>
      </c>
      <c r="B9" s="834" t="s">
        <v>895</v>
      </c>
      <c r="C9" s="822" t="s">
        <v>898</v>
      </c>
      <c r="D9" s="823" t="s">
        <v>896</v>
      </c>
      <c r="E9" s="696"/>
      <c r="F9" s="823">
        <f>F12+F13+F14+F15+F16+F17+F18+F19+F20+F21+F22</f>
        <v>3525</v>
      </c>
      <c r="G9" s="806"/>
      <c r="H9" s="729">
        <f>F9*G9</f>
        <v>0</v>
      </c>
      <c r="I9" s="806"/>
      <c r="J9" s="729">
        <f>F9*I9</f>
        <v>0</v>
      </c>
      <c r="K9" s="806"/>
      <c r="L9" s="729">
        <f>F9*K9</f>
        <v>0</v>
      </c>
      <c r="M9" s="729">
        <f>H9+J9+L9</f>
        <v>0</v>
      </c>
    </row>
    <row r="10" spans="1:13" s="824" customFormat="1" ht="12.75">
      <c r="A10" s="835"/>
      <c r="B10" s="835"/>
      <c r="C10" s="832" t="s">
        <v>738</v>
      </c>
      <c r="D10" s="825" t="s">
        <v>15</v>
      </c>
      <c r="E10" s="662">
        <v>0.41</v>
      </c>
      <c r="F10" s="826">
        <f>F9*E10</f>
        <v>1445.25</v>
      </c>
      <c r="G10" s="827"/>
      <c r="H10" s="729">
        <f>F10*G10</f>
        <v>0</v>
      </c>
      <c r="I10" s="827"/>
      <c r="J10" s="729">
        <f>F10*I10</f>
        <v>0</v>
      </c>
      <c r="K10" s="827"/>
      <c r="L10" s="729">
        <f>F10*K10</f>
        <v>0</v>
      </c>
      <c r="M10" s="729">
        <f>H10+J10+L10</f>
        <v>0</v>
      </c>
    </row>
    <row r="11" spans="1:13" s="824" customFormat="1" ht="12.75">
      <c r="A11" s="835"/>
      <c r="B11" s="835"/>
      <c r="C11" s="832" t="s">
        <v>897</v>
      </c>
      <c r="D11" s="825" t="s">
        <v>45</v>
      </c>
      <c r="E11" s="662">
        <v>0.262</v>
      </c>
      <c r="F11" s="826">
        <f>F9*E11</f>
        <v>923.5500000000001</v>
      </c>
      <c r="G11" s="827"/>
      <c r="H11" s="729">
        <f>F11*G11</f>
        <v>0</v>
      </c>
      <c r="I11" s="827"/>
      <c r="J11" s="729">
        <f>F11*I11</f>
        <v>0</v>
      </c>
      <c r="K11" s="827"/>
      <c r="L11" s="729">
        <f>F11*K11</f>
        <v>0</v>
      </c>
      <c r="M11" s="729">
        <f>H11+J11+L11</f>
        <v>0</v>
      </c>
    </row>
    <row r="12" spans="1:13" ht="30">
      <c r="A12" s="836"/>
      <c r="B12" s="836"/>
      <c r="C12" s="52" t="s">
        <v>444</v>
      </c>
      <c r="D12" s="53" t="s">
        <v>445</v>
      </c>
      <c r="E12" s="47"/>
      <c r="F12" s="763">
        <v>1100</v>
      </c>
      <c r="G12" s="763"/>
      <c r="H12" s="763">
        <f aca="true" t="shared" si="0" ref="H12:H48">F12*G12</f>
        <v>0</v>
      </c>
      <c r="I12" s="763"/>
      <c r="J12" s="759">
        <f aca="true" t="shared" si="1" ref="J12:J44">I12*F12</f>
        <v>0</v>
      </c>
      <c r="K12" s="763"/>
      <c r="L12" s="763">
        <f aca="true" t="shared" si="2" ref="L12:L38">K12*F12</f>
        <v>0</v>
      </c>
      <c r="M12" s="759">
        <f aca="true" t="shared" si="3" ref="M12:M103">L12+J12+H12</f>
        <v>0</v>
      </c>
    </row>
    <row r="13" spans="1:13" ht="30">
      <c r="A13" s="836"/>
      <c r="B13" s="836"/>
      <c r="C13" s="52" t="s">
        <v>446</v>
      </c>
      <c r="D13" s="53" t="s">
        <v>445</v>
      </c>
      <c r="E13" s="49"/>
      <c r="F13" s="763">
        <v>1760</v>
      </c>
      <c r="G13" s="763"/>
      <c r="H13" s="763">
        <f t="shared" si="0"/>
        <v>0</v>
      </c>
      <c r="I13" s="763"/>
      <c r="J13" s="759">
        <f t="shared" si="1"/>
        <v>0</v>
      </c>
      <c r="K13" s="763"/>
      <c r="L13" s="759">
        <f t="shared" si="2"/>
        <v>0</v>
      </c>
      <c r="M13" s="759">
        <f t="shared" si="3"/>
        <v>0</v>
      </c>
    </row>
    <row r="14" spans="1:13" ht="30">
      <c r="A14" s="836"/>
      <c r="B14" s="836"/>
      <c r="C14" s="52" t="s">
        <v>447</v>
      </c>
      <c r="D14" s="53" t="s">
        <v>445</v>
      </c>
      <c r="E14" s="47"/>
      <c r="F14" s="763">
        <v>260</v>
      </c>
      <c r="G14" s="763"/>
      <c r="H14" s="763">
        <f t="shared" si="0"/>
        <v>0</v>
      </c>
      <c r="I14" s="763"/>
      <c r="J14" s="759">
        <f t="shared" si="1"/>
        <v>0</v>
      </c>
      <c r="K14" s="763"/>
      <c r="L14" s="763">
        <f t="shared" si="2"/>
        <v>0</v>
      </c>
      <c r="M14" s="759">
        <f t="shared" si="3"/>
        <v>0</v>
      </c>
    </row>
    <row r="15" spans="1:13" ht="30">
      <c r="A15" s="836"/>
      <c r="B15" s="836"/>
      <c r="C15" s="52" t="s">
        <v>448</v>
      </c>
      <c r="D15" s="53" t="s">
        <v>445</v>
      </c>
      <c r="E15" s="47"/>
      <c r="F15" s="763">
        <v>40</v>
      </c>
      <c r="G15" s="763"/>
      <c r="H15" s="763">
        <f t="shared" si="0"/>
        <v>0</v>
      </c>
      <c r="I15" s="763"/>
      <c r="J15" s="759">
        <f t="shared" si="1"/>
        <v>0</v>
      </c>
      <c r="K15" s="763"/>
      <c r="L15" s="763">
        <f t="shared" si="2"/>
        <v>0</v>
      </c>
      <c r="M15" s="759">
        <f t="shared" si="3"/>
        <v>0</v>
      </c>
    </row>
    <row r="16" spans="1:13" ht="30">
      <c r="A16" s="836"/>
      <c r="B16" s="836"/>
      <c r="C16" s="52" t="s">
        <v>449</v>
      </c>
      <c r="D16" s="53" t="s">
        <v>445</v>
      </c>
      <c r="E16" s="49"/>
      <c r="F16" s="763">
        <v>20</v>
      </c>
      <c r="G16" s="763"/>
      <c r="H16" s="763">
        <f t="shared" si="0"/>
        <v>0</v>
      </c>
      <c r="I16" s="763"/>
      <c r="J16" s="759">
        <f t="shared" si="1"/>
        <v>0</v>
      </c>
      <c r="K16" s="763"/>
      <c r="L16" s="759">
        <f t="shared" si="2"/>
        <v>0</v>
      </c>
      <c r="M16" s="759">
        <f t="shared" si="3"/>
        <v>0</v>
      </c>
    </row>
    <row r="17" spans="1:13" ht="30">
      <c r="A17" s="836"/>
      <c r="B17" s="836"/>
      <c r="C17" s="52" t="s">
        <v>450</v>
      </c>
      <c r="D17" s="53" t="s">
        <v>445</v>
      </c>
      <c r="E17" s="50"/>
      <c r="F17" s="763">
        <v>45</v>
      </c>
      <c r="G17" s="763"/>
      <c r="H17" s="763">
        <f t="shared" si="0"/>
        <v>0</v>
      </c>
      <c r="I17" s="763"/>
      <c r="J17" s="759">
        <f t="shared" si="1"/>
        <v>0</v>
      </c>
      <c r="K17" s="763"/>
      <c r="L17" s="759">
        <f t="shared" si="2"/>
        <v>0</v>
      </c>
      <c r="M17" s="759">
        <f t="shared" si="3"/>
        <v>0</v>
      </c>
    </row>
    <row r="18" spans="1:13" ht="30">
      <c r="A18" s="836"/>
      <c r="B18" s="836"/>
      <c r="C18" s="52" t="s">
        <v>451</v>
      </c>
      <c r="D18" s="53" t="s">
        <v>445</v>
      </c>
      <c r="E18" s="50"/>
      <c r="F18" s="763">
        <v>10</v>
      </c>
      <c r="G18" s="763"/>
      <c r="H18" s="763">
        <f t="shared" si="0"/>
        <v>0</v>
      </c>
      <c r="I18" s="763"/>
      <c r="J18" s="759">
        <f t="shared" si="1"/>
        <v>0</v>
      </c>
      <c r="K18" s="763"/>
      <c r="L18" s="759">
        <f t="shared" si="2"/>
        <v>0</v>
      </c>
      <c r="M18" s="759">
        <f t="shared" si="3"/>
        <v>0</v>
      </c>
    </row>
    <row r="19" spans="1:13" ht="30">
      <c r="A19" s="836"/>
      <c r="B19" s="836"/>
      <c r="C19" s="52" t="s">
        <v>452</v>
      </c>
      <c r="D19" s="53" t="s">
        <v>445</v>
      </c>
      <c r="E19" s="50"/>
      <c r="F19" s="763">
        <v>10</v>
      </c>
      <c r="G19" s="763"/>
      <c r="H19" s="763">
        <f t="shared" si="0"/>
        <v>0</v>
      </c>
      <c r="I19" s="763"/>
      <c r="J19" s="759">
        <f t="shared" si="1"/>
        <v>0</v>
      </c>
      <c r="K19" s="763"/>
      <c r="L19" s="759">
        <f t="shared" si="2"/>
        <v>0</v>
      </c>
      <c r="M19" s="759">
        <f t="shared" si="3"/>
        <v>0</v>
      </c>
    </row>
    <row r="20" spans="1:13" ht="30">
      <c r="A20" s="836"/>
      <c r="B20" s="836"/>
      <c r="C20" s="52" t="s">
        <v>453</v>
      </c>
      <c r="D20" s="53" t="s">
        <v>445</v>
      </c>
      <c r="E20" s="50"/>
      <c r="F20" s="763">
        <v>80</v>
      </c>
      <c r="G20" s="763"/>
      <c r="H20" s="763">
        <f t="shared" si="0"/>
        <v>0</v>
      </c>
      <c r="I20" s="763"/>
      <c r="J20" s="759">
        <f t="shared" si="1"/>
        <v>0</v>
      </c>
      <c r="K20" s="763"/>
      <c r="L20" s="759">
        <f t="shared" si="2"/>
        <v>0</v>
      </c>
      <c r="M20" s="759">
        <f t="shared" si="3"/>
        <v>0</v>
      </c>
    </row>
    <row r="21" spans="1:13" ht="30">
      <c r="A21" s="836"/>
      <c r="B21" s="836"/>
      <c r="C21" s="52" t="s">
        <v>454</v>
      </c>
      <c r="D21" s="53" t="s">
        <v>445</v>
      </c>
      <c r="E21" s="50"/>
      <c r="F21" s="763">
        <v>100</v>
      </c>
      <c r="G21" s="763"/>
      <c r="H21" s="763">
        <f t="shared" si="0"/>
        <v>0</v>
      </c>
      <c r="I21" s="763"/>
      <c r="J21" s="759">
        <f t="shared" si="1"/>
        <v>0</v>
      </c>
      <c r="K21" s="763"/>
      <c r="L21" s="759">
        <f t="shared" si="2"/>
        <v>0</v>
      </c>
      <c r="M21" s="759">
        <f t="shared" si="3"/>
        <v>0</v>
      </c>
    </row>
    <row r="22" spans="1:13" ht="30">
      <c r="A22" s="836"/>
      <c r="B22" s="836"/>
      <c r="C22" s="52" t="s">
        <v>455</v>
      </c>
      <c r="D22" s="53" t="s">
        <v>445</v>
      </c>
      <c r="E22" s="50"/>
      <c r="F22" s="763">
        <v>100</v>
      </c>
      <c r="G22" s="763"/>
      <c r="H22" s="763">
        <f t="shared" si="0"/>
        <v>0</v>
      </c>
      <c r="I22" s="763"/>
      <c r="J22" s="759">
        <f t="shared" si="1"/>
        <v>0</v>
      </c>
      <c r="K22" s="763"/>
      <c r="L22" s="759">
        <f t="shared" si="2"/>
        <v>0</v>
      </c>
      <c r="M22" s="759">
        <f t="shared" si="3"/>
        <v>0</v>
      </c>
    </row>
    <row r="23" spans="1:13" ht="15">
      <c r="A23" s="836"/>
      <c r="B23" s="836"/>
      <c r="C23" s="52" t="s">
        <v>456</v>
      </c>
      <c r="D23" s="53" t="s">
        <v>112</v>
      </c>
      <c r="E23" s="50"/>
      <c r="F23" s="763">
        <v>10</v>
      </c>
      <c r="G23" s="763"/>
      <c r="H23" s="763">
        <f t="shared" si="0"/>
        <v>0</v>
      </c>
      <c r="I23" s="763"/>
      <c r="J23" s="759">
        <f t="shared" si="1"/>
        <v>0</v>
      </c>
      <c r="K23" s="763"/>
      <c r="L23" s="759">
        <f t="shared" si="2"/>
        <v>0</v>
      </c>
      <c r="M23" s="759">
        <f t="shared" si="3"/>
        <v>0</v>
      </c>
    </row>
    <row r="24" spans="1:13" ht="15">
      <c r="A24" s="836"/>
      <c r="B24" s="836"/>
      <c r="C24" s="52" t="s">
        <v>457</v>
      </c>
      <c r="D24" s="53" t="s">
        <v>112</v>
      </c>
      <c r="E24" s="50"/>
      <c r="F24" s="763">
        <v>10</v>
      </c>
      <c r="G24" s="763"/>
      <c r="H24" s="763">
        <f t="shared" si="0"/>
        <v>0</v>
      </c>
      <c r="I24" s="763"/>
      <c r="J24" s="759">
        <f t="shared" si="1"/>
        <v>0</v>
      </c>
      <c r="K24" s="763"/>
      <c r="L24" s="759">
        <f t="shared" si="2"/>
        <v>0</v>
      </c>
      <c r="M24" s="759">
        <f t="shared" si="3"/>
        <v>0</v>
      </c>
    </row>
    <row r="25" spans="1:13" ht="15">
      <c r="A25" s="836"/>
      <c r="B25" s="836"/>
      <c r="C25" s="52" t="s">
        <v>458</v>
      </c>
      <c r="D25" s="53" t="s">
        <v>112</v>
      </c>
      <c r="E25" s="50"/>
      <c r="F25" s="763">
        <v>20</v>
      </c>
      <c r="G25" s="763"/>
      <c r="H25" s="763">
        <f t="shared" si="0"/>
        <v>0</v>
      </c>
      <c r="I25" s="763"/>
      <c r="J25" s="759">
        <f t="shared" si="1"/>
        <v>0</v>
      </c>
      <c r="K25" s="763"/>
      <c r="L25" s="759">
        <f t="shared" si="2"/>
        <v>0</v>
      </c>
      <c r="M25" s="759">
        <f t="shared" si="3"/>
        <v>0</v>
      </c>
    </row>
    <row r="26" spans="1:13" ht="15">
      <c r="A26" s="836"/>
      <c r="B26" s="836"/>
      <c r="C26" s="52" t="s">
        <v>459</v>
      </c>
      <c r="D26" s="53" t="s">
        <v>112</v>
      </c>
      <c r="E26" s="50"/>
      <c r="F26" s="763">
        <v>10</v>
      </c>
      <c r="G26" s="763"/>
      <c r="H26" s="763">
        <f t="shared" si="0"/>
        <v>0</v>
      </c>
      <c r="I26" s="763"/>
      <c r="J26" s="759">
        <f t="shared" si="1"/>
        <v>0</v>
      </c>
      <c r="K26" s="763"/>
      <c r="L26" s="759">
        <f t="shared" si="2"/>
        <v>0</v>
      </c>
      <c r="M26" s="759">
        <f t="shared" si="3"/>
        <v>0</v>
      </c>
    </row>
    <row r="27" spans="1:13" s="824" customFormat="1" ht="12.75">
      <c r="A27" s="835"/>
      <c r="B27" s="835"/>
      <c r="C27" s="832" t="s">
        <v>437</v>
      </c>
      <c r="D27" s="825" t="s">
        <v>45</v>
      </c>
      <c r="E27" s="662">
        <v>0.148</v>
      </c>
      <c r="F27" s="826">
        <f>F9*E27</f>
        <v>521.6999999999999</v>
      </c>
      <c r="G27" s="827"/>
      <c r="H27" s="729">
        <f t="shared" si="0"/>
        <v>0</v>
      </c>
      <c r="I27" s="827"/>
      <c r="J27" s="729">
        <f>F27*I27</f>
        <v>0</v>
      </c>
      <c r="K27" s="827"/>
      <c r="L27" s="729">
        <f>F27*K27</f>
        <v>0</v>
      </c>
      <c r="M27" s="729">
        <f>H27+J27+L27</f>
        <v>0</v>
      </c>
    </row>
    <row r="28" spans="1:13" s="824" customFormat="1" ht="12.75">
      <c r="A28" s="837">
        <v>2</v>
      </c>
      <c r="B28" s="834" t="s">
        <v>899</v>
      </c>
      <c r="C28" s="822" t="s">
        <v>902</v>
      </c>
      <c r="D28" s="823" t="s">
        <v>896</v>
      </c>
      <c r="E28" s="823"/>
      <c r="F28" s="823">
        <f>F31+F32+F33+F34</f>
        <v>1290</v>
      </c>
      <c r="G28" s="806"/>
      <c r="H28" s="729">
        <f t="shared" si="0"/>
        <v>0</v>
      </c>
      <c r="I28" s="806"/>
      <c r="J28" s="729">
        <f>F28*I28</f>
        <v>0</v>
      </c>
      <c r="K28" s="729"/>
      <c r="L28" s="729">
        <f>F28*K28</f>
        <v>0</v>
      </c>
      <c r="M28" s="729">
        <f>H28+J28+L28</f>
        <v>0</v>
      </c>
    </row>
    <row r="29" spans="1:13" s="824" customFormat="1" ht="12.75">
      <c r="A29" s="835"/>
      <c r="B29" s="835"/>
      <c r="C29" s="662" t="s">
        <v>738</v>
      </c>
      <c r="D29" s="825" t="s">
        <v>15</v>
      </c>
      <c r="E29" s="662">
        <v>0.27</v>
      </c>
      <c r="F29" s="826">
        <f>F28*E29</f>
        <v>348.3</v>
      </c>
      <c r="G29" s="827"/>
      <c r="H29" s="729">
        <f>F29*G29</f>
        <v>0</v>
      </c>
      <c r="I29" s="827"/>
      <c r="J29" s="729">
        <f>F29*I29</f>
        <v>0</v>
      </c>
      <c r="K29" s="827"/>
      <c r="L29" s="729">
        <f>F29*K29</f>
        <v>0</v>
      </c>
      <c r="M29" s="729">
        <f>H29+J29+L29</f>
        <v>0</v>
      </c>
    </row>
    <row r="30" spans="1:13" s="824" customFormat="1" ht="12.75">
      <c r="A30" s="835"/>
      <c r="B30" s="835"/>
      <c r="C30" s="662" t="s">
        <v>897</v>
      </c>
      <c r="D30" s="662" t="s">
        <v>45</v>
      </c>
      <c r="E30" s="662">
        <v>0.202</v>
      </c>
      <c r="F30" s="826">
        <f>F28*E30</f>
        <v>260.58000000000004</v>
      </c>
      <c r="G30" s="827"/>
      <c r="H30" s="729">
        <f>F30*G30</f>
        <v>0</v>
      </c>
      <c r="I30" s="827"/>
      <c r="J30" s="729">
        <f>F30*I30</f>
        <v>0</v>
      </c>
      <c r="K30" s="827"/>
      <c r="L30" s="729">
        <f>F30*K30</f>
        <v>0</v>
      </c>
      <c r="M30" s="729">
        <f>H30+J30+L30</f>
        <v>0</v>
      </c>
    </row>
    <row r="31" spans="1:13" ht="30">
      <c r="A31" s="836"/>
      <c r="B31" s="836"/>
      <c r="C31" s="52" t="s">
        <v>460</v>
      </c>
      <c r="D31" s="53" t="s">
        <v>461</v>
      </c>
      <c r="E31" s="50"/>
      <c r="F31" s="763">
        <v>350</v>
      </c>
      <c r="G31" s="763"/>
      <c r="H31" s="763">
        <f t="shared" si="0"/>
        <v>0</v>
      </c>
      <c r="I31" s="763"/>
      <c r="J31" s="759">
        <f t="shared" si="1"/>
        <v>0</v>
      </c>
      <c r="K31" s="763"/>
      <c r="L31" s="759">
        <f t="shared" si="2"/>
        <v>0</v>
      </c>
      <c r="M31" s="759">
        <f t="shared" si="3"/>
        <v>0</v>
      </c>
    </row>
    <row r="32" spans="1:13" ht="30">
      <c r="A32" s="836"/>
      <c r="B32" s="836"/>
      <c r="C32" s="52" t="s">
        <v>462</v>
      </c>
      <c r="D32" s="53" t="s">
        <v>461</v>
      </c>
      <c r="E32" s="50"/>
      <c r="F32" s="763">
        <v>500</v>
      </c>
      <c r="G32" s="763"/>
      <c r="H32" s="763">
        <f t="shared" si="0"/>
        <v>0</v>
      </c>
      <c r="I32" s="763"/>
      <c r="J32" s="759">
        <f t="shared" si="1"/>
        <v>0</v>
      </c>
      <c r="K32" s="763"/>
      <c r="L32" s="759">
        <f t="shared" si="2"/>
        <v>0</v>
      </c>
      <c r="M32" s="759">
        <f t="shared" si="3"/>
        <v>0</v>
      </c>
    </row>
    <row r="33" spans="1:13" ht="30">
      <c r="A33" s="836"/>
      <c r="B33" s="836"/>
      <c r="C33" s="52" t="s">
        <v>463</v>
      </c>
      <c r="D33" s="53" t="s">
        <v>461</v>
      </c>
      <c r="E33" s="50"/>
      <c r="F33" s="763">
        <v>200</v>
      </c>
      <c r="G33" s="763"/>
      <c r="H33" s="763">
        <f t="shared" si="0"/>
        <v>0</v>
      </c>
      <c r="I33" s="763"/>
      <c r="J33" s="759">
        <f t="shared" si="1"/>
        <v>0</v>
      </c>
      <c r="K33" s="763"/>
      <c r="L33" s="759">
        <f t="shared" si="2"/>
        <v>0</v>
      </c>
      <c r="M33" s="759">
        <f t="shared" si="3"/>
        <v>0</v>
      </c>
    </row>
    <row r="34" spans="1:13" ht="30">
      <c r="A34" s="836"/>
      <c r="B34" s="836"/>
      <c r="C34" s="52" t="s">
        <v>464</v>
      </c>
      <c r="D34" s="53" t="s">
        <v>461</v>
      </c>
      <c r="E34" s="50"/>
      <c r="F34" s="763">
        <v>240</v>
      </c>
      <c r="G34" s="763"/>
      <c r="H34" s="763">
        <f t="shared" si="0"/>
        <v>0</v>
      </c>
      <c r="I34" s="763"/>
      <c r="J34" s="759">
        <f t="shared" si="1"/>
        <v>0</v>
      </c>
      <c r="K34" s="763"/>
      <c r="L34" s="759">
        <f t="shared" si="2"/>
        <v>0</v>
      </c>
      <c r="M34" s="759">
        <f t="shared" si="3"/>
        <v>0</v>
      </c>
    </row>
    <row r="35" spans="1:13" ht="60">
      <c r="A35" s="836"/>
      <c r="B35" s="836"/>
      <c r="C35" s="52" t="s">
        <v>826</v>
      </c>
      <c r="D35" s="53" t="s">
        <v>112</v>
      </c>
      <c r="E35" s="50"/>
      <c r="F35" s="763">
        <v>1</v>
      </c>
      <c r="G35" s="763"/>
      <c r="H35" s="763">
        <f t="shared" si="0"/>
        <v>0</v>
      </c>
      <c r="I35" s="763"/>
      <c r="J35" s="759">
        <f t="shared" si="1"/>
        <v>0</v>
      </c>
      <c r="K35" s="763"/>
      <c r="L35" s="759">
        <f t="shared" si="2"/>
        <v>0</v>
      </c>
      <c r="M35" s="759">
        <f t="shared" si="3"/>
        <v>0</v>
      </c>
    </row>
    <row r="36" spans="1:13" s="824" customFormat="1" ht="12.75">
      <c r="A36" s="835"/>
      <c r="B36" s="835"/>
      <c r="C36" s="832" t="s">
        <v>437</v>
      </c>
      <c r="D36" s="825" t="s">
        <v>45</v>
      </c>
      <c r="E36" s="662">
        <v>0.003</v>
      </c>
      <c r="F36" s="826">
        <f>E36*F28</f>
        <v>3.87</v>
      </c>
      <c r="G36" s="827"/>
      <c r="H36" s="729">
        <f>F36*G36</f>
        <v>0</v>
      </c>
      <c r="I36" s="827"/>
      <c r="J36" s="729">
        <f>F36*I36</f>
        <v>0</v>
      </c>
      <c r="K36" s="827"/>
      <c r="L36" s="729">
        <f>F36*K36</f>
        <v>0</v>
      </c>
      <c r="M36" s="729">
        <f>H36+J36+L36</f>
        <v>0</v>
      </c>
    </row>
    <row r="37" spans="1:13" ht="93.75">
      <c r="A37" s="838">
        <v>3</v>
      </c>
      <c r="B37" s="834" t="s">
        <v>900</v>
      </c>
      <c r="C37" s="52" t="s">
        <v>465</v>
      </c>
      <c r="D37" s="53" t="s">
        <v>461</v>
      </c>
      <c r="E37" s="50"/>
      <c r="F37" s="763">
        <v>90</v>
      </c>
      <c r="G37" s="763"/>
      <c r="H37" s="763">
        <f t="shared" si="0"/>
        <v>0</v>
      </c>
      <c r="I37" s="763"/>
      <c r="J37" s="759">
        <f t="shared" si="1"/>
        <v>0</v>
      </c>
      <c r="K37" s="763"/>
      <c r="L37" s="759">
        <f t="shared" si="2"/>
        <v>0</v>
      </c>
      <c r="M37" s="759">
        <f t="shared" si="3"/>
        <v>0</v>
      </c>
    </row>
    <row r="38" spans="1:13" ht="15">
      <c r="A38" s="836"/>
      <c r="B38" s="836"/>
      <c r="C38" s="819" t="s">
        <v>466</v>
      </c>
      <c r="D38" s="53"/>
      <c r="E38" s="50"/>
      <c r="F38" s="763"/>
      <c r="G38" s="763"/>
      <c r="H38" s="763">
        <f t="shared" si="0"/>
        <v>0</v>
      </c>
      <c r="I38" s="763"/>
      <c r="J38" s="759"/>
      <c r="K38" s="763"/>
      <c r="L38" s="759">
        <f t="shared" si="2"/>
        <v>0</v>
      </c>
      <c r="M38" s="759">
        <f t="shared" si="3"/>
        <v>0</v>
      </c>
    </row>
    <row r="39" spans="1:13" ht="30">
      <c r="A39" s="838">
        <v>1</v>
      </c>
      <c r="B39" s="834" t="s">
        <v>900</v>
      </c>
      <c r="C39" s="52" t="s">
        <v>467</v>
      </c>
      <c r="D39" s="53" t="s">
        <v>468</v>
      </c>
      <c r="E39" s="50"/>
      <c r="F39" s="763">
        <v>1</v>
      </c>
      <c r="G39" s="763"/>
      <c r="H39" s="763">
        <f t="shared" si="0"/>
        <v>0</v>
      </c>
      <c r="I39" s="763"/>
      <c r="J39" s="759">
        <f t="shared" si="1"/>
        <v>0</v>
      </c>
      <c r="K39" s="763"/>
      <c r="L39" s="759"/>
      <c r="M39" s="759">
        <f t="shared" si="3"/>
        <v>0</v>
      </c>
    </row>
    <row r="40" spans="1:13" ht="30">
      <c r="A40" s="838">
        <v>2</v>
      </c>
      <c r="B40" s="834" t="s">
        <v>900</v>
      </c>
      <c r="C40" s="52" t="s">
        <v>469</v>
      </c>
      <c r="D40" s="53" t="s">
        <v>470</v>
      </c>
      <c r="E40" s="50"/>
      <c r="F40" s="763">
        <v>5</v>
      </c>
      <c r="G40" s="763"/>
      <c r="H40" s="763">
        <f t="shared" si="0"/>
        <v>0</v>
      </c>
      <c r="I40" s="763"/>
      <c r="J40" s="759">
        <f t="shared" si="1"/>
        <v>0</v>
      </c>
      <c r="K40" s="763"/>
      <c r="L40" s="759">
        <f>K40*F40</f>
        <v>0</v>
      </c>
      <c r="M40" s="759">
        <f t="shared" si="3"/>
        <v>0</v>
      </c>
    </row>
    <row r="41" spans="1:13" s="824" customFormat="1" ht="12.75">
      <c r="A41" s="837">
        <v>2</v>
      </c>
      <c r="B41" s="834" t="s">
        <v>899</v>
      </c>
      <c r="C41" s="822" t="s">
        <v>901</v>
      </c>
      <c r="D41" s="823" t="s">
        <v>896</v>
      </c>
      <c r="E41" s="823"/>
      <c r="F41" s="823">
        <f>F44+F46+F48</f>
        <v>152</v>
      </c>
      <c r="G41" s="806"/>
      <c r="H41" s="729">
        <f>F41*G41</f>
        <v>0</v>
      </c>
      <c r="I41" s="806"/>
      <c r="J41" s="729">
        <f>F41*I41</f>
        <v>0</v>
      </c>
      <c r="K41" s="729"/>
      <c r="L41" s="729">
        <f>F41*K41</f>
        <v>0</v>
      </c>
      <c r="M41" s="729">
        <f>H41+J41+L41</f>
        <v>0</v>
      </c>
    </row>
    <row r="42" spans="1:13" s="824" customFormat="1" ht="12.75">
      <c r="A42" s="835"/>
      <c r="B42" s="835"/>
      <c r="C42" s="662" t="s">
        <v>738</v>
      </c>
      <c r="D42" s="825" t="s">
        <v>15</v>
      </c>
      <c r="E42" s="662">
        <v>0.27</v>
      </c>
      <c r="F42" s="826">
        <f>F41*E42</f>
        <v>41.040000000000006</v>
      </c>
      <c r="G42" s="827"/>
      <c r="H42" s="729">
        <f>F42*G42</f>
        <v>0</v>
      </c>
      <c r="I42" s="827"/>
      <c r="J42" s="729">
        <f>F42*I42</f>
        <v>0</v>
      </c>
      <c r="K42" s="827"/>
      <c r="L42" s="729">
        <f>F42*K42</f>
        <v>0</v>
      </c>
      <c r="M42" s="729">
        <f>H42+J42+L42</f>
        <v>0</v>
      </c>
    </row>
    <row r="43" spans="1:13" s="824" customFormat="1" ht="12.75">
      <c r="A43" s="835"/>
      <c r="B43" s="835"/>
      <c r="C43" s="662" t="s">
        <v>897</v>
      </c>
      <c r="D43" s="662" t="s">
        <v>45</v>
      </c>
      <c r="E43" s="662">
        <v>0.202</v>
      </c>
      <c r="F43" s="826">
        <f>F41*E43</f>
        <v>30.704</v>
      </c>
      <c r="G43" s="827"/>
      <c r="H43" s="729">
        <f>F43*G43</f>
        <v>0</v>
      </c>
      <c r="I43" s="827"/>
      <c r="J43" s="729">
        <f>F43*I43</f>
        <v>0</v>
      </c>
      <c r="K43" s="827"/>
      <c r="L43" s="729">
        <f>F43*K43</f>
        <v>0</v>
      </c>
      <c r="M43" s="729">
        <f>H43+J43+L43</f>
        <v>0</v>
      </c>
    </row>
    <row r="44" spans="1:13" ht="45">
      <c r="A44" s="838"/>
      <c r="B44" s="836"/>
      <c r="C44" s="52" t="s">
        <v>471</v>
      </c>
      <c r="D44" s="53" t="s">
        <v>461</v>
      </c>
      <c r="E44" s="50"/>
      <c r="F44" s="763">
        <v>60</v>
      </c>
      <c r="G44" s="763"/>
      <c r="H44" s="763">
        <f t="shared" si="0"/>
        <v>0</v>
      </c>
      <c r="I44" s="763"/>
      <c r="J44" s="759">
        <f t="shared" si="1"/>
        <v>0</v>
      </c>
      <c r="K44" s="763"/>
      <c r="L44" s="759">
        <f aca="true" t="shared" si="4" ref="L44:L143">K44*F44</f>
        <v>0</v>
      </c>
      <c r="M44" s="759">
        <f t="shared" si="3"/>
        <v>0</v>
      </c>
    </row>
    <row r="45" spans="1:13" ht="30">
      <c r="A45" s="838"/>
      <c r="B45" s="836"/>
      <c r="C45" s="52" t="s">
        <v>472</v>
      </c>
      <c r="D45" s="53" t="s">
        <v>468</v>
      </c>
      <c r="E45" s="50"/>
      <c r="F45" s="763">
        <v>90</v>
      </c>
      <c r="G45" s="763"/>
      <c r="H45" s="763">
        <f t="shared" si="0"/>
        <v>0</v>
      </c>
      <c r="I45" s="763"/>
      <c r="J45" s="759">
        <f>I45*F45</f>
        <v>0</v>
      </c>
      <c r="K45" s="763"/>
      <c r="L45" s="759">
        <f t="shared" si="4"/>
        <v>0</v>
      </c>
      <c r="M45" s="759">
        <f t="shared" si="3"/>
        <v>0</v>
      </c>
    </row>
    <row r="46" spans="1:13" ht="45">
      <c r="A46" s="838"/>
      <c r="B46" s="836"/>
      <c r="C46" s="52" t="s">
        <v>473</v>
      </c>
      <c r="D46" s="53" t="s">
        <v>461</v>
      </c>
      <c r="E46" s="50"/>
      <c r="F46" s="763">
        <v>65</v>
      </c>
      <c r="G46" s="763"/>
      <c r="H46" s="763">
        <f t="shared" si="0"/>
        <v>0</v>
      </c>
      <c r="I46" s="763"/>
      <c r="J46" s="759">
        <f>I46*F46</f>
        <v>0</v>
      </c>
      <c r="K46" s="763"/>
      <c r="L46" s="759">
        <f t="shared" si="4"/>
        <v>0</v>
      </c>
      <c r="M46" s="759">
        <f t="shared" si="3"/>
        <v>0</v>
      </c>
    </row>
    <row r="47" spans="1:13" ht="30">
      <c r="A47" s="838"/>
      <c r="B47" s="836"/>
      <c r="C47" s="52" t="s">
        <v>472</v>
      </c>
      <c r="D47" s="53" t="s">
        <v>468</v>
      </c>
      <c r="E47" s="50"/>
      <c r="F47" s="763">
        <v>100</v>
      </c>
      <c r="G47" s="763"/>
      <c r="H47" s="763">
        <f t="shared" si="0"/>
        <v>0</v>
      </c>
      <c r="I47" s="763"/>
      <c r="J47" s="759">
        <f>I47*F47</f>
        <v>0</v>
      </c>
      <c r="K47" s="763"/>
      <c r="L47" s="759">
        <f t="shared" si="4"/>
        <v>0</v>
      </c>
      <c r="M47" s="759">
        <f t="shared" si="3"/>
        <v>0</v>
      </c>
    </row>
    <row r="48" spans="1:13" ht="45">
      <c r="A48" s="838"/>
      <c r="B48" s="836"/>
      <c r="C48" s="52" t="s">
        <v>474</v>
      </c>
      <c r="D48" s="53" t="s">
        <v>461</v>
      </c>
      <c r="E48" s="50"/>
      <c r="F48" s="763">
        <v>27</v>
      </c>
      <c r="G48" s="763"/>
      <c r="H48" s="763">
        <f t="shared" si="0"/>
        <v>0</v>
      </c>
      <c r="I48" s="763"/>
      <c r="J48" s="759">
        <f>I48*F48</f>
        <v>0</v>
      </c>
      <c r="K48" s="763"/>
      <c r="L48" s="759">
        <f t="shared" si="4"/>
        <v>0</v>
      </c>
      <c r="M48" s="759">
        <f t="shared" si="3"/>
        <v>0</v>
      </c>
    </row>
    <row r="49" spans="1:13" ht="30">
      <c r="A49" s="838"/>
      <c r="B49" s="836"/>
      <c r="C49" s="52" t="s">
        <v>472</v>
      </c>
      <c r="D49" s="53" t="s">
        <v>468</v>
      </c>
      <c r="E49" s="50"/>
      <c r="F49" s="763">
        <v>40</v>
      </c>
      <c r="G49" s="763"/>
      <c r="H49" s="763">
        <f aca="true" t="shared" si="5" ref="H49:H56">F49*G49</f>
        <v>0</v>
      </c>
      <c r="I49" s="763"/>
      <c r="J49" s="759">
        <f>I49*F49</f>
        <v>0</v>
      </c>
      <c r="K49" s="763"/>
      <c r="L49" s="759">
        <f t="shared" si="4"/>
        <v>0</v>
      </c>
      <c r="M49" s="759">
        <f t="shared" si="3"/>
        <v>0</v>
      </c>
    </row>
    <row r="50" spans="1:13" s="824" customFormat="1" ht="12.75">
      <c r="A50" s="835"/>
      <c r="B50" s="835"/>
      <c r="C50" s="832" t="s">
        <v>437</v>
      </c>
      <c r="D50" s="825" t="s">
        <v>45</v>
      </c>
      <c r="E50" s="662">
        <v>0.003</v>
      </c>
      <c r="F50" s="826">
        <f>E50*F41</f>
        <v>0.456</v>
      </c>
      <c r="G50" s="827"/>
      <c r="H50" s="729">
        <f t="shared" si="5"/>
        <v>0</v>
      </c>
      <c r="I50" s="827"/>
      <c r="J50" s="729">
        <f>F50*I50</f>
        <v>0</v>
      </c>
      <c r="K50" s="827"/>
      <c r="L50" s="729">
        <f>F50*K50</f>
        <v>0</v>
      </c>
      <c r="M50" s="729">
        <f>H50+J50+L50</f>
        <v>0</v>
      </c>
    </row>
    <row r="51" spans="1:13" s="841" customFormat="1" ht="12.75">
      <c r="A51" s="696">
        <v>3</v>
      </c>
      <c r="B51" s="843" t="s">
        <v>903</v>
      </c>
      <c r="C51" s="840" t="s">
        <v>904</v>
      </c>
      <c r="D51" s="696" t="s">
        <v>614</v>
      </c>
      <c r="E51" s="833"/>
      <c r="F51" s="823">
        <f>F54+F55</f>
        <v>11</v>
      </c>
      <c r="G51" s="806"/>
      <c r="H51" s="729">
        <f t="shared" si="5"/>
        <v>0</v>
      </c>
      <c r="I51" s="806"/>
      <c r="J51" s="729">
        <f>F51*I51</f>
        <v>0</v>
      </c>
      <c r="K51" s="806"/>
      <c r="L51" s="729">
        <f>F51*K51</f>
        <v>0</v>
      </c>
      <c r="M51" s="729">
        <f>H51+J51+L51</f>
        <v>0</v>
      </c>
    </row>
    <row r="52" spans="1:13" s="842" customFormat="1" ht="15">
      <c r="A52" s="662"/>
      <c r="B52" s="662"/>
      <c r="C52" s="832" t="s">
        <v>738</v>
      </c>
      <c r="D52" s="825" t="s">
        <v>15</v>
      </c>
      <c r="E52" s="662">
        <v>0.2</v>
      </c>
      <c r="F52" s="826">
        <f>F51*E52</f>
        <v>2.2</v>
      </c>
      <c r="G52" s="827"/>
      <c r="H52" s="729">
        <f t="shared" si="5"/>
        <v>0</v>
      </c>
      <c r="I52" s="827"/>
      <c r="J52" s="729">
        <f>F52*I52</f>
        <v>0</v>
      </c>
      <c r="K52" s="827"/>
      <c r="L52" s="729">
        <f>F52*K52</f>
        <v>0</v>
      </c>
      <c r="M52" s="729">
        <f>H52+J52+L52</f>
        <v>0</v>
      </c>
    </row>
    <row r="53" spans="1:13" s="842" customFormat="1" ht="15">
      <c r="A53" s="662"/>
      <c r="B53" s="662"/>
      <c r="C53" s="832" t="s">
        <v>897</v>
      </c>
      <c r="D53" s="662" t="s">
        <v>45</v>
      </c>
      <c r="E53" s="662">
        <v>0.0005</v>
      </c>
      <c r="F53" s="826">
        <f>F51*E53</f>
        <v>0.0055</v>
      </c>
      <c r="G53" s="827"/>
      <c r="H53" s="729">
        <f t="shared" si="5"/>
        <v>0</v>
      </c>
      <c r="I53" s="827"/>
      <c r="J53" s="729">
        <f>F53*I53</f>
        <v>0</v>
      </c>
      <c r="K53" s="827"/>
      <c r="L53" s="729">
        <f>F53*K53</f>
        <v>0</v>
      </c>
      <c r="M53" s="729">
        <f>H53+J53+L53</f>
        <v>0</v>
      </c>
    </row>
    <row r="54" spans="1:13" ht="30">
      <c r="A54" s="838"/>
      <c r="B54" s="836"/>
      <c r="C54" s="52" t="s">
        <v>475</v>
      </c>
      <c r="D54" s="53" t="s">
        <v>470</v>
      </c>
      <c r="E54" s="54"/>
      <c r="F54" s="763">
        <v>9</v>
      </c>
      <c r="G54" s="763"/>
      <c r="H54" s="763">
        <f t="shared" si="5"/>
        <v>0</v>
      </c>
      <c r="I54" s="763"/>
      <c r="J54" s="759">
        <f aca="true" t="shared" si="6" ref="J54:J149">I54*F54</f>
        <v>0</v>
      </c>
      <c r="K54" s="763"/>
      <c r="L54" s="759">
        <f t="shared" si="4"/>
        <v>0</v>
      </c>
      <c r="M54" s="759">
        <f t="shared" si="3"/>
        <v>0</v>
      </c>
    </row>
    <row r="55" spans="1:13" ht="30">
      <c r="A55" s="838"/>
      <c r="B55" s="836"/>
      <c r="C55" s="52" t="s">
        <v>476</v>
      </c>
      <c r="D55" s="53" t="s">
        <v>470</v>
      </c>
      <c r="E55" s="54"/>
      <c r="F55" s="763">
        <v>2</v>
      </c>
      <c r="G55" s="763"/>
      <c r="H55" s="763">
        <f t="shared" si="5"/>
        <v>0</v>
      </c>
      <c r="I55" s="763"/>
      <c r="J55" s="759">
        <f t="shared" si="6"/>
        <v>0</v>
      </c>
      <c r="K55" s="763"/>
      <c r="L55" s="759">
        <f t="shared" si="4"/>
        <v>0</v>
      </c>
      <c r="M55" s="759">
        <f t="shared" si="3"/>
        <v>0</v>
      </c>
    </row>
    <row r="56" spans="1:13" s="824" customFormat="1" ht="12.75">
      <c r="A56" s="828"/>
      <c r="B56" s="696"/>
      <c r="C56" s="848" t="s">
        <v>437</v>
      </c>
      <c r="D56" s="829" t="s">
        <v>45</v>
      </c>
      <c r="E56" s="830">
        <v>0.0825</v>
      </c>
      <c r="F56" s="831">
        <f>F51*E56</f>
        <v>0.9075000000000001</v>
      </c>
      <c r="G56" s="806"/>
      <c r="H56" s="729">
        <f t="shared" si="5"/>
        <v>0</v>
      </c>
      <c r="I56" s="806"/>
      <c r="J56" s="729">
        <f>F56*I56</f>
        <v>0</v>
      </c>
      <c r="K56" s="806"/>
      <c r="L56" s="729">
        <f>F56*K56</f>
        <v>0</v>
      </c>
      <c r="M56" s="729">
        <f>H56+J56+L56</f>
        <v>0</v>
      </c>
    </row>
    <row r="57" spans="1:13" ht="25.5">
      <c r="A57" s="838">
        <v>4</v>
      </c>
      <c r="B57" s="834" t="s">
        <v>900</v>
      </c>
      <c r="C57" s="52" t="s">
        <v>477</v>
      </c>
      <c r="D57" s="53" t="s">
        <v>478</v>
      </c>
      <c r="E57" s="54"/>
      <c r="F57" s="763">
        <v>4</v>
      </c>
      <c r="G57" s="763"/>
      <c r="H57" s="763">
        <f aca="true" t="shared" si="7" ref="H57:H155">F57*G57</f>
        <v>0</v>
      </c>
      <c r="I57" s="763"/>
      <c r="J57" s="759">
        <f t="shared" si="6"/>
        <v>0</v>
      </c>
      <c r="K57" s="763"/>
      <c r="L57" s="759">
        <f t="shared" si="4"/>
        <v>0</v>
      </c>
      <c r="M57" s="759">
        <f t="shared" si="3"/>
        <v>0</v>
      </c>
    </row>
    <row r="58" spans="1:13" s="847" customFormat="1" ht="28.5">
      <c r="A58" s="844">
        <v>2</v>
      </c>
      <c r="B58" s="839" t="s">
        <v>905</v>
      </c>
      <c r="C58" s="623" t="s">
        <v>906</v>
      </c>
      <c r="D58" s="845" t="s">
        <v>614</v>
      </c>
      <c r="E58" s="845"/>
      <c r="F58" s="846">
        <f>F61+F62+F63+F64+F66+F67</f>
        <v>198</v>
      </c>
      <c r="G58" s="729"/>
      <c r="H58" s="729">
        <f t="shared" si="7"/>
        <v>0</v>
      </c>
      <c r="I58" s="729"/>
      <c r="J58" s="729">
        <f>F58*I58</f>
        <v>0</v>
      </c>
      <c r="K58" s="729"/>
      <c r="L58" s="729">
        <f>F58*K58</f>
        <v>0</v>
      </c>
      <c r="M58" s="729">
        <f>H58+J58+L58</f>
        <v>0</v>
      </c>
    </row>
    <row r="59" spans="1:13" s="842" customFormat="1" ht="15">
      <c r="A59" s="662"/>
      <c r="B59" s="662"/>
      <c r="C59" s="832" t="s">
        <v>738</v>
      </c>
      <c r="D59" s="825" t="s">
        <v>15</v>
      </c>
      <c r="E59" s="662">
        <v>0.22</v>
      </c>
      <c r="F59" s="826">
        <f>F58*E59</f>
        <v>43.56</v>
      </c>
      <c r="G59" s="827"/>
      <c r="H59" s="729">
        <f t="shared" si="7"/>
        <v>0</v>
      </c>
      <c r="I59" s="827"/>
      <c r="J59" s="729">
        <f>F59*I59</f>
        <v>0</v>
      </c>
      <c r="K59" s="827"/>
      <c r="L59" s="729">
        <f>F59*K59</f>
        <v>0</v>
      </c>
      <c r="M59" s="729">
        <f>H59+J59+L59</f>
        <v>0</v>
      </c>
    </row>
    <row r="60" spans="1:13" s="842" customFormat="1" ht="15">
      <c r="A60" s="662"/>
      <c r="B60" s="662"/>
      <c r="C60" s="832" t="s">
        <v>897</v>
      </c>
      <c r="D60" s="662" t="s">
        <v>45</v>
      </c>
      <c r="E60" s="662">
        <v>0.0002</v>
      </c>
      <c r="F60" s="826">
        <f>F58*E60</f>
        <v>0.0396</v>
      </c>
      <c r="G60" s="827"/>
      <c r="H60" s="729">
        <f t="shared" si="7"/>
        <v>0</v>
      </c>
      <c r="I60" s="827"/>
      <c r="J60" s="729">
        <f>F60*I60</f>
        <v>0</v>
      </c>
      <c r="K60" s="827"/>
      <c r="L60" s="729">
        <f>F60*K60</f>
        <v>0</v>
      </c>
      <c r="M60" s="729">
        <f>H60+J60+L60</f>
        <v>0</v>
      </c>
    </row>
    <row r="61" spans="1:13" ht="30">
      <c r="A61" s="838"/>
      <c r="B61" s="836"/>
      <c r="C61" s="52" t="s">
        <v>479</v>
      </c>
      <c r="D61" s="53" t="s">
        <v>112</v>
      </c>
      <c r="E61" s="54"/>
      <c r="F61" s="763">
        <v>93</v>
      </c>
      <c r="G61" s="763"/>
      <c r="H61" s="763">
        <f t="shared" si="7"/>
        <v>0</v>
      </c>
      <c r="I61" s="763"/>
      <c r="J61" s="759">
        <f t="shared" si="6"/>
        <v>0</v>
      </c>
      <c r="K61" s="763"/>
      <c r="L61" s="759">
        <f t="shared" si="4"/>
        <v>0</v>
      </c>
      <c r="M61" s="759">
        <f t="shared" si="3"/>
        <v>0</v>
      </c>
    </row>
    <row r="62" spans="1:13" ht="45">
      <c r="A62" s="838"/>
      <c r="B62" s="836"/>
      <c r="C62" s="52" t="s">
        <v>480</v>
      </c>
      <c r="D62" s="53" t="s">
        <v>112</v>
      </c>
      <c r="E62" s="54"/>
      <c r="F62" s="763">
        <v>19</v>
      </c>
      <c r="G62" s="763"/>
      <c r="H62" s="763">
        <f t="shared" si="7"/>
        <v>0</v>
      </c>
      <c r="I62" s="763"/>
      <c r="J62" s="759">
        <f t="shared" si="6"/>
        <v>0</v>
      </c>
      <c r="K62" s="763"/>
      <c r="L62" s="759">
        <f t="shared" si="4"/>
        <v>0</v>
      </c>
      <c r="M62" s="759">
        <f t="shared" si="3"/>
        <v>0</v>
      </c>
    </row>
    <row r="63" spans="1:13" ht="45">
      <c r="A63" s="838"/>
      <c r="B63" s="836"/>
      <c r="C63" s="52" t="s">
        <v>481</v>
      </c>
      <c r="D63" s="53" t="s">
        <v>112</v>
      </c>
      <c r="E63" s="54"/>
      <c r="F63" s="763">
        <v>1</v>
      </c>
      <c r="G63" s="763"/>
      <c r="H63" s="763">
        <f t="shared" si="7"/>
        <v>0</v>
      </c>
      <c r="I63" s="763"/>
      <c r="J63" s="759">
        <f t="shared" si="6"/>
        <v>0</v>
      </c>
      <c r="K63" s="763"/>
      <c r="L63" s="759">
        <f t="shared" si="4"/>
        <v>0</v>
      </c>
      <c r="M63" s="759">
        <f t="shared" si="3"/>
        <v>0</v>
      </c>
    </row>
    <row r="64" spans="1:13" ht="45">
      <c r="A64" s="838"/>
      <c r="B64" s="836"/>
      <c r="C64" s="52" t="s">
        <v>482</v>
      </c>
      <c r="D64" s="53" t="s">
        <v>112</v>
      </c>
      <c r="E64" s="54"/>
      <c r="F64" s="763">
        <v>1</v>
      </c>
      <c r="G64" s="763"/>
      <c r="H64" s="763">
        <f t="shared" si="7"/>
        <v>0</v>
      </c>
      <c r="I64" s="763"/>
      <c r="J64" s="759">
        <f t="shared" si="6"/>
        <v>0</v>
      </c>
      <c r="K64" s="763"/>
      <c r="L64" s="759">
        <f t="shared" si="4"/>
        <v>0</v>
      </c>
      <c r="M64" s="759">
        <f t="shared" si="3"/>
        <v>0</v>
      </c>
    </row>
    <row r="65" spans="1:13" ht="15">
      <c r="A65" s="838"/>
      <c r="B65" s="836"/>
      <c r="C65" s="55" t="s">
        <v>483</v>
      </c>
      <c r="D65" s="56" t="s">
        <v>484</v>
      </c>
      <c r="E65" s="54"/>
      <c r="F65" s="763">
        <v>130</v>
      </c>
      <c r="G65" s="763"/>
      <c r="H65" s="763">
        <f t="shared" si="7"/>
        <v>0</v>
      </c>
      <c r="I65" s="763"/>
      <c r="J65" s="759">
        <f t="shared" si="6"/>
        <v>0</v>
      </c>
      <c r="K65" s="763"/>
      <c r="L65" s="759">
        <f t="shared" si="4"/>
        <v>0</v>
      </c>
      <c r="M65" s="759">
        <f t="shared" si="3"/>
        <v>0</v>
      </c>
    </row>
    <row r="66" spans="1:13" ht="30">
      <c r="A66" s="838"/>
      <c r="B66" s="836"/>
      <c r="C66" s="52" t="s">
        <v>485</v>
      </c>
      <c r="D66" s="53" t="s">
        <v>470</v>
      </c>
      <c r="E66" s="54"/>
      <c r="F66" s="763">
        <v>12</v>
      </c>
      <c r="G66" s="763"/>
      <c r="H66" s="763">
        <f t="shared" si="7"/>
        <v>0</v>
      </c>
      <c r="I66" s="763"/>
      <c r="J66" s="759">
        <f t="shared" si="6"/>
        <v>0</v>
      </c>
      <c r="K66" s="763"/>
      <c r="L66" s="759">
        <f t="shared" si="4"/>
        <v>0</v>
      </c>
      <c r="M66" s="759">
        <f t="shared" si="3"/>
        <v>0</v>
      </c>
    </row>
    <row r="67" spans="1:13" ht="45">
      <c r="A67" s="838"/>
      <c r="B67" s="836"/>
      <c r="C67" s="55" t="s">
        <v>486</v>
      </c>
      <c r="D67" s="56" t="s">
        <v>470</v>
      </c>
      <c r="E67" s="54"/>
      <c r="F67" s="763">
        <v>72</v>
      </c>
      <c r="G67" s="763"/>
      <c r="H67" s="763">
        <f t="shared" si="7"/>
        <v>0</v>
      </c>
      <c r="I67" s="763"/>
      <c r="J67" s="759">
        <f t="shared" si="6"/>
        <v>0</v>
      </c>
      <c r="K67" s="763"/>
      <c r="L67" s="759">
        <f t="shared" si="4"/>
        <v>0</v>
      </c>
      <c r="M67" s="759">
        <f t="shared" si="3"/>
        <v>0</v>
      </c>
    </row>
    <row r="68" spans="1:13" ht="30">
      <c r="A68" s="838"/>
      <c r="B68" s="836"/>
      <c r="C68" s="55" t="s">
        <v>487</v>
      </c>
      <c r="D68" s="56" t="s">
        <v>484</v>
      </c>
      <c r="E68" s="54"/>
      <c r="F68" s="763">
        <v>300</v>
      </c>
      <c r="G68" s="763"/>
      <c r="H68" s="763">
        <f t="shared" si="7"/>
        <v>0</v>
      </c>
      <c r="I68" s="763"/>
      <c r="J68" s="759">
        <f t="shared" si="6"/>
        <v>0</v>
      </c>
      <c r="K68" s="763"/>
      <c r="L68" s="759">
        <f t="shared" si="4"/>
        <v>0</v>
      </c>
      <c r="M68" s="759">
        <f t="shared" si="3"/>
        <v>0</v>
      </c>
    </row>
    <row r="69" spans="1:13" s="824" customFormat="1" ht="12.75">
      <c r="A69" s="828"/>
      <c r="B69" s="696"/>
      <c r="C69" s="848" t="s">
        <v>437</v>
      </c>
      <c r="D69" s="829" t="s">
        <v>45</v>
      </c>
      <c r="E69" s="830">
        <v>0.0828</v>
      </c>
      <c r="F69" s="831">
        <f>E69*F58</f>
        <v>16.3944</v>
      </c>
      <c r="G69" s="806"/>
      <c r="H69" s="729">
        <f t="shared" si="7"/>
        <v>0</v>
      </c>
      <c r="I69" s="806"/>
      <c r="J69" s="729">
        <f>F69*I69</f>
        <v>0</v>
      </c>
      <c r="K69" s="806"/>
      <c r="L69" s="729">
        <f>F69*K69</f>
        <v>0</v>
      </c>
      <c r="M69" s="729">
        <f>H69+J69+L69</f>
        <v>0</v>
      </c>
    </row>
    <row r="70" spans="1:13" ht="15">
      <c r="A70" s="838"/>
      <c r="B70" s="836"/>
      <c r="C70" s="820" t="s">
        <v>488</v>
      </c>
      <c r="D70" s="57"/>
      <c r="E70" s="57"/>
      <c r="F70" s="763"/>
      <c r="G70" s="763"/>
      <c r="H70" s="763">
        <f t="shared" si="7"/>
        <v>0</v>
      </c>
      <c r="I70" s="763"/>
      <c r="J70" s="759">
        <f t="shared" si="6"/>
        <v>0</v>
      </c>
      <c r="K70" s="763"/>
      <c r="L70" s="759">
        <f t="shared" si="4"/>
        <v>0</v>
      </c>
      <c r="M70" s="759">
        <f t="shared" si="3"/>
        <v>0</v>
      </c>
    </row>
    <row r="71" spans="1:13" s="847" customFormat="1" ht="14.25">
      <c r="A71" s="844">
        <v>1</v>
      </c>
      <c r="B71" s="839" t="s">
        <v>910</v>
      </c>
      <c r="C71" s="859" t="s">
        <v>911</v>
      </c>
      <c r="D71" s="846" t="s">
        <v>51</v>
      </c>
      <c r="E71" s="846"/>
      <c r="F71" s="846">
        <f>F74+F75+F76+F77+F78+F79+F80+F81+F82+F83</f>
        <v>155</v>
      </c>
      <c r="G71" s="729"/>
      <c r="H71" s="729">
        <f t="shared" si="7"/>
        <v>0</v>
      </c>
      <c r="I71" s="729"/>
      <c r="J71" s="729">
        <f>F71*I71</f>
        <v>0</v>
      </c>
      <c r="K71" s="729"/>
      <c r="L71" s="729">
        <f>F71*K71</f>
        <v>0</v>
      </c>
      <c r="M71" s="729">
        <f>H71+J71+L71</f>
        <v>0</v>
      </c>
    </row>
    <row r="72" spans="1:13" s="842" customFormat="1" ht="15">
      <c r="A72" s="662"/>
      <c r="B72" s="662"/>
      <c r="C72" s="860" t="s">
        <v>738</v>
      </c>
      <c r="D72" s="825" t="s">
        <v>15</v>
      </c>
      <c r="E72" s="662">
        <v>1.54</v>
      </c>
      <c r="F72" s="826">
        <f>F71*E72</f>
        <v>238.70000000000002</v>
      </c>
      <c r="G72" s="827"/>
      <c r="H72" s="729">
        <f t="shared" si="7"/>
        <v>0</v>
      </c>
      <c r="I72" s="827"/>
      <c r="J72" s="729">
        <f>F72*I72</f>
        <v>0</v>
      </c>
      <c r="K72" s="827"/>
      <c r="L72" s="729">
        <f>F72*K72</f>
        <v>0</v>
      </c>
      <c r="M72" s="729">
        <f>H72+J72+L72</f>
        <v>0</v>
      </c>
    </row>
    <row r="73" spans="1:13" s="842" customFormat="1" ht="15">
      <c r="A73" s="662"/>
      <c r="B73" s="662"/>
      <c r="C73" s="860" t="s">
        <v>897</v>
      </c>
      <c r="D73" s="662" t="s">
        <v>45</v>
      </c>
      <c r="E73" s="662">
        <v>0.29</v>
      </c>
      <c r="F73" s="826">
        <f>F71*E73</f>
        <v>44.949999999999996</v>
      </c>
      <c r="G73" s="827"/>
      <c r="H73" s="729">
        <f t="shared" si="7"/>
        <v>0</v>
      </c>
      <c r="I73" s="827"/>
      <c r="J73" s="729">
        <f>F73*I73</f>
        <v>0</v>
      </c>
      <c r="K73" s="827"/>
      <c r="L73" s="729">
        <f>F73*K73</f>
        <v>0</v>
      </c>
      <c r="M73" s="729">
        <f>H73+J73+L73</f>
        <v>0</v>
      </c>
    </row>
    <row r="74" spans="1:13" ht="30">
      <c r="A74" s="838"/>
      <c r="B74" s="836"/>
      <c r="C74" s="646" t="s">
        <v>489</v>
      </c>
      <c r="D74" s="647" t="s">
        <v>470</v>
      </c>
      <c r="E74" s="648"/>
      <c r="F74" s="821">
        <v>40</v>
      </c>
      <c r="G74" s="821"/>
      <c r="H74" s="821">
        <f t="shared" si="7"/>
        <v>0</v>
      </c>
      <c r="I74" s="821"/>
      <c r="J74" s="762">
        <f t="shared" si="6"/>
        <v>0</v>
      </c>
      <c r="K74" s="821"/>
      <c r="L74" s="759">
        <f t="shared" si="4"/>
        <v>0</v>
      </c>
      <c r="M74" s="762">
        <f t="shared" si="3"/>
        <v>0</v>
      </c>
    </row>
    <row r="75" spans="1:13" ht="30">
      <c r="A75" s="838"/>
      <c r="B75" s="836"/>
      <c r="C75" s="646" t="s">
        <v>490</v>
      </c>
      <c r="D75" s="647" t="s">
        <v>470</v>
      </c>
      <c r="E75" s="648"/>
      <c r="F75" s="821">
        <v>8</v>
      </c>
      <c r="G75" s="821"/>
      <c r="H75" s="821">
        <f t="shared" si="7"/>
        <v>0</v>
      </c>
      <c r="I75" s="821"/>
      <c r="J75" s="762">
        <f t="shared" si="6"/>
        <v>0</v>
      </c>
      <c r="K75" s="821"/>
      <c r="L75" s="759">
        <f t="shared" si="4"/>
        <v>0</v>
      </c>
      <c r="M75" s="762">
        <f t="shared" si="3"/>
        <v>0</v>
      </c>
    </row>
    <row r="76" spans="1:13" ht="30">
      <c r="A76" s="838"/>
      <c r="B76" s="836"/>
      <c r="C76" s="646" t="s">
        <v>491</v>
      </c>
      <c r="D76" s="647" t="s">
        <v>470</v>
      </c>
      <c r="E76" s="648"/>
      <c r="F76" s="821">
        <v>5</v>
      </c>
      <c r="G76" s="821"/>
      <c r="H76" s="821">
        <f t="shared" si="7"/>
        <v>0</v>
      </c>
      <c r="I76" s="821"/>
      <c r="J76" s="762">
        <f t="shared" si="6"/>
        <v>0</v>
      </c>
      <c r="K76" s="821"/>
      <c r="L76" s="759">
        <f t="shared" si="4"/>
        <v>0</v>
      </c>
      <c r="M76" s="762">
        <f t="shared" si="3"/>
        <v>0</v>
      </c>
    </row>
    <row r="77" spans="1:13" ht="30">
      <c r="A77" s="838"/>
      <c r="B77" s="836"/>
      <c r="C77" s="646" t="s">
        <v>492</v>
      </c>
      <c r="D77" s="647" t="s">
        <v>470</v>
      </c>
      <c r="E77" s="648"/>
      <c r="F77" s="821">
        <v>47</v>
      </c>
      <c r="G77" s="821"/>
      <c r="H77" s="821">
        <f t="shared" si="7"/>
        <v>0</v>
      </c>
      <c r="I77" s="821"/>
      <c r="J77" s="762">
        <f t="shared" si="6"/>
        <v>0</v>
      </c>
      <c r="K77" s="821"/>
      <c r="L77" s="759">
        <f t="shared" si="4"/>
        <v>0</v>
      </c>
      <c r="M77" s="762">
        <f t="shared" si="3"/>
        <v>0</v>
      </c>
    </row>
    <row r="78" spans="1:13" ht="30">
      <c r="A78" s="838"/>
      <c r="B78" s="836"/>
      <c r="C78" s="646" t="s">
        <v>493</v>
      </c>
      <c r="D78" s="647" t="s">
        <v>470</v>
      </c>
      <c r="E78" s="648"/>
      <c r="F78" s="821">
        <v>16</v>
      </c>
      <c r="G78" s="821"/>
      <c r="H78" s="821">
        <f t="shared" si="7"/>
        <v>0</v>
      </c>
      <c r="I78" s="821"/>
      <c r="J78" s="762">
        <f t="shared" si="6"/>
        <v>0</v>
      </c>
      <c r="K78" s="821"/>
      <c r="L78" s="759">
        <f t="shared" si="4"/>
        <v>0</v>
      </c>
      <c r="M78" s="762">
        <f t="shared" si="3"/>
        <v>0</v>
      </c>
    </row>
    <row r="79" spans="1:13" ht="30">
      <c r="A79" s="838"/>
      <c r="B79" s="836"/>
      <c r="C79" s="646" t="s">
        <v>494</v>
      </c>
      <c r="D79" s="647" t="s">
        <v>470</v>
      </c>
      <c r="E79" s="648"/>
      <c r="F79" s="821">
        <v>10</v>
      </c>
      <c r="G79" s="821"/>
      <c r="H79" s="821">
        <f t="shared" si="7"/>
        <v>0</v>
      </c>
      <c r="I79" s="821"/>
      <c r="J79" s="762">
        <f t="shared" si="6"/>
        <v>0</v>
      </c>
      <c r="K79" s="821"/>
      <c r="L79" s="759">
        <f t="shared" si="4"/>
        <v>0</v>
      </c>
      <c r="M79" s="762">
        <f t="shared" si="3"/>
        <v>0</v>
      </c>
    </row>
    <row r="80" spans="1:13" ht="45">
      <c r="A80" s="838"/>
      <c r="B80" s="836"/>
      <c r="C80" s="52" t="s">
        <v>495</v>
      </c>
      <c r="D80" s="53" t="s">
        <v>470</v>
      </c>
      <c r="E80" s="58"/>
      <c r="F80" s="763">
        <v>18</v>
      </c>
      <c r="G80" s="763"/>
      <c r="H80" s="763">
        <f t="shared" si="7"/>
        <v>0</v>
      </c>
      <c r="I80" s="763"/>
      <c r="J80" s="759">
        <f t="shared" si="6"/>
        <v>0</v>
      </c>
      <c r="K80" s="763"/>
      <c r="L80" s="759">
        <f t="shared" si="4"/>
        <v>0</v>
      </c>
      <c r="M80" s="759">
        <f t="shared" si="3"/>
        <v>0</v>
      </c>
    </row>
    <row r="81" spans="1:13" ht="45">
      <c r="A81" s="838"/>
      <c r="B81" s="836"/>
      <c r="C81" s="52" t="s">
        <v>496</v>
      </c>
      <c r="D81" s="53" t="s">
        <v>470</v>
      </c>
      <c r="E81" s="58"/>
      <c r="F81" s="763">
        <v>1</v>
      </c>
      <c r="G81" s="763"/>
      <c r="H81" s="763">
        <f t="shared" si="7"/>
        <v>0</v>
      </c>
      <c r="I81" s="763"/>
      <c r="J81" s="759">
        <f t="shared" si="6"/>
        <v>0</v>
      </c>
      <c r="K81" s="763"/>
      <c r="L81" s="759">
        <f t="shared" si="4"/>
        <v>0</v>
      </c>
      <c r="M81" s="759">
        <f t="shared" si="3"/>
        <v>0</v>
      </c>
    </row>
    <row r="82" spans="1:13" ht="45">
      <c r="A82" s="838"/>
      <c r="B82" s="836"/>
      <c r="C82" s="52" t="s">
        <v>497</v>
      </c>
      <c r="D82" s="53" t="s">
        <v>470</v>
      </c>
      <c r="E82" s="58"/>
      <c r="F82" s="763">
        <v>7</v>
      </c>
      <c r="G82" s="763"/>
      <c r="H82" s="763">
        <f t="shared" si="7"/>
        <v>0</v>
      </c>
      <c r="I82" s="763"/>
      <c r="J82" s="759">
        <f t="shared" si="6"/>
        <v>0</v>
      </c>
      <c r="K82" s="763"/>
      <c r="L82" s="759">
        <f t="shared" si="4"/>
        <v>0</v>
      </c>
      <c r="M82" s="759">
        <f t="shared" si="3"/>
        <v>0</v>
      </c>
    </row>
    <row r="83" spans="1:13" ht="45">
      <c r="A83" s="838"/>
      <c r="B83" s="836"/>
      <c r="C83" s="52" t="s">
        <v>497</v>
      </c>
      <c r="D83" s="53" t="s">
        <v>470</v>
      </c>
      <c r="E83" s="58"/>
      <c r="F83" s="763">
        <v>3</v>
      </c>
      <c r="G83" s="763"/>
      <c r="H83" s="763">
        <f t="shared" si="7"/>
        <v>0</v>
      </c>
      <c r="I83" s="763"/>
      <c r="J83" s="759">
        <f t="shared" si="6"/>
        <v>0</v>
      </c>
      <c r="K83" s="763"/>
      <c r="L83" s="759">
        <f t="shared" si="4"/>
        <v>0</v>
      </c>
      <c r="M83" s="759">
        <f t="shared" si="3"/>
        <v>0</v>
      </c>
    </row>
    <row r="84" spans="1:13" s="824" customFormat="1" ht="12.75">
      <c r="A84" s="828"/>
      <c r="B84" s="696"/>
      <c r="C84" s="848" t="s">
        <v>437</v>
      </c>
      <c r="D84" s="829" t="s">
        <v>45</v>
      </c>
      <c r="E84" s="830">
        <v>0.58</v>
      </c>
      <c r="F84" s="831">
        <f>E84*F71</f>
        <v>89.89999999999999</v>
      </c>
      <c r="G84" s="806"/>
      <c r="H84" s="729">
        <f>F84*G84</f>
        <v>0</v>
      </c>
      <c r="I84" s="806"/>
      <c r="J84" s="729">
        <f>F84*I84</f>
        <v>0</v>
      </c>
      <c r="K84" s="806"/>
      <c r="L84" s="729">
        <f>F84*K84</f>
        <v>0</v>
      </c>
      <c r="M84" s="729">
        <f>H84+J84+L84</f>
        <v>0</v>
      </c>
    </row>
    <row r="85" spans="1:13" ht="45">
      <c r="A85" s="838"/>
      <c r="B85" s="836"/>
      <c r="C85" s="820" t="s">
        <v>498</v>
      </c>
      <c r="D85" s="57"/>
      <c r="E85" s="57"/>
      <c r="F85" s="763"/>
      <c r="G85" s="763"/>
      <c r="H85" s="763">
        <f t="shared" si="7"/>
        <v>0</v>
      </c>
      <c r="I85" s="763"/>
      <c r="J85" s="759">
        <f t="shared" si="6"/>
        <v>0</v>
      </c>
      <c r="K85" s="763"/>
      <c r="L85" s="759">
        <f t="shared" si="4"/>
        <v>0</v>
      </c>
      <c r="M85" s="759">
        <f t="shared" si="3"/>
        <v>0</v>
      </c>
    </row>
    <row r="86" spans="1:13" ht="60">
      <c r="A86" s="838">
        <v>1</v>
      </c>
      <c r="B86" s="834" t="s">
        <v>900</v>
      </c>
      <c r="C86" s="59" t="s">
        <v>499</v>
      </c>
      <c r="D86" s="56" t="s">
        <v>470</v>
      </c>
      <c r="E86" s="58"/>
      <c r="F86" s="763">
        <v>1</v>
      </c>
      <c r="G86" s="763"/>
      <c r="H86" s="763">
        <f t="shared" si="7"/>
        <v>0</v>
      </c>
      <c r="I86" s="763"/>
      <c r="J86" s="759">
        <f t="shared" si="6"/>
        <v>0</v>
      </c>
      <c r="K86" s="763"/>
      <c r="L86" s="759">
        <f t="shared" si="4"/>
        <v>0</v>
      </c>
      <c r="M86" s="759">
        <f t="shared" si="3"/>
        <v>0</v>
      </c>
    </row>
    <row r="87" spans="1:13" ht="25.5">
      <c r="A87" s="838">
        <v>2</v>
      </c>
      <c r="B87" s="834" t="s">
        <v>900</v>
      </c>
      <c r="C87" s="59" t="s">
        <v>500</v>
      </c>
      <c r="D87" s="56" t="s">
        <v>484</v>
      </c>
      <c r="E87" s="58"/>
      <c r="F87" s="763">
        <v>3</v>
      </c>
      <c r="G87" s="763"/>
      <c r="H87" s="763">
        <f t="shared" si="7"/>
        <v>0</v>
      </c>
      <c r="I87" s="763"/>
      <c r="J87" s="759">
        <f t="shared" si="6"/>
        <v>0</v>
      </c>
      <c r="K87" s="763"/>
      <c r="L87" s="759">
        <f t="shared" si="4"/>
        <v>0</v>
      </c>
      <c r="M87" s="759">
        <f t="shared" si="3"/>
        <v>0</v>
      </c>
    </row>
    <row r="88" spans="1:13" ht="45">
      <c r="A88" s="838"/>
      <c r="B88" s="836"/>
      <c r="C88" s="820" t="s">
        <v>501</v>
      </c>
      <c r="D88" s="57"/>
      <c r="E88" s="57"/>
      <c r="F88" s="763"/>
      <c r="G88" s="763"/>
      <c r="H88" s="763">
        <f t="shared" si="7"/>
        <v>0</v>
      </c>
      <c r="I88" s="763"/>
      <c r="J88" s="759">
        <f t="shared" si="6"/>
        <v>0</v>
      </c>
      <c r="K88" s="763"/>
      <c r="L88" s="759">
        <f t="shared" si="4"/>
        <v>0</v>
      </c>
      <c r="M88" s="759">
        <f t="shared" si="3"/>
        <v>0</v>
      </c>
    </row>
    <row r="89" spans="1:13" s="853" customFormat="1" ht="15">
      <c r="A89" s="849">
        <v>1</v>
      </c>
      <c r="B89" s="850" t="s">
        <v>907</v>
      </c>
      <c r="C89" s="848" t="s">
        <v>908</v>
      </c>
      <c r="D89" s="634" t="s">
        <v>614</v>
      </c>
      <c r="E89" s="849"/>
      <c r="F89" s="851">
        <v>2</v>
      </c>
      <c r="G89" s="852"/>
      <c r="H89" s="852"/>
      <c r="I89" s="852"/>
      <c r="J89" s="852"/>
      <c r="K89" s="852"/>
      <c r="L89" s="852"/>
      <c r="M89" s="729">
        <f>H89+J89+L89</f>
        <v>0</v>
      </c>
    </row>
    <row r="90" spans="1:13" s="853" customFormat="1" ht="14.25">
      <c r="A90" s="854"/>
      <c r="B90" s="855"/>
      <c r="C90" s="856" t="s">
        <v>909</v>
      </c>
      <c r="D90" s="634" t="s">
        <v>31</v>
      </c>
      <c r="E90" s="857">
        <v>1</v>
      </c>
      <c r="F90" s="858">
        <f>F89*E90</f>
        <v>2</v>
      </c>
      <c r="G90" s="852"/>
      <c r="H90" s="852">
        <f>F90*G90</f>
        <v>0</v>
      </c>
      <c r="I90" s="852"/>
      <c r="J90" s="852">
        <f>F90*I90</f>
        <v>0</v>
      </c>
      <c r="K90" s="852"/>
      <c r="L90" s="852">
        <f>F90*K90</f>
        <v>0</v>
      </c>
      <c r="M90" s="729">
        <f>H90+J90+L90</f>
        <v>0</v>
      </c>
    </row>
    <row r="91" spans="1:13" ht="60">
      <c r="A91" s="838"/>
      <c r="B91" s="836"/>
      <c r="C91" s="59" t="s">
        <v>597</v>
      </c>
      <c r="D91" s="56" t="s">
        <v>470</v>
      </c>
      <c r="E91" s="58"/>
      <c r="F91" s="763">
        <v>2</v>
      </c>
      <c r="G91" s="763"/>
      <c r="H91" s="763">
        <f t="shared" si="7"/>
        <v>0</v>
      </c>
      <c r="I91" s="763"/>
      <c r="J91" s="759">
        <f t="shared" si="6"/>
        <v>0</v>
      </c>
      <c r="K91" s="763"/>
      <c r="L91" s="759">
        <f t="shared" si="4"/>
        <v>0</v>
      </c>
      <c r="M91" s="759">
        <f t="shared" si="3"/>
        <v>0</v>
      </c>
    </row>
    <row r="92" spans="1:13" ht="30">
      <c r="A92" s="838"/>
      <c r="B92" s="836"/>
      <c r="C92" s="60" t="s">
        <v>502</v>
      </c>
      <c r="D92" s="56" t="s">
        <v>470</v>
      </c>
      <c r="E92" s="58"/>
      <c r="F92" s="763">
        <v>1</v>
      </c>
      <c r="G92" s="763"/>
      <c r="H92" s="763">
        <f t="shared" si="7"/>
        <v>0</v>
      </c>
      <c r="I92" s="763"/>
      <c r="J92" s="759">
        <f t="shared" si="6"/>
        <v>0</v>
      </c>
      <c r="K92" s="763"/>
      <c r="L92" s="759">
        <f t="shared" si="4"/>
        <v>0</v>
      </c>
      <c r="M92" s="759">
        <f t="shared" si="3"/>
        <v>0</v>
      </c>
    </row>
    <row r="93" spans="1:13" ht="45">
      <c r="A93" s="838"/>
      <c r="B93" s="836"/>
      <c r="C93" s="60" t="s">
        <v>503</v>
      </c>
      <c r="D93" s="56" t="s">
        <v>470</v>
      </c>
      <c r="E93" s="58"/>
      <c r="F93" s="763">
        <v>1</v>
      </c>
      <c r="G93" s="763"/>
      <c r="H93" s="763">
        <f t="shared" si="7"/>
        <v>0</v>
      </c>
      <c r="I93" s="763"/>
      <c r="J93" s="759">
        <f t="shared" si="6"/>
        <v>0</v>
      </c>
      <c r="K93" s="763"/>
      <c r="L93" s="759">
        <f t="shared" si="4"/>
        <v>0</v>
      </c>
      <c r="M93" s="759">
        <f t="shared" si="3"/>
        <v>0</v>
      </c>
    </row>
    <row r="94" spans="1:13" s="824" customFormat="1" ht="12.75">
      <c r="A94" s="828"/>
      <c r="B94" s="696"/>
      <c r="C94" s="848" t="s">
        <v>437</v>
      </c>
      <c r="D94" s="829" t="s">
        <v>45</v>
      </c>
      <c r="E94" s="830">
        <v>1.01</v>
      </c>
      <c r="F94" s="831">
        <f>F89*E94</f>
        <v>2.02</v>
      </c>
      <c r="G94" s="806"/>
      <c r="H94" s="729">
        <f t="shared" si="7"/>
        <v>0</v>
      </c>
      <c r="I94" s="806"/>
      <c r="J94" s="729">
        <f>F94*I94</f>
        <v>0</v>
      </c>
      <c r="K94" s="806"/>
      <c r="L94" s="729">
        <f>F94*K94</f>
        <v>0</v>
      </c>
      <c r="M94" s="729">
        <f>H94+J94+L94</f>
        <v>0</v>
      </c>
    </row>
    <row r="95" spans="1:13" s="865" customFormat="1" ht="60">
      <c r="A95" s="861">
        <v>2</v>
      </c>
      <c r="B95" s="862" t="s">
        <v>912</v>
      </c>
      <c r="C95" s="52" t="s">
        <v>504</v>
      </c>
      <c r="D95" s="863" t="s">
        <v>112</v>
      </c>
      <c r="E95" s="863"/>
      <c r="F95" s="864">
        <v>1</v>
      </c>
      <c r="G95" s="806"/>
      <c r="H95" s="806">
        <f t="shared" si="7"/>
        <v>0</v>
      </c>
      <c r="I95" s="852"/>
      <c r="J95" s="729">
        <f>F95*I95</f>
        <v>0</v>
      </c>
      <c r="K95" s="852"/>
      <c r="L95" s="806">
        <f>F95*K95</f>
        <v>0</v>
      </c>
      <c r="M95" s="729">
        <f>H95+J95+L95</f>
        <v>0</v>
      </c>
    </row>
    <row r="96" spans="1:13" s="865" customFormat="1" ht="15">
      <c r="A96" s="861"/>
      <c r="B96" s="862"/>
      <c r="C96" s="866" t="s">
        <v>909</v>
      </c>
      <c r="D96" s="634" t="s">
        <v>31</v>
      </c>
      <c r="E96" s="867">
        <v>6.02</v>
      </c>
      <c r="F96" s="852">
        <f>F95*E96</f>
        <v>6.02</v>
      </c>
      <c r="G96" s="868"/>
      <c r="H96" s="806">
        <f t="shared" si="7"/>
        <v>0</v>
      </c>
      <c r="I96" s="852"/>
      <c r="J96" s="729">
        <f>F96*I96</f>
        <v>0</v>
      </c>
      <c r="K96" s="852"/>
      <c r="L96" s="806">
        <f>F96*K96</f>
        <v>0</v>
      </c>
      <c r="M96" s="729">
        <f>H96+J96+L96</f>
        <v>0</v>
      </c>
    </row>
    <row r="97" spans="1:13" s="865" customFormat="1" ht="15">
      <c r="A97" s="861"/>
      <c r="B97" s="862"/>
      <c r="C97" s="869" t="s">
        <v>913</v>
      </c>
      <c r="D97" s="634" t="s">
        <v>32</v>
      </c>
      <c r="E97" s="867">
        <v>0.06</v>
      </c>
      <c r="F97" s="852">
        <f>F95*E97</f>
        <v>0.06</v>
      </c>
      <c r="G97" s="868"/>
      <c r="H97" s="806">
        <f t="shared" si="7"/>
        <v>0</v>
      </c>
      <c r="I97" s="852"/>
      <c r="J97" s="729">
        <f>F97*I97</f>
        <v>0</v>
      </c>
      <c r="K97" s="852"/>
      <c r="L97" s="806">
        <f>F97*K97</f>
        <v>0</v>
      </c>
      <c r="M97" s="729">
        <f>H97+J97+L97</f>
        <v>0</v>
      </c>
    </row>
    <row r="98" spans="1:13" ht="60">
      <c r="A98" s="838"/>
      <c r="B98" s="836"/>
      <c r="C98" s="52" t="s">
        <v>504</v>
      </c>
      <c r="D98" s="56" t="s">
        <v>484</v>
      </c>
      <c r="E98" s="58"/>
      <c r="F98" s="763">
        <v>1</v>
      </c>
      <c r="G98" s="763"/>
      <c r="H98" s="763">
        <f t="shared" si="7"/>
        <v>0</v>
      </c>
      <c r="I98" s="763"/>
      <c r="J98" s="759">
        <f t="shared" si="6"/>
        <v>0</v>
      </c>
      <c r="K98" s="763"/>
      <c r="L98" s="759">
        <f t="shared" si="4"/>
        <v>0</v>
      </c>
      <c r="M98" s="759">
        <f t="shared" si="3"/>
        <v>0</v>
      </c>
    </row>
    <row r="99" spans="1:13" s="824" customFormat="1" ht="13.5">
      <c r="A99" s="828"/>
      <c r="B99" s="696"/>
      <c r="C99" s="848" t="s">
        <v>437</v>
      </c>
      <c r="D99" s="829" t="s">
        <v>45</v>
      </c>
      <c r="E99" s="830">
        <v>2</v>
      </c>
      <c r="F99" s="831">
        <f>F95*E99</f>
        <v>2</v>
      </c>
      <c r="G99" s="806"/>
      <c r="H99" s="729">
        <f>F99*G99</f>
        <v>0</v>
      </c>
      <c r="I99" s="806"/>
      <c r="J99" s="729">
        <f>F99*I99</f>
        <v>0</v>
      </c>
      <c r="K99" s="806"/>
      <c r="L99" s="729">
        <f>F99*K99</f>
        <v>0</v>
      </c>
      <c r="M99" s="729">
        <f>H99+J99+L99</f>
        <v>0</v>
      </c>
    </row>
    <row r="100" spans="1:13" ht="30">
      <c r="A100" s="838"/>
      <c r="B100" s="836"/>
      <c r="C100" s="820" t="s">
        <v>505</v>
      </c>
      <c r="D100" s="57"/>
      <c r="E100" s="57"/>
      <c r="F100" s="817"/>
      <c r="G100" s="763"/>
      <c r="H100" s="763">
        <f t="shared" si="7"/>
        <v>0</v>
      </c>
      <c r="I100" s="763"/>
      <c r="J100" s="759">
        <f t="shared" si="6"/>
        <v>0</v>
      </c>
      <c r="K100" s="763"/>
      <c r="L100" s="759">
        <f t="shared" si="4"/>
        <v>0</v>
      </c>
      <c r="M100" s="759">
        <f t="shared" si="3"/>
        <v>0</v>
      </c>
    </row>
    <row r="101" spans="1:13" s="853" customFormat="1" ht="15">
      <c r="A101" s="849">
        <v>1</v>
      </c>
      <c r="B101" s="862" t="s">
        <v>907</v>
      </c>
      <c r="C101" s="848" t="s">
        <v>908</v>
      </c>
      <c r="D101" s="634" t="s">
        <v>614</v>
      </c>
      <c r="E101" s="849"/>
      <c r="F101" s="851">
        <f>F103+F104+F105+F106+F109+F110+F111+F112+F113+F114</f>
        <v>19</v>
      </c>
      <c r="G101" s="852"/>
      <c r="H101" s="852"/>
      <c r="I101" s="852"/>
      <c r="J101" s="852"/>
      <c r="K101" s="852"/>
      <c r="L101" s="852"/>
      <c r="M101" s="729">
        <f>H101+J101+L101</f>
        <v>0</v>
      </c>
    </row>
    <row r="102" spans="1:13" s="853" customFormat="1" ht="14.25">
      <c r="A102" s="854"/>
      <c r="B102" s="855"/>
      <c r="C102" s="856" t="s">
        <v>909</v>
      </c>
      <c r="D102" s="634" t="s">
        <v>31</v>
      </c>
      <c r="E102" s="857">
        <v>1</v>
      </c>
      <c r="F102" s="858">
        <f>F101*E102</f>
        <v>19</v>
      </c>
      <c r="G102" s="852"/>
      <c r="H102" s="852">
        <f>F102*G102</f>
        <v>0</v>
      </c>
      <c r="I102" s="852"/>
      <c r="J102" s="852">
        <f>F102*I102</f>
        <v>0</v>
      </c>
      <c r="K102" s="852"/>
      <c r="L102" s="852">
        <f>F102*K102</f>
        <v>0</v>
      </c>
      <c r="M102" s="729">
        <f>H102+J102+L102</f>
        <v>0</v>
      </c>
    </row>
    <row r="103" spans="1:13" ht="75">
      <c r="A103" s="838"/>
      <c r="B103" s="836"/>
      <c r="C103" s="59" t="s">
        <v>598</v>
      </c>
      <c r="D103" s="56" t="s">
        <v>470</v>
      </c>
      <c r="E103" s="54"/>
      <c r="F103" s="817">
        <v>1</v>
      </c>
      <c r="G103" s="763"/>
      <c r="H103" s="763">
        <f t="shared" si="7"/>
        <v>0</v>
      </c>
      <c r="I103" s="763"/>
      <c r="J103" s="759">
        <f t="shared" si="6"/>
        <v>0</v>
      </c>
      <c r="K103" s="763"/>
      <c r="L103" s="759">
        <f t="shared" si="4"/>
        <v>0</v>
      </c>
      <c r="M103" s="759">
        <f t="shared" si="3"/>
        <v>0</v>
      </c>
    </row>
    <row r="104" spans="1:13" ht="60">
      <c r="A104" s="838"/>
      <c r="B104" s="836"/>
      <c r="C104" s="59" t="s">
        <v>506</v>
      </c>
      <c r="D104" s="56" t="s">
        <v>470</v>
      </c>
      <c r="E104" s="54"/>
      <c r="F104" s="817">
        <v>1</v>
      </c>
      <c r="G104" s="763"/>
      <c r="H104" s="763">
        <f t="shared" si="7"/>
        <v>0</v>
      </c>
      <c r="I104" s="763"/>
      <c r="J104" s="759">
        <f t="shared" si="6"/>
        <v>0</v>
      </c>
      <c r="K104" s="763"/>
      <c r="L104" s="759">
        <f t="shared" si="4"/>
        <v>0</v>
      </c>
      <c r="M104" s="759">
        <f aca="true" t="shared" si="8" ref="M104:M219">L104+J104+H104</f>
        <v>0</v>
      </c>
    </row>
    <row r="105" spans="1:13" ht="75">
      <c r="A105" s="838"/>
      <c r="B105" s="836"/>
      <c r="C105" s="59" t="s">
        <v>507</v>
      </c>
      <c r="D105" s="56" t="s">
        <v>470</v>
      </c>
      <c r="E105" s="54"/>
      <c r="F105" s="817">
        <v>1</v>
      </c>
      <c r="G105" s="763"/>
      <c r="H105" s="763">
        <f t="shared" si="7"/>
        <v>0</v>
      </c>
      <c r="I105" s="763"/>
      <c r="J105" s="759">
        <f t="shared" si="6"/>
        <v>0</v>
      </c>
      <c r="K105" s="763"/>
      <c r="L105" s="759">
        <f t="shared" si="4"/>
        <v>0</v>
      </c>
      <c r="M105" s="759">
        <f t="shared" si="8"/>
        <v>0</v>
      </c>
    </row>
    <row r="106" spans="1:13" ht="60">
      <c r="A106" s="838"/>
      <c r="B106" s="836"/>
      <c r="C106" s="59" t="s">
        <v>508</v>
      </c>
      <c r="D106" s="56" t="s">
        <v>470</v>
      </c>
      <c r="E106" s="54"/>
      <c r="F106" s="817">
        <v>1</v>
      </c>
      <c r="G106" s="763"/>
      <c r="H106" s="763">
        <f t="shared" si="7"/>
        <v>0</v>
      </c>
      <c r="I106" s="763"/>
      <c r="J106" s="759">
        <f t="shared" si="6"/>
        <v>0</v>
      </c>
      <c r="K106" s="763"/>
      <c r="L106" s="759">
        <f t="shared" si="4"/>
        <v>0</v>
      </c>
      <c r="M106" s="759">
        <f t="shared" si="8"/>
        <v>0</v>
      </c>
    </row>
    <row r="107" spans="1:13" ht="60">
      <c r="A107" s="838"/>
      <c r="B107" s="836"/>
      <c r="C107" s="59" t="s">
        <v>509</v>
      </c>
      <c r="D107" s="56" t="s">
        <v>470</v>
      </c>
      <c r="E107" s="54"/>
      <c r="F107" s="817">
        <v>2</v>
      </c>
      <c r="G107" s="763"/>
      <c r="H107" s="763">
        <f t="shared" si="7"/>
        <v>0</v>
      </c>
      <c r="I107" s="763"/>
      <c r="J107" s="759">
        <f t="shared" si="6"/>
        <v>0</v>
      </c>
      <c r="K107" s="763"/>
      <c r="L107" s="759">
        <f t="shared" si="4"/>
        <v>0</v>
      </c>
      <c r="M107" s="759">
        <f t="shared" si="8"/>
        <v>0</v>
      </c>
    </row>
    <row r="108" spans="1:13" ht="30">
      <c r="A108" s="838"/>
      <c r="B108" s="836"/>
      <c r="C108" s="59" t="s">
        <v>510</v>
      </c>
      <c r="D108" s="56" t="s">
        <v>470</v>
      </c>
      <c r="E108" s="54"/>
      <c r="F108" s="817">
        <v>6</v>
      </c>
      <c r="G108" s="763"/>
      <c r="H108" s="763">
        <f t="shared" si="7"/>
        <v>0</v>
      </c>
      <c r="I108" s="763"/>
      <c r="J108" s="759">
        <f t="shared" si="6"/>
        <v>0</v>
      </c>
      <c r="K108" s="763"/>
      <c r="L108" s="759">
        <f t="shared" si="4"/>
        <v>0</v>
      </c>
      <c r="M108" s="759">
        <f t="shared" si="8"/>
        <v>0</v>
      </c>
    </row>
    <row r="109" spans="1:13" ht="30">
      <c r="A109" s="838"/>
      <c r="B109" s="836"/>
      <c r="C109" s="60" t="s">
        <v>511</v>
      </c>
      <c r="D109" s="56" t="s">
        <v>484</v>
      </c>
      <c r="E109" s="54"/>
      <c r="F109" s="817">
        <v>1</v>
      </c>
      <c r="G109" s="763"/>
      <c r="H109" s="763">
        <f t="shared" si="7"/>
        <v>0</v>
      </c>
      <c r="I109" s="763"/>
      <c r="J109" s="759">
        <f t="shared" si="6"/>
        <v>0</v>
      </c>
      <c r="K109" s="763"/>
      <c r="L109" s="759">
        <f t="shared" si="4"/>
        <v>0</v>
      </c>
      <c r="M109" s="759">
        <f t="shared" si="8"/>
        <v>0</v>
      </c>
    </row>
    <row r="110" spans="1:13" ht="30">
      <c r="A110" s="838"/>
      <c r="B110" s="836"/>
      <c r="C110" s="60" t="s">
        <v>512</v>
      </c>
      <c r="D110" s="56" t="s">
        <v>484</v>
      </c>
      <c r="E110" s="54"/>
      <c r="F110" s="817">
        <v>2</v>
      </c>
      <c r="G110" s="763"/>
      <c r="H110" s="763">
        <f t="shared" si="7"/>
        <v>0</v>
      </c>
      <c r="I110" s="763"/>
      <c r="J110" s="759">
        <f t="shared" si="6"/>
        <v>0</v>
      </c>
      <c r="K110" s="763"/>
      <c r="L110" s="759">
        <f t="shared" si="4"/>
        <v>0</v>
      </c>
      <c r="M110" s="759">
        <f t="shared" si="8"/>
        <v>0</v>
      </c>
    </row>
    <row r="111" spans="1:13" ht="30">
      <c r="A111" s="838"/>
      <c r="B111" s="836"/>
      <c r="C111" s="60" t="s">
        <v>513</v>
      </c>
      <c r="D111" s="56" t="s">
        <v>484</v>
      </c>
      <c r="E111" s="54"/>
      <c r="F111" s="817">
        <v>3</v>
      </c>
      <c r="G111" s="763"/>
      <c r="H111" s="763">
        <f t="shared" si="7"/>
        <v>0</v>
      </c>
      <c r="I111" s="763"/>
      <c r="J111" s="759">
        <f t="shared" si="6"/>
        <v>0</v>
      </c>
      <c r="K111" s="763"/>
      <c r="L111" s="759">
        <f t="shared" si="4"/>
        <v>0</v>
      </c>
      <c r="M111" s="759">
        <f t="shared" si="8"/>
        <v>0</v>
      </c>
    </row>
    <row r="112" spans="1:13" ht="30">
      <c r="A112" s="838"/>
      <c r="B112" s="836"/>
      <c r="C112" s="60" t="s">
        <v>514</v>
      </c>
      <c r="D112" s="56" t="s">
        <v>484</v>
      </c>
      <c r="E112" s="54"/>
      <c r="F112" s="817">
        <v>1</v>
      </c>
      <c r="G112" s="763"/>
      <c r="H112" s="763">
        <f t="shared" si="7"/>
        <v>0</v>
      </c>
      <c r="I112" s="763"/>
      <c r="J112" s="759">
        <f t="shared" si="6"/>
        <v>0</v>
      </c>
      <c r="K112" s="763"/>
      <c r="L112" s="759">
        <f t="shared" si="4"/>
        <v>0</v>
      </c>
      <c r="M112" s="759">
        <f t="shared" si="8"/>
        <v>0</v>
      </c>
    </row>
    <row r="113" spans="1:13" ht="30">
      <c r="A113" s="838"/>
      <c r="B113" s="836"/>
      <c r="C113" s="60" t="s">
        <v>515</v>
      </c>
      <c r="D113" s="56" t="s">
        <v>484</v>
      </c>
      <c r="E113" s="54"/>
      <c r="F113" s="817">
        <v>6</v>
      </c>
      <c r="G113" s="763"/>
      <c r="H113" s="763">
        <f t="shared" si="7"/>
        <v>0</v>
      </c>
      <c r="I113" s="763"/>
      <c r="J113" s="759">
        <f t="shared" si="6"/>
        <v>0</v>
      </c>
      <c r="K113" s="763"/>
      <c r="L113" s="759">
        <f t="shared" si="4"/>
        <v>0</v>
      </c>
      <c r="M113" s="759">
        <f t="shared" si="8"/>
        <v>0</v>
      </c>
    </row>
    <row r="114" spans="1:13" ht="30">
      <c r="A114" s="838"/>
      <c r="B114" s="836"/>
      <c r="C114" s="60" t="s">
        <v>516</v>
      </c>
      <c r="D114" s="56" t="s">
        <v>470</v>
      </c>
      <c r="E114" s="54"/>
      <c r="F114" s="817">
        <v>2</v>
      </c>
      <c r="G114" s="763"/>
      <c r="H114" s="763">
        <f t="shared" si="7"/>
        <v>0</v>
      </c>
      <c r="I114" s="763"/>
      <c r="J114" s="759">
        <f t="shared" si="6"/>
        <v>0</v>
      </c>
      <c r="K114" s="763"/>
      <c r="L114" s="759">
        <f t="shared" si="4"/>
        <v>0</v>
      </c>
      <c r="M114" s="759">
        <f t="shared" si="8"/>
        <v>0</v>
      </c>
    </row>
    <row r="115" spans="1:13" ht="45">
      <c r="A115" s="838"/>
      <c r="B115" s="836"/>
      <c r="C115" s="60" t="s">
        <v>503</v>
      </c>
      <c r="D115" s="56" t="s">
        <v>470</v>
      </c>
      <c r="E115" s="54"/>
      <c r="F115" s="817">
        <v>1</v>
      </c>
      <c r="G115" s="763"/>
      <c r="H115" s="763">
        <f t="shared" si="7"/>
        <v>0</v>
      </c>
      <c r="I115" s="763"/>
      <c r="J115" s="759">
        <f t="shared" si="6"/>
        <v>0</v>
      </c>
      <c r="K115" s="763"/>
      <c r="L115" s="759">
        <f t="shared" si="4"/>
        <v>0</v>
      </c>
      <c r="M115" s="759">
        <f t="shared" si="8"/>
        <v>0</v>
      </c>
    </row>
    <row r="116" spans="1:13" s="824" customFormat="1" ht="13.5">
      <c r="A116" s="828"/>
      <c r="B116" s="696"/>
      <c r="C116" s="848" t="s">
        <v>437</v>
      </c>
      <c r="D116" s="829" t="s">
        <v>45</v>
      </c>
      <c r="E116" s="830">
        <v>1.01</v>
      </c>
      <c r="F116" s="831">
        <f>F101*E116</f>
        <v>19.19</v>
      </c>
      <c r="G116" s="806"/>
      <c r="H116" s="729">
        <f>F116*G116</f>
        <v>0</v>
      </c>
      <c r="I116" s="806"/>
      <c r="J116" s="729">
        <f>F116*I116</f>
        <v>0</v>
      </c>
      <c r="K116" s="806"/>
      <c r="L116" s="729">
        <f>F116*K116</f>
        <v>0</v>
      </c>
      <c r="M116" s="729">
        <f>H116+J116+L116</f>
        <v>0</v>
      </c>
    </row>
    <row r="117" spans="1:13" s="865" customFormat="1" ht="75">
      <c r="A117" s="861">
        <v>2</v>
      </c>
      <c r="B117" s="862" t="s">
        <v>912</v>
      </c>
      <c r="C117" s="52" t="s">
        <v>517</v>
      </c>
      <c r="D117" s="863" t="s">
        <v>112</v>
      </c>
      <c r="E117" s="863"/>
      <c r="F117" s="864">
        <v>1</v>
      </c>
      <c r="G117" s="806"/>
      <c r="H117" s="806">
        <f>F117*G117</f>
        <v>0</v>
      </c>
      <c r="I117" s="852"/>
      <c r="J117" s="729">
        <f>F117*I117</f>
        <v>0</v>
      </c>
      <c r="K117" s="852"/>
      <c r="L117" s="806">
        <f>F117*K117</f>
        <v>0</v>
      </c>
      <c r="M117" s="729">
        <f>H117+J117+L117</f>
        <v>0</v>
      </c>
    </row>
    <row r="118" spans="1:13" s="865" customFormat="1" ht="15">
      <c r="A118" s="861"/>
      <c r="B118" s="862"/>
      <c r="C118" s="866" t="s">
        <v>909</v>
      </c>
      <c r="D118" s="634" t="s">
        <v>31</v>
      </c>
      <c r="E118" s="867">
        <v>6.02</v>
      </c>
      <c r="F118" s="852">
        <f>F117*E118</f>
        <v>6.02</v>
      </c>
      <c r="G118" s="868"/>
      <c r="H118" s="806">
        <f>F118*G118</f>
        <v>0</v>
      </c>
      <c r="I118" s="852"/>
      <c r="J118" s="729">
        <f>F118*I118</f>
        <v>0</v>
      </c>
      <c r="K118" s="852"/>
      <c r="L118" s="806">
        <f>F118*K118</f>
        <v>0</v>
      </c>
      <c r="M118" s="729">
        <f>H118+J118+L118</f>
        <v>0</v>
      </c>
    </row>
    <row r="119" spans="1:13" s="865" customFormat="1" ht="15">
      <c r="A119" s="861"/>
      <c r="B119" s="862"/>
      <c r="C119" s="869" t="s">
        <v>913</v>
      </c>
      <c r="D119" s="634" t="s">
        <v>32</v>
      </c>
      <c r="E119" s="867">
        <v>0.06</v>
      </c>
      <c r="F119" s="852">
        <f>F117*E119</f>
        <v>0.06</v>
      </c>
      <c r="G119" s="868"/>
      <c r="H119" s="806">
        <f>F119*G119</f>
        <v>0</v>
      </c>
      <c r="I119" s="852"/>
      <c r="J119" s="729">
        <f>F119*I119</f>
        <v>0</v>
      </c>
      <c r="K119" s="852"/>
      <c r="L119" s="806">
        <f>F119*K119</f>
        <v>0</v>
      </c>
      <c r="M119" s="729">
        <f>H119+J119+L119</f>
        <v>0</v>
      </c>
    </row>
    <row r="120" spans="1:13" ht="75">
      <c r="A120" s="838"/>
      <c r="B120" s="836"/>
      <c r="C120" s="52" t="s">
        <v>517</v>
      </c>
      <c r="D120" s="56" t="s">
        <v>470</v>
      </c>
      <c r="E120" s="54"/>
      <c r="F120" s="817">
        <v>1</v>
      </c>
      <c r="G120" s="763"/>
      <c r="H120" s="763">
        <f t="shared" si="7"/>
        <v>0</v>
      </c>
      <c r="I120" s="763"/>
      <c r="J120" s="759">
        <f t="shared" si="6"/>
        <v>0</v>
      </c>
      <c r="K120" s="763"/>
      <c r="L120" s="759">
        <f t="shared" si="4"/>
        <v>0</v>
      </c>
      <c r="M120" s="759">
        <f t="shared" si="8"/>
        <v>0</v>
      </c>
    </row>
    <row r="121" spans="1:13" s="824" customFormat="1" ht="13.5">
      <c r="A121" s="828"/>
      <c r="B121" s="696"/>
      <c r="C121" s="848" t="s">
        <v>437</v>
      </c>
      <c r="D121" s="829" t="s">
        <v>45</v>
      </c>
      <c r="E121" s="830">
        <v>2</v>
      </c>
      <c r="F121" s="831">
        <f>F117*E121</f>
        <v>2</v>
      </c>
      <c r="G121" s="806"/>
      <c r="H121" s="729">
        <f t="shared" si="7"/>
        <v>0</v>
      </c>
      <c r="I121" s="806"/>
      <c r="J121" s="729">
        <f>F121*I121</f>
        <v>0</v>
      </c>
      <c r="K121" s="806"/>
      <c r="L121" s="729">
        <f>F121*K121</f>
        <v>0</v>
      </c>
      <c r="M121" s="729">
        <f>H121+J121+L121</f>
        <v>0</v>
      </c>
    </row>
    <row r="122" spans="1:13" ht="30">
      <c r="A122" s="838"/>
      <c r="B122" s="836"/>
      <c r="C122" s="41" t="s">
        <v>518</v>
      </c>
      <c r="D122" s="61" t="s">
        <v>112</v>
      </c>
      <c r="E122" s="61"/>
      <c r="F122" s="817">
        <v>1</v>
      </c>
      <c r="G122" s="763"/>
      <c r="H122" s="763">
        <f t="shared" si="7"/>
        <v>0</v>
      </c>
      <c r="I122" s="763"/>
      <c r="J122" s="759">
        <f t="shared" si="6"/>
        <v>0</v>
      </c>
      <c r="K122" s="763"/>
      <c r="L122" s="759">
        <f t="shared" si="4"/>
        <v>0</v>
      </c>
      <c r="M122" s="759">
        <f t="shared" si="8"/>
        <v>0</v>
      </c>
    </row>
    <row r="123" spans="1:13" s="853" customFormat="1" ht="15">
      <c r="A123" s="849">
        <v>1</v>
      </c>
      <c r="B123" s="862" t="s">
        <v>907</v>
      </c>
      <c r="C123" s="848" t="s">
        <v>908</v>
      </c>
      <c r="D123" s="634" t="s">
        <v>614</v>
      </c>
      <c r="E123" s="849"/>
      <c r="F123" s="851">
        <f>F125+F126+F127+F128+F129+F130</f>
        <v>26</v>
      </c>
      <c r="G123" s="852"/>
      <c r="H123" s="852"/>
      <c r="I123" s="852"/>
      <c r="J123" s="852"/>
      <c r="K123" s="852"/>
      <c r="L123" s="852"/>
      <c r="M123" s="729">
        <f>H123+J123+L123</f>
        <v>0</v>
      </c>
    </row>
    <row r="124" spans="1:13" s="853" customFormat="1" ht="14.25">
      <c r="A124" s="854"/>
      <c r="B124" s="855"/>
      <c r="C124" s="856" t="s">
        <v>909</v>
      </c>
      <c r="D124" s="634" t="s">
        <v>31</v>
      </c>
      <c r="E124" s="857">
        <v>1</v>
      </c>
      <c r="F124" s="858">
        <f>F123*E124</f>
        <v>26</v>
      </c>
      <c r="G124" s="852"/>
      <c r="H124" s="852">
        <f>F124*G124</f>
        <v>0</v>
      </c>
      <c r="I124" s="852"/>
      <c r="J124" s="852">
        <f>F124*I124</f>
        <v>0</v>
      </c>
      <c r="K124" s="852"/>
      <c r="L124" s="852">
        <f>F124*K124</f>
        <v>0</v>
      </c>
      <c r="M124" s="729">
        <f>H124+J124+L124</f>
        <v>0</v>
      </c>
    </row>
    <row r="125" spans="1:13" ht="30">
      <c r="A125" s="838"/>
      <c r="B125" s="836"/>
      <c r="C125" s="52" t="s">
        <v>519</v>
      </c>
      <c r="D125" s="53" t="s">
        <v>112</v>
      </c>
      <c r="E125" s="54"/>
      <c r="F125" s="817">
        <v>1</v>
      </c>
      <c r="G125" s="763"/>
      <c r="H125" s="763">
        <f t="shared" si="7"/>
        <v>0</v>
      </c>
      <c r="I125" s="763"/>
      <c r="J125" s="759">
        <f t="shared" si="6"/>
        <v>0</v>
      </c>
      <c r="K125" s="763"/>
      <c r="L125" s="759">
        <f t="shared" si="4"/>
        <v>0</v>
      </c>
      <c r="M125" s="759">
        <f t="shared" si="8"/>
        <v>0</v>
      </c>
    </row>
    <row r="126" spans="1:13" ht="30">
      <c r="A126" s="838"/>
      <c r="B126" s="836"/>
      <c r="C126" s="52" t="s">
        <v>520</v>
      </c>
      <c r="D126" s="53" t="s">
        <v>112</v>
      </c>
      <c r="E126" s="54"/>
      <c r="F126" s="817">
        <v>1</v>
      </c>
      <c r="G126" s="763"/>
      <c r="H126" s="763">
        <f t="shared" si="7"/>
        <v>0</v>
      </c>
      <c r="I126" s="763"/>
      <c r="J126" s="759">
        <f t="shared" si="6"/>
        <v>0</v>
      </c>
      <c r="K126" s="763"/>
      <c r="L126" s="759">
        <f t="shared" si="4"/>
        <v>0</v>
      </c>
      <c r="M126" s="759">
        <f t="shared" si="8"/>
        <v>0</v>
      </c>
    </row>
    <row r="127" spans="1:13" ht="30">
      <c r="A127" s="838"/>
      <c r="B127" s="836"/>
      <c r="C127" s="52" t="s">
        <v>521</v>
      </c>
      <c r="D127" s="53" t="s">
        <v>112</v>
      </c>
      <c r="E127" s="54"/>
      <c r="F127" s="817">
        <v>1</v>
      </c>
      <c r="G127" s="763"/>
      <c r="H127" s="763">
        <f t="shared" si="7"/>
        <v>0</v>
      </c>
      <c r="I127" s="763"/>
      <c r="J127" s="759">
        <f t="shared" si="6"/>
        <v>0</v>
      </c>
      <c r="K127" s="763"/>
      <c r="L127" s="759">
        <f t="shared" si="4"/>
        <v>0</v>
      </c>
      <c r="M127" s="759">
        <f t="shared" si="8"/>
        <v>0</v>
      </c>
    </row>
    <row r="128" spans="1:13" ht="30">
      <c r="A128" s="838"/>
      <c r="B128" s="836"/>
      <c r="C128" s="52" t="s">
        <v>522</v>
      </c>
      <c r="D128" s="53" t="s">
        <v>112</v>
      </c>
      <c r="E128" s="54"/>
      <c r="F128" s="817">
        <v>1</v>
      </c>
      <c r="G128" s="763"/>
      <c r="H128" s="763">
        <f t="shared" si="7"/>
        <v>0</v>
      </c>
      <c r="I128" s="763"/>
      <c r="J128" s="759">
        <f t="shared" si="6"/>
        <v>0</v>
      </c>
      <c r="K128" s="763"/>
      <c r="L128" s="759">
        <f t="shared" si="4"/>
        <v>0</v>
      </c>
      <c r="M128" s="759">
        <f t="shared" si="8"/>
        <v>0</v>
      </c>
    </row>
    <row r="129" spans="1:13" ht="30">
      <c r="A129" s="838"/>
      <c r="B129" s="836"/>
      <c r="C129" s="52" t="s">
        <v>523</v>
      </c>
      <c r="D129" s="53" t="s">
        <v>112</v>
      </c>
      <c r="E129" s="54"/>
      <c r="F129" s="817">
        <v>4</v>
      </c>
      <c r="G129" s="763"/>
      <c r="H129" s="763">
        <f t="shared" si="7"/>
        <v>0</v>
      </c>
      <c r="I129" s="763"/>
      <c r="J129" s="759">
        <f t="shared" si="6"/>
        <v>0</v>
      </c>
      <c r="K129" s="763"/>
      <c r="L129" s="759">
        <f t="shared" si="4"/>
        <v>0</v>
      </c>
      <c r="M129" s="759">
        <f t="shared" si="8"/>
        <v>0</v>
      </c>
    </row>
    <row r="130" spans="1:13" ht="45">
      <c r="A130" s="838"/>
      <c r="B130" s="836"/>
      <c r="C130" s="52" t="s">
        <v>524</v>
      </c>
      <c r="D130" s="53" t="s">
        <v>112</v>
      </c>
      <c r="E130" s="54"/>
      <c r="F130" s="817">
        <v>18</v>
      </c>
      <c r="G130" s="763"/>
      <c r="H130" s="763">
        <f t="shared" si="7"/>
        <v>0</v>
      </c>
      <c r="I130" s="763"/>
      <c r="J130" s="759">
        <f t="shared" si="6"/>
        <v>0</v>
      </c>
      <c r="K130" s="763"/>
      <c r="L130" s="759">
        <f t="shared" si="4"/>
        <v>0</v>
      </c>
      <c r="M130" s="759">
        <f t="shared" si="8"/>
        <v>0</v>
      </c>
    </row>
    <row r="131" spans="1:13" ht="45">
      <c r="A131" s="838"/>
      <c r="B131" s="836"/>
      <c r="C131" s="52" t="s">
        <v>525</v>
      </c>
      <c r="D131" s="53" t="s">
        <v>526</v>
      </c>
      <c r="E131" s="54"/>
      <c r="F131" s="817">
        <v>8</v>
      </c>
      <c r="G131" s="763"/>
      <c r="H131" s="763">
        <f t="shared" si="7"/>
        <v>0</v>
      </c>
      <c r="I131" s="763"/>
      <c r="J131" s="759">
        <f t="shared" si="6"/>
        <v>0</v>
      </c>
      <c r="K131" s="763"/>
      <c r="L131" s="759">
        <f t="shared" si="4"/>
        <v>0</v>
      </c>
      <c r="M131" s="759">
        <f t="shared" si="8"/>
        <v>0</v>
      </c>
    </row>
    <row r="132" spans="1:13" s="824" customFormat="1" ht="14.25" customHeight="1">
      <c r="A132" s="828"/>
      <c r="B132" s="696"/>
      <c r="C132" s="848" t="s">
        <v>437</v>
      </c>
      <c r="D132" s="829" t="s">
        <v>45</v>
      </c>
      <c r="E132" s="830">
        <v>1.01</v>
      </c>
      <c r="F132" s="831">
        <f>E132*F123</f>
        <v>26.26</v>
      </c>
      <c r="G132" s="806"/>
      <c r="H132" s="729">
        <f t="shared" si="7"/>
        <v>0</v>
      </c>
      <c r="I132" s="806"/>
      <c r="J132" s="729">
        <f>F132*I132</f>
        <v>0</v>
      </c>
      <c r="K132" s="806"/>
      <c r="L132" s="729">
        <f>F132*K132</f>
        <v>0</v>
      </c>
      <c r="M132" s="729">
        <f>H132+J132+L132</f>
        <v>0</v>
      </c>
    </row>
    <row r="133" spans="1:13" s="865" customFormat="1" ht="30">
      <c r="A133" s="861">
        <v>2</v>
      </c>
      <c r="B133" s="862" t="s">
        <v>912</v>
      </c>
      <c r="C133" s="52" t="s">
        <v>527</v>
      </c>
      <c r="D133" s="863" t="s">
        <v>112</v>
      </c>
      <c r="E133" s="863"/>
      <c r="F133" s="864">
        <v>1</v>
      </c>
      <c r="G133" s="806"/>
      <c r="H133" s="806">
        <f t="shared" si="7"/>
        <v>0</v>
      </c>
      <c r="I133" s="852"/>
      <c r="J133" s="729">
        <f>F133*I133</f>
        <v>0</v>
      </c>
      <c r="K133" s="852"/>
      <c r="L133" s="806">
        <f>F133*K133</f>
        <v>0</v>
      </c>
      <c r="M133" s="729">
        <f>H133+J133+L133</f>
        <v>0</v>
      </c>
    </row>
    <row r="134" spans="1:13" s="865" customFormat="1" ht="15">
      <c r="A134" s="861"/>
      <c r="B134" s="862"/>
      <c r="C134" s="866" t="s">
        <v>909</v>
      </c>
      <c r="D134" s="634" t="s">
        <v>31</v>
      </c>
      <c r="E134" s="867">
        <v>6.02</v>
      </c>
      <c r="F134" s="852">
        <f>F133*E134</f>
        <v>6.02</v>
      </c>
      <c r="G134" s="868"/>
      <c r="H134" s="806">
        <f t="shared" si="7"/>
        <v>0</v>
      </c>
      <c r="I134" s="852"/>
      <c r="J134" s="729">
        <f>F134*I134</f>
        <v>0</v>
      </c>
      <c r="K134" s="852"/>
      <c r="L134" s="806">
        <f>F134*K134</f>
        <v>0</v>
      </c>
      <c r="M134" s="729">
        <f>H134+J134+L134</f>
        <v>0</v>
      </c>
    </row>
    <row r="135" spans="1:13" s="865" customFormat="1" ht="15">
      <c r="A135" s="861"/>
      <c r="B135" s="862"/>
      <c r="C135" s="869" t="s">
        <v>913</v>
      </c>
      <c r="D135" s="634" t="s">
        <v>32</v>
      </c>
      <c r="E135" s="867">
        <v>0.06</v>
      </c>
      <c r="F135" s="852">
        <f>F133*E135</f>
        <v>0.06</v>
      </c>
      <c r="G135" s="868"/>
      <c r="H135" s="806">
        <f t="shared" si="7"/>
        <v>0</v>
      </c>
      <c r="I135" s="852"/>
      <c r="J135" s="729">
        <f>F135*I135</f>
        <v>0</v>
      </c>
      <c r="K135" s="852"/>
      <c r="L135" s="806">
        <f>F135*K135</f>
        <v>0</v>
      </c>
      <c r="M135" s="729">
        <f>H135+J135+L135</f>
        <v>0</v>
      </c>
    </row>
    <row r="136" spans="1:13" ht="30">
      <c r="A136" s="838"/>
      <c r="B136" s="836"/>
      <c r="C136" s="52" t="s">
        <v>527</v>
      </c>
      <c r="D136" s="53" t="s">
        <v>470</v>
      </c>
      <c r="E136" s="54"/>
      <c r="F136" s="817">
        <v>1</v>
      </c>
      <c r="G136" s="763"/>
      <c r="H136" s="763">
        <f t="shared" si="7"/>
        <v>0</v>
      </c>
      <c r="I136" s="763"/>
      <c r="J136" s="759">
        <f t="shared" si="6"/>
        <v>0</v>
      </c>
      <c r="K136" s="763"/>
      <c r="L136" s="759">
        <f t="shared" si="4"/>
        <v>0</v>
      </c>
      <c r="M136" s="759">
        <f t="shared" si="8"/>
        <v>0</v>
      </c>
    </row>
    <row r="137" spans="1:13" s="824" customFormat="1" ht="13.5">
      <c r="A137" s="828"/>
      <c r="B137" s="696"/>
      <c r="C137" s="848" t="s">
        <v>437</v>
      </c>
      <c r="D137" s="829" t="s">
        <v>45</v>
      </c>
      <c r="E137" s="830">
        <v>2</v>
      </c>
      <c r="F137" s="831">
        <f>F133*E137</f>
        <v>2</v>
      </c>
      <c r="G137" s="806"/>
      <c r="H137" s="729">
        <f>F137*G137</f>
        <v>0</v>
      </c>
      <c r="I137" s="806"/>
      <c r="J137" s="729">
        <f>F137*I137</f>
        <v>0</v>
      </c>
      <c r="K137" s="806"/>
      <c r="L137" s="729">
        <f>F137*K137</f>
        <v>0</v>
      </c>
      <c r="M137" s="729">
        <f>H137+J137+L137</f>
        <v>0</v>
      </c>
    </row>
    <row r="138" spans="1:13" ht="30">
      <c r="A138" s="838"/>
      <c r="B138" s="836"/>
      <c r="C138" s="41" t="s">
        <v>528</v>
      </c>
      <c r="D138" s="61" t="s">
        <v>112</v>
      </c>
      <c r="E138" s="61"/>
      <c r="F138" s="817">
        <v>1</v>
      </c>
      <c r="G138" s="763"/>
      <c r="H138" s="763">
        <f t="shared" si="7"/>
        <v>0</v>
      </c>
      <c r="I138" s="763"/>
      <c r="J138" s="759">
        <f t="shared" si="6"/>
        <v>0</v>
      </c>
      <c r="K138" s="763"/>
      <c r="L138" s="759">
        <f t="shared" si="4"/>
        <v>0</v>
      </c>
      <c r="M138" s="759">
        <f t="shared" si="8"/>
        <v>0</v>
      </c>
    </row>
    <row r="139" spans="1:13" s="853" customFormat="1" ht="27">
      <c r="A139" s="849">
        <v>1</v>
      </c>
      <c r="B139" s="862" t="s">
        <v>907</v>
      </c>
      <c r="C139" s="848" t="s">
        <v>914</v>
      </c>
      <c r="D139" s="634" t="s">
        <v>614</v>
      </c>
      <c r="E139" s="849"/>
      <c r="F139" s="851">
        <f>F141+F142+F143+F144+F145+F146+F147+F148+F149</f>
        <v>28</v>
      </c>
      <c r="G139" s="852"/>
      <c r="H139" s="852"/>
      <c r="I139" s="852"/>
      <c r="J139" s="852"/>
      <c r="K139" s="852"/>
      <c r="L139" s="852"/>
      <c r="M139" s="729">
        <f>H139+J139+L139</f>
        <v>0</v>
      </c>
    </row>
    <row r="140" spans="1:13" s="853" customFormat="1" ht="14.25">
      <c r="A140" s="854"/>
      <c r="B140" s="855"/>
      <c r="C140" s="856" t="s">
        <v>909</v>
      </c>
      <c r="D140" s="634" t="s">
        <v>31</v>
      </c>
      <c r="E140" s="857">
        <v>1</v>
      </c>
      <c r="F140" s="858">
        <f>F139*E140</f>
        <v>28</v>
      </c>
      <c r="G140" s="852"/>
      <c r="H140" s="852">
        <f>F140*G140</f>
        <v>0</v>
      </c>
      <c r="I140" s="852"/>
      <c r="J140" s="852">
        <f>F140*I140</f>
        <v>0</v>
      </c>
      <c r="K140" s="852"/>
      <c r="L140" s="852">
        <f>F140*K140</f>
        <v>0</v>
      </c>
      <c r="M140" s="729">
        <f>H140+J140+L140</f>
        <v>0</v>
      </c>
    </row>
    <row r="141" spans="1:13" ht="30">
      <c r="A141" s="838"/>
      <c r="B141" s="836"/>
      <c r="C141" s="52" t="s">
        <v>529</v>
      </c>
      <c r="D141" s="53" t="s">
        <v>112</v>
      </c>
      <c r="E141" s="54"/>
      <c r="F141" s="817">
        <v>1</v>
      </c>
      <c r="G141" s="763"/>
      <c r="H141" s="763">
        <f t="shared" si="7"/>
        <v>0</v>
      </c>
      <c r="I141" s="763"/>
      <c r="J141" s="759">
        <f t="shared" si="6"/>
        <v>0</v>
      </c>
      <c r="K141" s="763"/>
      <c r="L141" s="759">
        <f t="shared" si="4"/>
        <v>0</v>
      </c>
      <c r="M141" s="759">
        <f t="shared" si="8"/>
        <v>0</v>
      </c>
    </row>
    <row r="142" spans="1:13" ht="30">
      <c r="A142" s="838"/>
      <c r="B142" s="836"/>
      <c r="C142" s="52" t="s">
        <v>522</v>
      </c>
      <c r="D142" s="53" t="s">
        <v>112</v>
      </c>
      <c r="E142" s="54"/>
      <c r="F142" s="817">
        <v>1</v>
      </c>
      <c r="G142" s="763"/>
      <c r="H142" s="763">
        <f t="shared" si="7"/>
        <v>0</v>
      </c>
      <c r="I142" s="763"/>
      <c r="J142" s="759">
        <f t="shared" si="6"/>
        <v>0</v>
      </c>
      <c r="K142" s="763"/>
      <c r="L142" s="759">
        <f t="shared" si="4"/>
        <v>0</v>
      </c>
      <c r="M142" s="759">
        <f t="shared" si="8"/>
        <v>0</v>
      </c>
    </row>
    <row r="143" spans="1:13" ht="30">
      <c r="A143" s="838"/>
      <c r="B143" s="836"/>
      <c r="C143" s="52" t="s">
        <v>530</v>
      </c>
      <c r="D143" s="53" t="s">
        <v>112</v>
      </c>
      <c r="E143" s="54"/>
      <c r="F143" s="817">
        <v>9</v>
      </c>
      <c r="G143" s="763"/>
      <c r="H143" s="763">
        <f t="shared" si="7"/>
        <v>0</v>
      </c>
      <c r="I143" s="763"/>
      <c r="J143" s="759">
        <f t="shared" si="6"/>
        <v>0</v>
      </c>
      <c r="K143" s="763"/>
      <c r="L143" s="759">
        <f t="shared" si="4"/>
        <v>0</v>
      </c>
      <c r="M143" s="759">
        <f t="shared" si="8"/>
        <v>0</v>
      </c>
    </row>
    <row r="144" spans="1:13" ht="45">
      <c r="A144" s="838"/>
      <c r="B144" s="836"/>
      <c r="C144" s="52" t="s">
        <v>524</v>
      </c>
      <c r="D144" s="53" t="s">
        <v>112</v>
      </c>
      <c r="E144" s="54"/>
      <c r="F144" s="817">
        <v>12</v>
      </c>
      <c r="G144" s="763"/>
      <c r="H144" s="763">
        <f t="shared" si="7"/>
        <v>0</v>
      </c>
      <c r="I144" s="763"/>
      <c r="J144" s="759">
        <f t="shared" si="6"/>
        <v>0</v>
      </c>
      <c r="K144" s="763"/>
      <c r="L144" s="759">
        <f aca="true" t="shared" si="9" ref="L144:L170">K144*F144</f>
        <v>0</v>
      </c>
      <c r="M144" s="759">
        <f t="shared" si="8"/>
        <v>0</v>
      </c>
    </row>
    <row r="145" spans="1:13" ht="30">
      <c r="A145" s="838"/>
      <c r="B145" s="836"/>
      <c r="C145" s="52" t="s">
        <v>531</v>
      </c>
      <c r="D145" s="53" t="s">
        <v>112</v>
      </c>
      <c r="E145" s="54"/>
      <c r="F145" s="817">
        <v>1</v>
      </c>
      <c r="G145" s="763"/>
      <c r="H145" s="763">
        <f t="shared" si="7"/>
        <v>0</v>
      </c>
      <c r="I145" s="763"/>
      <c r="J145" s="759">
        <f t="shared" si="6"/>
        <v>0</v>
      </c>
      <c r="K145" s="763"/>
      <c r="L145" s="759">
        <f t="shared" si="9"/>
        <v>0</v>
      </c>
      <c r="M145" s="759">
        <f t="shared" si="8"/>
        <v>0</v>
      </c>
    </row>
    <row r="146" spans="1:13" ht="30">
      <c r="A146" s="838"/>
      <c r="B146" s="836"/>
      <c r="C146" s="52" t="s">
        <v>532</v>
      </c>
      <c r="D146" s="53" t="s">
        <v>112</v>
      </c>
      <c r="E146" s="54"/>
      <c r="F146" s="817">
        <v>1</v>
      </c>
      <c r="G146" s="763"/>
      <c r="H146" s="763">
        <f t="shared" si="7"/>
        <v>0</v>
      </c>
      <c r="I146" s="763"/>
      <c r="J146" s="759">
        <f t="shared" si="6"/>
        <v>0</v>
      </c>
      <c r="K146" s="763"/>
      <c r="L146" s="759">
        <f t="shared" si="9"/>
        <v>0</v>
      </c>
      <c r="M146" s="759">
        <f t="shared" si="8"/>
        <v>0</v>
      </c>
    </row>
    <row r="147" spans="1:13" ht="60">
      <c r="A147" s="838"/>
      <c r="B147" s="836"/>
      <c r="C147" s="52" t="s">
        <v>533</v>
      </c>
      <c r="D147" s="53" t="s">
        <v>470</v>
      </c>
      <c r="E147" s="54"/>
      <c r="F147" s="817">
        <v>1</v>
      </c>
      <c r="G147" s="763"/>
      <c r="H147" s="763">
        <f t="shared" si="7"/>
        <v>0</v>
      </c>
      <c r="I147" s="763"/>
      <c r="J147" s="759">
        <f t="shared" si="6"/>
        <v>0</v>
      </c>
      <c r="K147" s="763"/>
      <c r="L147" s="759">
        <f t="shared" si="9"/>
        <v>0</v>
      </c>
      <c r="M147" s="759">
        <f t="shared" si="8"/>
        <v>0</v>
      </c>
    </row>
    <row r="148" spans="1:13" ht="30">
      <c r="A148" s="838"/>
      <c r="B148" s="836"/>
      <c r="C148" s="52" t="s">
        <v>534</v>
      </c>
      <c r="D148" s="53" t="s">
        <v>470</v>
      </c>
      <c r="E148" s="54"/>
      <c r="F148" s="817">
        <v>1</v>
      </c>
      <c r="G148" s="763"/>
      <c r="H148" s="763">
        <f t="shared" si="7"/>
        <v>0</v>
      </c>
      <c r="I148" s="763"/>
      <c r="J148" s="759">
        <f t="shared" si="6"/>
        <v>0</v>
      </c>
      <c r="K148" s="763"/>
      <c r="L148" s="759">
        <f t="shared" si="9"/>
        <v>0</v>
      </c>
      <c r="M148" s="759">
        <f t="shared" si="8"/>
        <v>0</v>
      </c>
    </row>
    <row r="149" spans="1:13" ht="45">
      <c r="A149" s="838"/>
      <c r="B149" s="836"/>
      <c r="C149" s="52" t="s">
        <v>535</v>
      </c>
      <c r="D149" s="53" t="s">
        <v>470</v>
      </c>
      <c r="E149" s="54"/>
      <c r="F149" s="817">
        <v>1</v>
      </c>
      <c r="G149" s="763"/>
      <c r="H149" s="763">
        <f t="shared" si="7"/>
        <v>0</v>
      </c>
      <c r="I149" s="763"/>
      <c r="J149" s="759">
        <f t="shared" si="6"/>
        <v>0</v>
      </c>
      <c r="K149" s="763"/>
      <c r="L149" s="759">
        <f t="shared" si="9"/>
        <v>0</v>
      </c>
      <c r="M149" s="759">
        <f t="shared" si="8"/>
        <v>0</v>
      </c>
    </row>
    <row r="150" spans="1:13" ht="45">
      <c r="A150" s="838"/>
      <c r="B150" s="836"/>
      <c r="C150" s="52" t="s">
        <v>525</v>
      </c>
      <c r="D150" s="53" t="s">
        <v>526</v>
      </c>
      <c r="E150" s="54"/>
      <c r="F150" s="817">
        <v>13</v>
      </c>
      <c r="G150" s="763"/>
      <c r="H150" s="763">
        <f t="shared" si="7"/>
        <v>0</v>
      </c>
      <c r="I150" s="763"/>
      <c r="J150" s="759">
        <f aca="true" t="shared" si="10" ref="J150:J224">I150*F150</f>
        <v>0</v>
      </c>
      <c r="K150" s="763"/>
      <c r="L150" s="759">
        <f t="shared" si="9"/>
        <v>0</v>
      </c>
      <c r="M150" s="759">
        <f t="shared" si="8"/>
        <v>0</v>
      </c>
    </row>
    <row r="151" spans="1:13" s="824" customFormat="1" ht="14.25" customHeight="1">
      <c r="A151" s="828"/>
      <c r="B151" s="696"/>
      <c r="C151" s="848" t="s">
        <v>437</v>
      </c>
      <c r="D151" s="829" t="s">
        <v>45</v>
      </c>
      <c r="E151" s="830">
        <v>1.01</v>
      </c>
      <c r="F151" s="831">
        <f>E151*F139</f>
        <v>28.28</v>
      </c>
      <c r="G151" s="806"/>
      <c r="H151" s="729">
        <f>F151*G151</f>
        <v>0</v>
      </c>
      <c r="I151" s="806"/>
      <c r="J151" s="729">
        <f>F151*I151</f>
        <v>0</v>
      </c>
      <c r="K151" s="806"/>
      <c r="L151" s="729">
        <f>F151*K151</f>
        <v>0</v>
      </c>
      <c r="M151" s="729">
        <f>H151+J151+L151</f>
        <v>0</v>
      </c>
    </row>
    <row r="152" spans="1:13" s="865" customFormat="1" ht="30">
      <c r="A152" s="861">
        <v>2</v>
      </c>
      <c r="B152" s="862" t="s">
        <v>912</v>
      </c>
      <c r="C152" s="52" t="s">
        <v>536</v>
      </c>
      <c r="D152" s="863" t="s">
        <v>112</v>
      </c>
      <c r="E152" s="863"/>
      <c r="F152" s="864">
        <v>1</v>
      </c>
      <c r="G152" s="806"/>
      <c r="H152" s="806">
        <f>F152*G152</f>
        <v>0</v>
      </c>
      <c r="I152" s="852"/>
      <c r="J152" s="729">
        <f>F152*I152</f>
        <v>0</v>
      </c>
      <c r="K152" s="852"/>
      <c r="L152" s="806">
        <f>F152*K152</f>
        <v>0</v>
      </c>
      <c r="M152" s="729">
        <f>H152+J152+L152</f>
        <v>0</v>
      </c>
    </row>
    <row r="153" spans="1:13" s="865" customFormat="1" ht="15">
      <c r="A153" s="861"/>
      <c r="B153" s="862"/>
      <c r="C153" s="866" t="s">
        <v>909</v>
      </c>
      <c r="D153" s="634" t="s">
        <v>31</v>
      </c>
      <c r="E153" s="867">
        <v>6.02</v>
      </c>
      <c r="F153" s="852">
        <f>F152*E153</f>
        <v>6.02</v>
      </c>
      <c r="G153" s="868"/>
      <c r="H153" s="806">
        <f>F153*G153</f>
        <v>0</v>
      </c>
      <c r="I153" s="852"/>
      <c r="J153" s="729">
        <f>F153*I153</f>
        <v>0</v>
      </c>
      <c r="K153" s="852"/>
      <c r="L153" s="806">
        <f>F153*K153</f>
        <v>0</v>
      </c>
      <c r="M153" s="729">
        <f>H153+J153+L153</f>
        <v>0</v>
      </c>
    </row>
    <row r="154" spans="1:13" s="865" customFormat="1" ht="15">
      <c r="A154" s="861"/>
      <c r="B154" s="862"/>
      <c r="C154" s="869" t="s">
        <v>913</v>
      </c>
      <c r="D154" s="634" t="s">
        <v>32</v>
      </c>
      <c r="E154" s="867">
        <v>0.06</v>
      </c>
      <c r="F154" s="852">
        <f>F152*E154</f>
        <v>0.06</v>
      </c>
      <c r="G154" s="868"/>
      <c r="H154" s="806">
        <f>F154*G154</f>
        <v>0</v>
      </c>
      <c r="I154" s="852"/>
      <c r="J154" s="729">
        <f>F154*I154</f>
        <v>0</v>
      </c>
      <c r="K154" s="852"/>
      <c r="L154" s="806">
        <f>F154*K154</f>
        <v>0</v>
      </c>
      <c r="M154" s="729">
        <f>H154+J154+L154</f>
        <v>0</v>
      </c>
    </row>
    <row r="155" spans="1:13" ht="30">
      <c r="A155" s="838"/>
      <c r="B155" s="836"/>
      <c r="C155" s="52" t="s">
        <v>536</v>
      </c>
      <c r="D155" s="53" t="s">
        <v>470</v>
      </c>
      <c r="E155" s="54"/>
      <c r="F155" s="817">
        <v>1</v>
      </c>
      <c r="G155" s="763"/>
      <c r="H155" s="763">
        <f t="shared" si="7"/>
        <v>0</v>
      </c>
      <c r="I155" s="763"/>
      <c r="J155" s="759">
        <f t="shared" si="10"/>
        <v>0</v>
      </c>
      <c r="K155" s="763"/>
      <c r="L155" s="759">
        <f t="shared" si="9"/>
        <v>0</v>
      </c>
      <c r="M155" s="759">
        <f t="shared" si="8"/>
        <v>0</v>
      </c>
    </row>
    <row r="156" spans="1:13" s="824" customFormat="1" ht="13.5">
      <c r="A156" s="828"/>
      <c r="B156" s="696"/>
      <c r="C156" s="848" t="s">
        <v>437</v>
      </c>
      <c r="D156" s="829" t="s">
        <v>45</v>
      </c>
      <c r="E156" s="830">
        <v>2</v>
      </c>
      <c r="F156" s="831">
        <f>F152*E156</f>
        <v>2</v>
      </c>
      <c r="G156" s="806"/>
      <c r="H156" s="729">
        <f>F156*G156</f>
        <v>0</v>
      </c>
      <c r="I156" s="806"/>
      <c r="J156" s="729">
        <f>F156*I156</f>
        <v>0</v>
      </c>
      <c r="K156" s="806"/>
      <c r="L156" s="729">
        <f>F156*K156</f>
        <v>0</v>
      </c>
      <c r="M156" s="729">
        <f>H156+J156+L156</f>
        <v>0</v>
      </c>
    </row>
    <row r="157" spans="1:13" ht="30">
      <c r="A157" s="838"/>
      <c r="B157" s="836"/>
      <c r="C157" s="41" t="s">
        <v>537</v>
      </c>
      <c r="D157" s="61" t="s">
        <v>112</v>
      </c>
      <c r="E157" s="61"/>
      <c r="F157" s="817">
        <v>1</v>
      </c>
      <c r="G157" s="763"/>
      <c r="H157" s="763">
        <f aca="true" t="shared" si="11" ref="H157:H224">F157*G157</f>
        <v>0</v>
      </c>
      <c r="I157" s="763"/>
      <c r="J157" s="759">
        <f t="shared" si="10"/>
        <v>0</v>
      </c>
      <c r="K157" s="763"/>
      <c r="L157" s="759">
        <f t="shared" si="9"/>
        <v>0</v>
      </c>
      <c r="M157" s="759">
        <f t="shared" si="8"/>
        <v>0</v>
      </c>
    </row>
    <row r="158" spans="1:13" s="853" customFormat="1" ht="27">
      <c r="A158" s="849">
        <v>1</v>
      </c>
      <c r="B158" s="862" t="s">
        <v>907</v>
      </c>
      <c r="C158" s="848" t="s">
        <v>914</v>
      </c>
      <c r="D158" s="634" t="s">
        <v>614</v>
      </c>
      <c r="E158" s="849"/>
      <c r="F158" s="851">
        <f>F160+F161+F162+F163+F164</f>
        <v>15</v>
      </c>
      <c r="G158" s="852"/>
      <c r="H158" s="852"/>
      <c r="I158" s="852"/>
      <c r="J158" s="852"/>
      <c r="K158" s="852"/>
      <c r="L158" s="852"/>
      <c r="M158" s="729">
        <f>H158+J158+L158</f>
        <v>0</v>
      </c>
    </row>
    <row r="159" spans="1:13" s="853" customFormat="1" ht="14.25">
      <c r="A159" s="854"/>
      <c r="B159" s="855"/>
      <c r="C159" s="856" t="s">
        <v>909</v>
      </c>
      <c r="D159" s="634" t="s">
        <v>31</v>
      </c>
      <c r="E159" s="857">
        <v>1</v>
      </c>
      <c r="F159" s="858">
        <f>F158*E159</f>
        <v>15</v>
      </c>
      <c r="G159" s="852"/>
      <c r="H159" s="852">
        <f>F159*G159</f>
        <v>0</v>
      </c>
      <c r="I159" s="852"/>
      <c r="J159" s="852">
        <f>F159*I159</f>
        <v>0</v>
      </c>
      <c r="K159" s="852"/>
      <c r="L159" s="852">
        <f>F159*K159</f>
        <v>0</v>
      </c>
      <c r="M159" s="729">
        <f>H159+J159+L159</f>
        <v>0</v>
      </c>
    </row>
    <row r="160" spans="1:13" ht="30">
      <c r="A160" s="838"/>
      <c r="B160" s="836"/>
      <c r="C160" s="52" t="s">
        <v>529</v>
      </c>
      <c r="D160" s="53" t="s">
        <v>112</v>
      </c>
      <c r="E160" s="54"/>
      <c r="F160" s="817">
        <v>1</v>
      </c>
      <c r="G160" s="763"/>
      <c r="H160" s="763">
        <f t="shared" si="11"/>
        <v>0</v>
      </c>
      <c r="I160" s="763"/>
      <c r="J160" s="759">
        <f t="shared" si="10"/>
        <v>0</v>
      </c>
      <c r="K160" s="763"/>
      <c r="L160" s="759">
        <f t="shared" si="9"/>
        <v>0</v>
      </c>
      <c r="M160" s="759">
        <f t="shared" si="8"/>
        <v>0</v>
      </c>
    </row>
    <row r="161" spans="1:13" ht="30">
      <c r="A161" s="838"/>
      <c r="B161" s="836"/>
      <c r="C161" s="52" t="s">
        <v>521</v>
      </c>
      <c r="D161" s="53" t="s">
        <v>112</v>
      </c>
      <c r="E161" s="54"/>
      <c r="F161" s="817">
        <v>1</v>
      </c>
      <c r="G161" s="763"/>
      <c r="H161" s="763">
        <f t="shared" si="11"/>
        <v>0</v>
      </c>
      <c r="I161" s="763"/>
      <c r="J161" s="759">
        <f t="shared" si="10"/>
        <v>0</v>
      </c>
      <c r="K161" s="763"/>
      <c r="L161" s="759">
        <f t="shared" si="9"/>
        <v>0</v>
      </c>
      <c r="M161" s="759">
        <f t="shared" si="8"/>
        <v>0</v>
      </c>
    </row>
    <row r="162" spans="1:13" ht="30">
      <c r="A162" s="838"/>
      <c r="B162" s="836"/>
      <c r="C162" s="52" t="s">
        <v>522</v>
      </c>
      <c r="D162" s="53" t="s">
        <v>112</v>
      </c>
      <c r="E162" s="54"/>
      <c r="F162" s="817">
        <v>5</v>
      </c>
      <c r="G162" s="763"/>
      <c r="H162" s="763">
        <f t="shared" si="11"/>
        <v>0</v>
      </c>
      <c r="I162" s="763"/>
      <c r="J162" s="759">
        <f t="shared" si="10"/>
        <v>0</v>
      </c>
      <c r="K162" s="763"/>
      <c r="L162" s="759">
        <f t="shared" si="9"/>
        <v>0</v>
      </c>
      <c r="M162" s="759">
        <f t="shared" si="8"/>
        <v>0</v>
      </c>
    </row>
    <row r="163" spans="1:13" ht="30">
      <c r="A163" s="838"/>
      <c r="B163" s="836"/>
      <c r="C163" s="52" t="s">
        <v>523</v>
      </c>
      <c r="D163" s="53" t="s">
        <v>112</v>
      </c>
      <c r="E163" s="54"/>
      <c r="F163" s="817">
        <v>4</v>
      </c>
      <c r="G163" s="763"/>
      <c r="H163" s="763">
        <f t="shared" si="11"/>
        <v>0</v>
      </c>
      <c r="I163" s="763"/>
      <c r="J163" s="759">
        <f t="shared" si="10"/>
        <v>0</v>
      </c>
      <c r="K163" s="763"/>
      <c r="L163" s="759">
        <f t="shared" si="9"/>
        <v>0</v>
      </c>
      <c r="M163" s="759">
        <f t="shared" si="8"/>
        <v>0</v>
      </c>
    </row>
    <row r="164" spans="1:13" ht="45">
      <c r="A164" s="838"/>
      <c r="B164" s="836"/>
      <c r="C164" s="52" t="s">
        <v>524</v>
      </c>
      <c r="D164" s="53" t="s">
        <v>112</v>
      </c>
      <c r="E164" s="54"/>
      <c r="F164" s="817">
        <v>4</v>
      </c>
      <c r="G164" s="763"/>
      <c r="H164" s="763">
        <f t="shared" si="11"/>
        <v>0</v>
      </c>
      <c r="I164" s="763"/>
      <c r="J164" s="759">
        <f t="shared" si="10"/>
        <v>0</v>
      </c>
      <c r="K164" s="763"/>
      <c r="L164" s="759">
        <f t="shared" si="9"/>
        <v>0</v>
      </c>
      <c r="M164" s="759">
        <f t="shared" si="8"/>
        <v>0</v>
      </c>
    </row>
    <row r="165" spans="1:13" ht="45">
      <c r="A165" s="838"/>
      <c r="B165" s="836"/>
      <c r="C165" s="52" t="s">
        <v>525</v>
      </c>
      <c r="D165" s="53" t="s">
        <v>526</v>
      </c>
      <c r="E165" s="54"/>
      <c r="F165" s="817">
        <v>15</v>
      </c>
      <c r="G165" s="763"/>
      <c r="H165" s="763">
        <f t="shared" si="11"/>
        <v>0</v>
      </c>
      <c r="I165" s="763"/>
      <c r="J165" s="759">
        <f t="shared" si="10"/>
        <v>0</v>
      </c>
      <c r="K165" s="763"/>
      <c r="L165" s="759">
        <f t="shared" si="9"/>
        <v>0</v>
      </c>
      <c r="M165" s="759">
        <f t="shared" si="8"/>
        <v>0</v>
      </c>
    </row>
    <row r="166" spans="1:13" s="824" customFormat="1" ht="14.25" customHeight="1">
      <c r="A166" s="828"/>
      <c r="B166" s="696"/>
      <c r="C166" s="848" t="s">
        <v>437</v>
      </c>
      <c r="D166" s="829" t="s">
        <v>45</v>
      </c>
      <c r="E166" s="830">
        <v>1.01</v>
      </c>
      <c r="F166" s="831">
        <f>F158*E166</f>
        <v>15.15</v>
      </c>
      <c r="G166" s="806"/>
      <c r="H166" s="729">
        <f t="shared" si="11"/>
        <v>0</v>
      </c>
      <c r="I166" s="806"/>
      <c r="J166" s="729">
        <f>F166*I166</f>
        <v>0</v>
      </c>
      <c r="K166" s="806"/>
      <c r="L166" s="729">
        <f>F166*K166</f>
        <v>0</v>
      </c>
      <c r="M166" s="729">
        <f>H166+J166+L166</f>
        <v>0</v>
      </c>
    </row>
    <row r="167" spans="1:13" s="865" customFormat="1" ht="30">
      <c r="A167" s="861">
        <v>2</v>
      </c>
      <c r="B167" s="862" t="s">
        <v>912</v>
      </c>
      <c r="C167" s="52" t="s">
        <v>536</v>
      </c>
      <c r="D167" s="863" t="s">
        <v>112</v>
      </c>
      <c r="E167" s="863"/>
      <c r="F167" s="864">
        <v>1</v>
      </c>
      <c r="G167" s="806"/>
      <c r="H167" s="806">
        <f t="shared" si="11"/>
        <v>0</v>
      </c>
      <c r="I167" s="852"/>
      <c r="J167" s="729">
        <f>F167*I167</f>
        <v>0</v>
      </c>
      <c r="K167" s="852"/>
      <c r="L167" s="806">
        <f>F167*K167</f>
        <v>0</v>
      </c>
      <c r="M167" s="729">
        <f>H167+J167+L167</f>
        <v>0</v>
      </c>
    </row>
    <row r="168" spans="1:13" s="865" customFormat="1" ht="15">
      <c r="A168" s="861"/>
      <c r="B168" s="862"/>
      <c r="C168" s="866" t="s">
        <v>909</v>
      </c>
      <c r="D168" s="634" t="s">
        <v>31</v>
      </c>
      <c r="E168" s="867">
        <v>6.02</v>
      </c>
      <c r="F168" s="852">
        <f>F167*E168</f>
        <v>6.02</v>
      </c>
      <c r="G168" s="868"/>
      <c r="H168" s="806">
        <f t="shared" si="11"/>
        <v>0</v>
      </c>
      <c r="I168" s="852"/>
      <c r="J168" s="729">
        <f>F168*I168</f>
        <v>0</v>
      </c>
      <c r="K168" s="852"/>
      <c r="L168" s="806">
        <f>F168*K168</f>
        <v>0</v>
      </c>
      <c r="M168" s="729">
        <f>H168+J168+L168</f>
        <v>0</v>
      </c>
    </row>
    <row r="169" spans="1:13" s="865" customFormat="1" ht="15">
      <c r="A169" s="861"/>
      <c r="B169" s="862"/>
      <c r="C169" s="869" t="s">
        <v>913</v>
      </c>
      <c r="D169" s="634" t="s">
        <v>32</v>
      </c>
      <c r="E169" s="867">
        <v>0.06</v>
      </c>
      <c r="F169" s="852">
        <f>F167*E169</f>
        <v>0.06</v>
      </c>
      <c r="G169" s="868"/>
      <c r="H169" s="806">
        <f t="shared" si="11"/>
        <v>0</v>
      </c>
      <c r="I169" s="852"/>
      <c r="J169" s="729">
        <f>F169*I169</f>
        <v>0</v>
      </c>
      <c r="K169" s="852"/>
      <c r="L169" s="806">
        <f>F169*K169</f>
        <v>0</v>
      </c>
      <c r="M169" s="729">
        <f>H169+J169+L169</f>
        <v>0</v>
      </c>
    </row>
    <row r="170" spans="1:13" ht="30">
      <c r="A170" s="838"/>
      <c r="B170" s="836"/>
      <c r="C170" s="52" t="s">
        <v>536</v>
      </c>
      <c r="D170" s="53" t="s">
        <v>470</v>
      </c>
      <c r="E170" s="54"/>
      <c r="F170" s="817">
        <v>1</v>
      </c>
      <c r="G170" s="763"/>
      <c r="H170" s="763">
        <f t="shared" si="11"/>
        <v>0</v>
      </c>
      <c r="I170" s="763"/>
      <c r="J170" s="759">
        <f t="shared" si="10"/>
        <v>0</v>
      </c>
      <c r="K170" s="763"/>
      <c r="L170" s="759">
        <f t="shared" si="9"/>
        <v>0</v>
      </c>
      <c r="M170" s="759">
        <f t="shared" si="8"/>
        <v>0</v>
      </c>
    </row>
    <row r="171" spans="1:13" s="824" customFormat="1" ht="13.5">
      <c r="A171" s="828"/>
      <c r="B171" s="696"/>
      <c r="C171" s="848" t="s">
        <v>437</v>
      </c>
      <c r="D171" s="829" t="s">
        <v>45</v>
      </c>
      <c r="E171" s="830">
        <v>2</v>
      </c>
      <c r="F171" s="831">
        <f>F167*E171</f>
        <v>2</v>
      </c>
      <c r="G171" s="806"/>
      <c r="H171" s="729">
        <f t="shared" si="11"/>
        <v>0</v>
      </c>
      <c r="I171" s="806"/>
      <c r="J171" s="729">
        <f>F171*I171</f>
        <v>0</v>
      </c>
      <c r="K171" s="806"/>
      <c r="L171" s="729">
        <f>F171*K171</f>
        <v>0</v>
      </c>
      <c r="M171" s="729">
        <f>H171+J171+L171</f>
        <v>0</v>
      </c>
    </row>
    <row r="172" spans="1:13" ht="15.75">
      <c r="A172" s="838"/>
      <c r="B172" s="836"/>
      <c r="C172" s="66" t="s">
        <v>0</v>
      </c>
      <c r="D172" s="67"/>
      <c r="E172" s="54"/>
      <c r="F172" s="817"/>
      <c r="G172" s="763"/>
      <c r="H172" s="764">
        <f>SUM(H10:H171)</f>
        <v>0</v>
      </c>
      <c r="I172" s="764"/>
      <c r="J172" s="764">
        <f>SUM(J10:J171)</f>
        <v>0</v>
      </c>
      <c r="K172" s="764"/>
      <c r="L172" s="764">
        <f>SUM(L10:L171)</f>
        <v>0</v>
      </c>
      <c r="M172" s="764">
        <f t="shared" si="8"/>
        <v>0</v>
      </c>
    </row>
    <row r="173" spans="1:13" ht="31.5">
      <c r="A173" s="838"/>
      <c r="B173" s="836"/>
      <c r="C173" s="51" t="s">
        <v>564</v>
      </c>
      <c r="D173" s="519">
        <v>0</v>
      </c>
      <c r="E173" s="54"/>
      <c r="F173" s="817"/>
      <c r="G173" s="763"/>
      <c r="H173" s="764"/>
      <c r="I173" s="764"/>
      <c r="J173" s="764"/>
      <c r="K173" s="764"/>
      <c r="L173" s="764"/>
      <c r="M173" s="764">
        <f>H172*D173</f>
        <v>0</v>
      </c>
    </row>
    <row r="174" spans="1:13" ht="15.75">
      <c r="A174" s="838"/>
      <c r="B174" s="836"/>
      <c r="C174" s="70" t="s">
        <v>0</v>
      </c>
      <c r="D174" s="70"/>
      <c r="E174" s="54"/>
      <c r="F174" s="817"/>
      <c r="G174" s="763"/>
      <c r="H174" s="764"/>
      <c r="I174" s="764"/>
      <c r="J174" s="764"/>
      <c r="K174" s="764"/>
      <c r="L174" s="764"/>
      <c r="M174" s="764">
        <f>SUM(M172:M173)</f>
        <v>0</v>
      </c>
    </row>
    <row r="175" spans="1:13" ht="15.75">
      <c r="A175" s="838"/>
      <c r="B175" s="836"/>
      <c r="C175" s="51" t="s">
        <v>17</v>
      </c>
      <c r="D175" s="519">
        <v>0</v>
      </c>
      <c r="E175" s="54"/>
      <c r="F175" s="817"/>
      <c r="G175" s="763"/>
      <c r="H175" s="764"/>
      <c r="I175" s="764"/>
      <c r="J175" s="764"/>
      <c r="K175" s="764"/>
      <c r="L175" s="764"/>
      <c r="M175" s="764">
        <f>M174*D175</f>
        <v>0</v>
      </c>
    </row>
    <row r="176" spans="1:13" ht="31.5">
      <c r="A176" s="838"/>
      <c r="B176" s="836"/>
      <c r="C176" s="51" t="s">
        <v>890</v>
      </c>
      <c r="D176" s="70"/>
      <c r="E176" s="54"/>
      <c r="F176" s="817"/>
      <c r="G176" s="763"/>
      <c r="H176" s="764"/>
      <c r="I176" s="764"/>
      <c r="J176" s="764"/>
      <c r="K176" s="764"/>
      <c r="L176" s="764"/>
      <c r="M176" s="764">
        <f>SUM(M174:M175)</f>
        <v>0</v>
      </c>
    </row>
    <row r="177" spans="1:13" ht="15.75">
      <c r="A177" s="838"/>
      <c r="B177" s="836"/>
      <c r="C177" s="70" t="s">
        <v>893</v>
      </c>
      <c r="D177" s="53"/>
      <c r="E177" s="54"/>
      <c r="F177" s="817"/>
      <c r="G177" s="763"/>
      <c r="H177" s="763"/>
      <c r="I177" s="763"/>
      <c r="J177" s="759"/>
      <c r="K177" s="763"/>
      <c r="L177" s="759"/>
      <c r="M177" s="759"/>
    </row>
    <row r="178" spans="1:13" ht="60">
      <c r="A178" s="838"/>
      <c r="B178" s="836"/>
      <c r="C178" s="41" t="s">
        <v>892</v>
      </c>
      <c r="D178" s="57"/>
      <c r="E178" s="57"/>
      <c r="F178" s="814"/>
      <c r="G178" s="763"/>
      <c r="H178" s="763">
        <f t="shared" si="11"/>
        <v>0</v>
      </c>
      <c r="I178" s="763"/>
      <c r="J178" s="759">
        <f t="shared" si="10"/>
        <v>0</v>
      </c>
      <c r="K178" s="763"/>
      <c r="L178" s="759"/>
      <c r="M178" s="759">
        <f t="shared" si="8"/>
        <v>0</v>
      </c>
    </row>
    <row r="179" spans="1:13" s="824" customFormat="1" ht="13.5">
      <c r="A179" s="837">
        <v>1</v>
      </c>
      <c r="B179" s="834" t="s">
        <v>899</v>
      </c>
      <c r="C179" s="822" t="s">
        <v>918</v>
      </c>
      <c r="D179" s="823" t="s">
        <v>896</v>
      </c>
      <c r="E179" s="823"/>
      <c r="F179" s="823">
        <v>500</v>
      </c>
      <c r="G179" s="806"/>
      <c r="H179" s="729">
        <f t="shared" si="11"/>
        <v>0</v>
      </c>
      <c r="I179" s="806"/>
      <c r="J179" s="729">
        <f>F179*I179</f>
        <v>0</v>
      </c>
      <c r="K179" s="729"/>
      <c r="L179" s="729">
        <f>F179*K179</f>
        <v>0</v>
      </c>
      <c r="M179" s="729">
        <f>H179+J179+L179</f>
        <v>0</v>
      </c>
    </row>
    <row r="180" spans="1:13" s="824" customFormat="1" ht="13.5">
      <c r="A180" s="835"/>
      <c r="B180" s="835"/>
      <c r="C180" s="662" t="s">
        <v>738</v>
      </c>
      <c r="D180" s="825" t="s">
        <v>15</v>
      </c>
      <c r="E180" s="662">
        <v>0.27</v>
      </c>
      <c r="F180" s="826">
        <f>F179*E180</f>
        <v>135</v>
      </c>
      <c r="G180" s="827"/>
      <c r="H180" s="729">
        <f>F180*G180</f>
        <v>0</v>
      </c>
      <c r="I180" s="827"/>
      <c r="J180" s="729">
        <f>F180*I180</f>
        <v>0</v>
      </c>
      <c r="K180" s="827"/>
      <c r="L180" s="729">
        <f>F180*K180</f>
        <v>0</v>
      </c>
      <c r="M180" s="729">
        <f>H180+J180+L180</f>
        <v>0</v>
      </c>
    </row>
    <row r="181" spans="1:13" s="824" customFormat="1" ht="13.5">
      <c r="A181" s="835"/>
      <c r="B181" s="835"/>
      <c r="C181" s="662" t="s">
        <v>897</v>
      </c>
      <c r="D181" s="662" t="s">
        <v>45</v>
      </c>
      <c r="E181" s="662">
        <v>0.202</v>
      </c>
      <c r="F181" s="826">
        <f>F179*E181</f>
        <v>101</v>
      </c>
      <c r="G181" s="827"/>
      <c r="H181" s="729">
        <f>F181*G181</f>
        <v>0</v>
      </c>
      <c r="I181" s="827"/>
      <c r="J181" s="729">
        <f>F181*I181</f>
        <v>0</v>
      </c>
      <c r="K181" s="827"/>
      <c r="L181" s="729">
        <f>F181*K181</f>
        <v>0</v>
      </c>
      <c r="M181" s="729">
        <f>H181+J181+L181</f>
        <v>0</v>
      </c>
    </row>
    <row r="182" spans="1:13" ht="30">
      <c r="A182" s="838"/>
      <c r="B182" s="836"/>
      <c r="C182" s="60" t="s">
        <v>538</v>
      </c>
      <c r="D182" s="56" t="s">
        <v>445</v>
      </c>
      <c r="E182" s="54"/>
      <c r="F182" s="817">
        <v>500</v>
      </c>
      <c r="G182" s="763"/>
      <c r="H182" s="763">
        <f t="shared" si="11"/>
        <v>0</v>
      </c>
      <c r="I182" s="763"/>
      <c r="J182" s="759">
        <f t="shared" si="10"/>
        <v>0</v>
      </c>
      <c r="K182" s="763"/>
      <c r="L182" s="759"/>
      <c r="M182" s="759">
        <f t="shared" si="8"/>
        <v>0</v>
      </c>
    </row>
    <row r="183" spans="1:13" s="824" customFormat="1" ht="13.5">
      <c r="A183" s="835"/>
      <c r="B183" s="835"/>
      <c r="C183" s="832" t="s">
        <v>437</v>
      </c>
      <c r="D183" s="825" t="s">
        <v>45</v>
      </c>
      <c r="E183" s="662">
        <v>0.003</v>
      </c>
      <c r="F183" s="826">
        <f>F179*E183</f>
        <v>1.5</v>
      </c>
      <c r="G183" s="827"/>
      <c r="H183" s="729">
        <f>F183*G183</f>
        <v>0</v>
      </c>
      <c r="I183" s="827"/>
      <c r="J183" s="729">
        <f>F183*I183</f>
        <v>0</v>
      </c>
      <c r="K183" s="827"/>
      <c r="L183" s="729">
        <f>F183*K183</f>
        <v>0</v>
      </c>
      <c r="M183" s="729">
        <f>H183+J183+L183</f>
        <v>0</v>
      </c>
    </row>
    <row r="184" spans="1:13" s="824" customFormat="1" ht="13.5">
      <c r="A184" s="629">
        <v>2</v>
      </c>
      <c r="B184" s="834" t="s">
        <v>895</v>
      </c>
      <c r="C184" s="822" t="s">
        <v>916</v>
      </c>
      <c r="D184" s="823" t="s">
        <v>896</v>
      </c>
      <c r="E184" s="696"/>
      <c r="F184" s="823">
        <v>4000</v>
      </c>
      <c r="G184" s="806"/>
      <c r="H184" s="729">
        <f>F184*G184</f>
        <v>0</v>
      </c>
      <c r="I184" s="806"/>
      <c r="J184" s="729">
        <f>F184*I184</f>
        <v>0</v>
      </c>
      <c r="K184" s="806"/>
      <c r="L184" s="729">
        <f>F184*K184</f>
        <v>0</v>
      </c>
      <c r="M184" s="729">
        <f>H184+J184+L184</f>
        <v>0</v>
      </c>
    </row>
    <row r="185" spans="1:13" s="824" customFormat="1" ht="13.5">
      <c r="A185" s="835"/>
      <c r="B185" s="835"/>
      <c r="C185" s="832" t="s">
        <v>738</v>
      </c>
      <c r="D185" s="825" t="s">
        <v>15</v>
      </c>
      <c r="E185" s="662">
        <v>0.41</v>
      </c>
      <c r="F185" s="826">
        <f>F184*E185</f>
        <v>1640</v>
      </c>
      <c r="G185" s="827"/>
      <c r="H185" s="729">
        <f>F185*G185</f>
        <v>0</v>
      </c>
      <c r="I185" s="827"/>
      <c r="J185" s="729">
        <f>F185*I185</f>
        <v>0</v>
      </c>
      <c r="K185" s="827"/>
      <c r="L185" s="729">
        <f>F185*K185</f>
        <v>0</v>
      </c>
      <c r="M185" s="729">
        <f>H185+J185+L185</f>
        <v>0</v>
      </c>
    </row>
    <row r="186" spans="1:13" s="824" customFormat="1" ht="13.5">
      <c r="A186" s="835"/>
      <c r="B186" s="835"/>
      <c r="C186" s="832" t="s">
        <v>897</v>
      </c>
      <c r="D186" s="825" t="s">
        <v>45</v>
      </c>
      <c r="E186" s="662">
        <v>0.262</v>
      </c>
      <c r="F186" s="826">
        <f>F184*E186</f>
        <v>1048</v>
      </c>
      <c r="G186" s="827"/>
      <c r="H186" s="729">
        <f>F186*G186</f>
        <v>0</v>
      </c>
      <c r="I186" s="827"/>
      <c r="J186" s="729">
        <f>F186*I186</f>
        <v>0</v>
      </c>
      <c r="K186" s="827"/>
      <c r="L186" s="729">
        <f>F186*K186</f>
        <v>0</v>
      </c>
      <c r="M186" s="729">
        <f>H186+J186+L186</f>
        <v>0</v>
      </c>
    </row>
    <row r="187" spans="1:13" ht="45">
      <c r="A187" s="838"/>
      <c r="B187" s="836"/>
      <c r="C187" s="52" t="s">
        <v>539</v>
      </c>
      <c r="D187" s="56" t="s">
        <v>445</v>
      </c>
      <c r="E187" s="54"/>
      <c r="F187" s="815">
        <v>4000</v>
      </c>
      <c r="G187" s="763"/>
      <c r="H187" s="763">
        <f t="shared" si="11"/>
        <v>0</v>
      </c>
      <c r="I187" s="763"/>
      <c r="J187" s="759">
        <f t="shared" si="10"/>
        <v>0</v>
      </c>
      <c r="K187" s="763"/>
      <c r="L187" s="759"/>
      <c r="M187" s="759">
        <f t="shared" si="8"/>
        <v>0</v>
      </c>
    </row>
    <row r="188" spans="1:13" s="824" customFormat="1" ht="13.5">
      <c r="A188" s="835"/>
      <c r="B188" s="835"/>
      <c r="C188" s="832" t="s">
        <v>437</v>
      </c>
      <c r="D188" s="825" t="s">
        <v>45</v>
      </c>
      <c r="E188" s="662">
        <v>0.148</v>
      </c>
      <c r="F188" s="826">
        <f>E188*F184</f>
        <v>592</v>
      </c>
      <c r="G188" s="827"/>
      <c r="H188" s="729">
        <f t="shared" si="11"/>
        <v>0</v>
      </c>
      <c r="I188" s="827"/>
      <c r="J188" s="729">
        <f>F188*I188</f>
        <v>0</v>
      </c>
      <c r="K188" s="827"/>
      <c r="L188" s="729">
        <f>F188*K188</f>
        <v>0</v>
      </c>
      <c r="M188" s="729">
        <f>H188+J188+L188</f>
        <v>0</v>
      </c>
    </row>
    <row r="189" spans="1:13" s="847" customFormat="1" ht="31.5">
      <c r="A189" s="844">
        <v>3</v>
      </c>
      <c r="B189" s="843" t="s">
        <v>905</v>
      </c>
      <c r="C189" s="623" t="s">
        <v>917</v>
      </c>
      <c r="D189" s="845" t="s">
        <v>614</v>
      </c>
      <c r="E189" s="845"/>
      <c r="F189" s="846">
        <v>34</v>
      </c>
      <c r="G189" s="729"/>
      <c r="H189" s="729">
        <f t="shared" si="11"/>
        <v>0</v>
      </c>
      <c r="I189" s="729"/>
      <c r="J189" s="729">
        <f>F189*I189</f>
        <v>0</v>
      </c>
      <c r="K189" s="729"/>
      <c r="L189" s="729">
        <f>F189*K189</f>
        <v>0</v>
      </c>
      <c r="M189" s="729">
        <f>H189+J189+L189</f>
        <v>0</v>
      </c>
    </row>
    <row r="190" spans="1:13" s="842" customFormat="1" ht="15">
      <c r="A190" s="662"/>
      <c r="B190" s="662"/>
      <c r="C190" s="832" t="s">
        <v>738</v>
      </c>
      <c r="D190" s="825" t="s">
        <v>15</v>
      </c>
      <c r="E190" s="662">
        <v>0.22</v>
      </c>
      <c r="F190" s="826">
        <f>F189*E190</f>
        <v>7.48</v>
      </c>
      <c r="G190" s="827"/>
      <c r="H190" s="729">
        <f t="shared" si="11"/>
        <v>0</v>
      </c>
      <c r="I190" s="827"/>
      <c r="J190" s="729">
        <f>F190*I190</f>
        <v>0</v>
      </c>
      <c r="K190" s="827"/>
      <c r="L190" s="729">
        <f>F190*K190</f>
        <v>0</v>
      </c>
      <c r="M190" s="729">
        <f>H190+J190+L190</f>
        <v>0</v>
      </c>
    </row>
    <row r="191" spans="1:13" s="842" customFormat="1" ht="15">
      <c r="A191" s="662"/>
      <c r="B191" s="662"/>
      <c r="C191" s="832" t="s">
        <v>897</v>
      </c>
      <c r="D191" s="662" t="s">
        <v>45</v>
      </c>
      <c r="E191" s="662">
        <v>0.0002</v>
      </c>
      <c r="F191" s="826">
        <f>F189*E191</f>
        <v>0.0068000000000000005</v>
      </c>
      <c r="G191" s="827"/>
      <c r="H191" s="729">
        <f t="shared" si="11"/>
        <v>0</v>
      </c>
      <c r="I191" s="827"/>
      <c r="J191" s="729">
        <f>F191*I191</f>
        <v>0</v>
      </c>
      <c r="K191" s="827"/>
      <c r="L191" s="729">
        <f>F191*K191</f>
        <v>0</v>
      </c>
      <c r="M191" s="729">
        <f>H191+J191+L191</f>
        <v>0</v>
      </c>
    </row>
    <row r="192" spans="1:13" ht="30">
      <c r="A192" s="838"/>
      <c r="B192" s="836"/>
      <c r="C192" s="52" t="s">
        <v>540</v>
      </c>
      <c r="D192" s="56" t="s">
        <v>470</v>
      </c>
      <c r="E192" s="54"/>
      <c r="F192" s="817">
        <v>10</v>
      </c>
      <c r="G192" s="763"/>
      <c r="H192" s="763">
        <f t="shared" si="11"/>
        <v>0</v>
      </c>
      <c r="I192" s="763"/>
      <c r="J192" s="759">
        <f t="shared" si="10"/>
        <v>0</v>
      </c>
      <c r="K192" s="763"/>
      <c r="L192" s="759"/>
      <c r="M192" s="759">
        <f t="shared" si="8"/>
        <v>0</v>
      </c>
    </row>
    <row r="193" spans="1:13" ht="30">
      <c r="A193" s="838"/>
      <c r="B193" s="836"/>
      <c r="C193" s="55" t="s">
        <v>541</v>
      </c>
      <c r="D193" s="56" t="s">
        <v>470</v>
      </c>
      <c r="E193" s="54"/>
      <c r="F193" s="817">
        <v>24</v>
      </c>
      <c r="G193" s="763"/>
      <c r="H193" s="763">
        <f t="shared" si="11"/>
        <v>0</v>
      </c>
      <c r="I193" s="763"/>
      <c r="J193" s="759">
        <f t="shared" si="10"/>
        <v>0</v>
      </c>
      <c r="K193" s="763"/>
      <c r="L193" s="759"/>
      <c r="M193" s="759">
        <f t="shared" si="8"/>
        <v>0</v>
      </c>
    </row>
    <row r="194" spans="1:13" ht="15.75">
      <c r="A194" s="838"/>
      <c r="B194" s="836"/>
      <c r="C194" s="55" t="s">
        <v>483</v>
      </c>
      <c r="D194" s="56" t="s">
        <v>484</v>
      </c>
      <c r="E194" s="54"/>
      <c r="F194" s="817">
        <v>10</v>
      </c>
      <c r="G194" s="763"/>
      <c r="H194" s="763">
        <f t="shared" si="11"/>
        <v>0</v>
      </c>
      <c r="I194" s="763"/>
      <c r="J194" s="759">
        <f t="shared" si="10"/>
        <v>0</v>
      </c>
      <c r="K194" s="763"/>
      <c r="L194" s="759"/>
      <c r="M194" s="759">
        <f t="shared" si="8"/>
        <v>0</v>
      </c>
    </row>
    <row r="195" spans="1:13" s="824" customFormat="1" ht="13.5">
      <c r="A195" s="828"/>
      <c r="B195" s="696"/>
      <c r="C195" s="848" t="s">
        <v>437</v>
      </c>
      <c r="D195" s="829" t="s">
        <v>45</v>
      </c>
      <c r="E195" s="830">
        <v>0.0828</v>
      </c>
      <c r="F195" s="831">
        <f>F189*E195</f>
        <v>2.8152</v>
      </c>
      <c r="G195" s="806"/>
      <c r="H195" s="729">
        <f t="shared" si="11"/>
        <v>0</v>
      </c>
      <c r="I195" s="806"/>
      <c r="J195" s="729">
        <f>F195*I195</f>
        <v>0</v>
      </c>
      <c r="K195" s="806"/>
      <c r="L195" s="729">
        <f>F195*K195</f>
        <v>0</v>
      </c>
      <c r="M195" s="729">
        <f>H195+J195+L195</f>
        <v>0</v>
      </c>
    </row>
    <row r="196" spans="1:13" ht="45">
      <c r="A196" s="1053">
        <v>4</v>
      </c>
      <c r="B196" s="834" t="s">
        <v>900</v>
      </c>
      <c r="C196" s="60" t="s">
        <v>542</v>
      </c>
      <c r="D196" s="62" t="s">
        <v>470</v>
      </c>
      <c r="E196" s="54"/>
      <c r="F196" s="817">
        <v>1</v>
      </c>
      <c r="G196" s="763"/>
      <c r="H196" s="763">
        <f t="shared" si="11"/>
        <v>0</v>
      </c>
      <c r="I196" s="763"/>
      <c r="J196" s="759">
        <f t="shared" si="10"/>
        <v>0</v>
      </c>
      <c r="K196" s="763"/>
      <c r="L196" s="759"/>
      <c r="M196" s="759">
        <f t="shared" si="8"/>
        <v>0</v>
      </c>
    </row>
    <row r="197" spans="1:13" ht="60">
      <c r="A197" s="1053">
        <v>5</v>
      </c>
      <c r="B197" s="834" t="s">
        <v>900</v>
      </c>
      <c r="C197" s="60" t="s">
        <v>543</v>
      </c>
      <c r="D197" s="63" t="s">
        <v>484</v>
      </c>
      <c r="E197" s="54"/>
      <c r="F197" s="817">
        <v>1</v>
      </c>
      <c r="G197" s="763"/>
      <c r="H197" s="763">
        <f t="shared" si="11"/>
        <v>0</v>
      </c>
      <c r="I197" s="763"/>
      <c r="J197" s="759">
        <f t="shared" si="10"/>
        <v>0</v>
      </c>
      <c r="K197" s="763"/>
      <c r="L197" s="759"/>
      <c r="M197" s="759">
        <f t="shared" si="8"/>
        <v>0</v>
      </c>
    </row>
    <row r="198" spans="1:13" ht="31.5">
      <c r="A198" s="1053">
        <v>6</v>
      </c>
      <c r="B198" s="834" t="s">
        <v>900</v>
      </c>
      <c r="C198" s="60" t="s">
        <v>544</v>
      </c>
      <c r="D198" s="62" t="s">
        <v>470</v>
      </c>
      <c r="E198" s="54"/>
      <c r="F198" s="817">
        <v>3</v>
      </c>
      <c r="G198" s="763"/>
      <c r="H198" s="763">
        <f t="shared" si="11"/>
        <v>0</v>
      </c>
      <c r="I198" s="763"/>
      <c r="J198" s="759">
        <f t="shared" si="10"/>
        <v>0</v>
      </c>
      <c r="K198" s="763"/>
      <c r="L198" s="759"/>
      <c r="M198" s="759">
        <f t="shared" si="8"/>
        <v>0</v>
      </c>
    </row>
    <row r="199" spans="1:13" ht="45">
      <c r="A199" s="1053">
        <v>7</v>
      </c>
      <c r="B199" s="834" t="s">
        <v>900</v>
      </c>
      <c r="C199" s="60" t="s">
        <v>545</v>
      </c>
      <c r="D199" s="62" t="s">
        <v>470</v>
      </c>
      <c r="E199" s="54"/>
      <c r="F199" s="817">
        <v>3</v>
      </c>
      <c r="G199" s="763"/>
      <c r="H199" s="763">
        <f t="shared" si="11"/>
        <v>0</v>
      </c>
      <c r="I199" s="763"/>
      <c r="J199" s="759">
        <f t="shared" si="10"/>
        <v>0</v>
      </c>
      <c r="K199" s="763"/>
      <c r="L199" s="759"/>
      <c r="M199" s="759">
        <f t="shared" si="8"/>
        <v>0</v>
      </c>
    </row>
    <row r="200" spans="1:13" ht="90">
      <c r="A200" s="1053">
        <v>8</v>
      </c>
      <c r="B200" s="834" t="s">
        <v>900</v>
      </c>
      <c r="C200" s="52" t="s">
        <v>546</v>
      </c>
      <c r="D200" s="62" t="s">
        <v>470</v>
      </c>
      <c r="E200" s="54"/>
      <c r="F200" s="817">
        <v>1</v>
      </c>
      <c r="G200" s="763"/>
      <c r="H200" s="763">
        <f t="shared" si="11"/>
        <v>0</v>
      </c>
      <c r="I200" s="763"/>
      <c r="J200" s="759">
        <f t="shared" si="10"/>
        <v>0</v>
      </c>
      <c r="K200" s="763"/>
      <c r="L200" s="759"/>
      <c r="M200" s="759">
        <f t="shared" si="8"/>
        <v>0</v>
      </c>
    </row>
    <row r="201" spans="1:13" ht="90">
      <c r="A201" s="1053">
        <v>9</v>
      </c>
      <c r="B201" s="834" t="s">
        <v>900</v>
      </c>
      <c r="C201" s="55" t="s">
        <v>547</v>
      </c>
      <c r="D201" s="56" t="s">
        <v>548</v>
      </c>
      <c r="E201" s="64"/>
      <c r="F201" s="817">
        <v>1</v>
      </c>
      <c r="G201" s="763"/>
      <c r="H201" s="763">
        <f t="shared" si="11"/>
        <v>0</v>
      </c>
      <c r="I201" s="763"/>
      <c r="J201" s="759">
        <f t="shared" si="10"/>
        <v>0</v>
      </c>
      <c r="K201" s="763"/>
      <c r="L201" s="759"/>
      <c r="M201" s="759">
        <f t="shared" si="8"/>
        <v>0</v>
      </c>
    </row>
    <row r="202" spans="1:13" ht="15.75">
      <c r="A202" s="838"/>
      <c r="B202" s="836"/>
      <c r="C202" s="41" t="s">
        <v>549</v>
      </c>
      <c r="D202" s="61"/>
      <c r="E202" s="61"/>
      <c r="F202" s="816"/>
      <c r="G202" s="763"/>
      <c r="H202" s="763">
        <f t="shared" si="11"/>
        <v>0</v>
      </c>
      <c r="I202" s="763"/>
      <c r="J202" s="759">
        <f t="shared" si="10"/>
        <v>0</v>
      </c>
      <c r="K202" s="763"/>
      <c r="L202" s="759"/>
      <c r="M202" s="759">
        <f t="shared" si="8"/>
        <v>0</v>
      </c>
    </row>
    <row r="203" spans="1:13" s="824" customFormat="1" ht="13.5">
      <c r="A203" s="629">
        <v>1</v>
      </c>
      <c r="B203" s="834" t="s">
        <v>895</v>
      </c>
      <c r="C203" s="822" t="s">
        <v>916</v>
      </c>
      <c r="D203" s="823" t="s">
        <v>896</v>
      </c>
      <c r="E203" s="696"/>
      <c r="F203" s="823">
        <v>750</v>
      </c>
      <c r="G203" s="806"/>
      <c r="H203" s="729">
        <f t="shared" si="11"/>
        <v>0</v>
      </c>
      <c r="I203" s="806"/>
      <c r="J203" s="729">
        <f>F203*I203</f>
        <v>0</v>
      </c>
      <c r="K203" s="806"/>
      <c r="L203" s="729">
        <f>F203*K203</f>
        <v>0</v>
      </c>
      <c r="M203" s="729">
        <f>H203+J203+L203</f>
        <v>0</v>
      </c>
    </row>
    <row r="204" spans="1:13" s="824" customFormat="1" ht="13.5">
      <c r="A204" s="835"/>
      <c r="B204" s="835"/>
      <c r="C204" s="832" t="s">
        <v>738</v>
      </c>
      <c r="D204" s="825" t="s">
        <v>15</v>
      </c>
      <c r="E204" s="662">
        <v>0.41</v>
      </c>
      <c r="F204" s="826">
        <f>F203*E204</f>
        <v>307.5</v>
      </c>
      <c r="G204" s="827"/>
      <c r="H204" s="729">
        <f t="shared" si="11"/>
        <v>0</v>
      </c>
      <c r="I204" s="827"/>
      <c r="J204" s="729">
        <f>F204*I204</f>
        <v>0</v>
      </c>
      <c r="K204" s="827"/>
      <c r="L204" s="729">
        <f>F204*K204</f>
        <v>0</v>
      </c>
      <c r="M204" s="729">
        <f>H204+J204+L204</f>
        <v>0</v>
      </c>
    </row>
    <row r="205" spans="1:13" s="824" customFormat="1" ht="13.5">
      <c r="A205" s="835"/>
      <c r="B205" s="835"/>
      <c r="C205" s="832" t="s">
        <v>897</v>
      </c>
      <c r="D205" s="825" t="s">
        <v>45</v>
      </c>
      <c r="E205" s="662">
        <v>0.262</v>
      </c>
      <c r="F205" s="826">
        <f>F203*E205</f>
        <v>196.5</v>
      </c>
      <c r="G205" s="827"/>
      <c r="H205" s="729">
        <f t="shared" si="11"/>
        <v>0</v>
      </c>
      <c r="I205" s="827"/>
      <c r="J205" s="729">
        <f>F205*I205</f>
        <v>0</v>
      </c>
      <c r="K205" s="827"/>
      <c r="L205" s="729">
        <f>F205*K205</f>
        <v>0</v>
      </c>
      <c r="M205" s="729">
        <f>H205+J205+L205</f>
        <v>0</v>
      </c>
    </row>
    <row r="206" spans="1:13" ht="45">
      <c r="A206" s="838"/>
      <c r="B206" s="836"/>
      <c r="C206" s="52" t="s">
        <v>550</v>
      </c>
      <c r="D206" s="53" t="s">
        <v>445</v>
      </c>
      <c r="E206" s="54"/>
      <c r="F206" s="817">
        <v>750</v>
      </c>
      <c r="G206" s="763"/>
      <c r="H206" s="763">
        <f t="shared" si="11"/>
        <v>0</v>
      </c>
      <c r="I206" s="763"/>
      <c r="J206" s="759">
        <f t="shared" si="10"/>
        <v>0</v>
      </c>
      <c r="K206" s="763"/>
      <c r="L206" s="759"/>
      <c r="M206" s="759">
        <f t="shared" si="8"/>
        <v>0</v>
      </c>
    </row>
    <row r="207" spans="1:13" ht="30">
      <c r="A207" s="838"/>
      <c r="B207" s="836"/>
      <c r="C207" s="52" t="s">
        <v>551</v>
      </c>
      <c r="D207" s="53" t="s">
        <v>484</v>
      </c>
      <c r="E207" s="54"/>
      <c r="F207" s="817">
        <v>1000</v>
      </c>
      <c r="G207" s="763"/>
      <c r="H207" s="763">
        <f t="shared" si="11"/>
        <v>0</v>
      </c>
      <c r="I207" s="763"/>
      <c r="J207" s="759">
        <f t="shared" si="10"/>
        <v>0</v>
      </c>
      <c r="K207" s="763"/>
      <c r="L207" s="759"/>
      <c r="M207" s="759">
        <f t="shared" si="8"/>
        <v>0</v>
      </c>
    </row>
    <row r="208" spans="1:13" s="824" customFormat="1" ht="13.5">
      <c r="A208" s="835"/>
      <c r="B208" s="835"/>
      <c r="C208" s="832" t="s">
        <v>437</v>
      </c>
      <c r="D208" s="825" t="s">
        <v>45</v>
      </c>
      <c r="E208" s="662">
        <v>0.148</v>
      </c>
      <c r="F208" s="826">
        <f>E208*F203</f>
        <v>111</v>
      </c>
      <c r="G208" s="827"/>
      <c r="H208" s="729">
        <f>F208*G208</f>
        <v>0</v>
      </c>
      <c r="I208" s="827"/>
      <c r="J208" s="729">
        <f>F208*I208</f>
        <v>0</v>
      </c>
      <c r="K208" s="827"/>
      <c r="L208" s="729">
        <f>F208*K208</f>
        <v>0</v>
      </c>
      <c r="M208" s="729">
        <f>H208+J208+L208</f>
        <v>0</v>
      </c>
    </row>
    <row r="209" spans="1:13" s="824" customFormat="1" ht="13.5">
      <c r="A209" s="837">
        <v>2</v>
      </c>
      <c r="B209" s="834" t="s">
        <v>899</v>
      </c>
      <c r="C209" s="822" t="s">
        <v>918</v>
      </c>
      <c r="D209" s="823" t="s">
        <v>896</v>
      </c>
      <c r="E209" s="823"/>
      <c r="F209" s="823">
        <v>200</v>
      </c>
      <c r="G209" s="806"/>
      <c r="H209" s="729">
        <f>F209*G209</f>
        <v>0</v>
      </c>
      <c r="I209" s="806"/>
      <c r="J209" s="729">
        <f>F209*I209</f>
        <v>0</v>
      </c>
      <c r="K209" s="729"/>
      <c r="L209" s="729">
        <f>F209*K209</f>
        <v>0</v>
      </c>
      <c r="M209" s="729">
        <f>H209+J209+L209</f>
        <v>0</v>
      </c>
    </row>
    <row r="210" spans="1:13" s="824" customFormat="1" ht="13.5">
      <c r="A210" s="835"/>
      <c r="B210" s="835"/>
      <c r="C210" s="662" t="s">
        <v>738</v>
      </c>
      <c r="D210" s="825" t="s">
        <v>15</v>
      </c>
      <c r="E210" s="662">
        <v>0.27</v>
      </c>
      <c r="F210" s="826">
        <f>F209*E210</f>
        <v>54</v>
      </c>
      <c r="G210" s="827"/>
      <c r="H210" s="729">
        <f>F210*G210</f>
        <v>0</v>
      </c>
      <c r="I210" s="827"/>
      <c r="J210" s="729">
        <f>F210*I210</f>
        <v>0</v>
      </c>
      <c r="K210" s="827"/>
      <c r="L210" s="729">
        <f>F210*K210</f>
        <v>0</v>
      </c>
      <c r="M210" s="729">
        <f>H210+J210+L210</f>
        <v>0</v>
      </c>
    </row>
    <row r="211" spans="1:13" s="824" customFormat="1" ht="13.5">
      <c r="A211" s="835"/>
      <c r="B211" s="835"/>
      <c r="C211" s="662" t="s">
        <v>897</v>
      </c>
      <c r="D211" s="662" t="s">
        <v>45</v>
      </c>
      <c r="E211" s="662">
        <v>0.202</v>
      </c>
      <c r="F211" s="826">
        <f>F209*E211</f>
        <v>40.400000000000006</v>
      </c>
      <c r="G211" s="827"/>
      <c r="H211" s="729">
        <f>F211*G211</f>
        <v>0</v>
      </c>
      <c r="I211" s="827"/>
      <c r="J211" s="729">
        <f>F211*I211</f>
        <v>0</v>
      </c>
      <c r="K211" s="827"/>
      <c r="L211" s="729">
        <f>F211*K211</f>
        <v>0</v>
      </c>
      <c r="M211" s="729">
        <f>H211+J211+L211</f>
        <v>0</v>
      </c>
    </row>
    <row r="212" spans="1:13" ht="15.75">
      <c r="A212" s="838"/>
      <c r="B212" s="836"/>
      <c r="C212" s="52" t="s">
        <v>552</v>
      </c>
      <c r="D212" s="53" t="s">
        <v>445</v>
      </c>
      <c r="E212" s="54"/>
      <c r="F212" s="817">
        <v>200</v>
      </c>
      <c r="G212" s="763"/>
      <c r="H212" s="763">
        <f t="shared" si="11"/>
        <v>0</v>
      </c>
      <c r="I212" s="763"/>
      <c r="J212" s="759">
        <f t="shared" si="10"/>
        <v>0</v>
      </c>
      <c r="K212" s="763"/>
      <c r="L212" s="759"/>
      <c r="M212" s="759">
        <f t="shared" si="8"/>
        <v>0</v>
      </c>
    </row>
    <row r="213" spans="1:13" ht="30">
      <c r="A213" s="838"/>
      <c r="B213" s="836"/>
      <c r="C213" s="52" t="s">
        <v>553</v>
      </c>
      <c r="D213" s="53" t="s">
        <v>484</v>
      </c>
      <c r="E213" s="54"/>
      <c r="F213" s="817">
        <v>500</v>
      </c>
      <c r="G213" s="763"/>
      <c r="H213" s="763">
        <f t="shared" si="11"/>
        <v>0</v>
      </c>
      <c r="I213" s="763"/>
      <c r="J213" s="759">
        <f t="shared" si="10"/>
        <v>0</v>
      </c>
      <c r="K213" s="763"/>
      <c r="L213" s="759"/>
      <c r="M213" s="759">
        <f t="shared" si="8"/>
        <v>0</v>
      </c>
    </row>
    <row r="214" spans="1:13" s="824" customFormat="1" ht="13.5">
      <c r="A214" s="835"/>
      <c r="B214" s="835"/>
      <c r="C214" s="832" t="s">
        <v>437</v>
      </c>
      <c r="D214" s="825" t="s">
        <v>45</v>
      </c>
      <c r="E214" s="662">
        <v>0.003</v>
      </c>
      <c r="F214" s="826">
        <f>F209*E214</f>
        <v>0.6</v>
      </c>
      <c r="G214" s="827"/>
      <c r="H214" s="729">
        <f>F214*G214</f>
        <v>0</v>
      </c>
      <c r="I214" s="827"/>
      <c r="J214" s="729">
        <f>F214*I214</f>
        <v>0</v>
      </c>
      <c r="K214" s="827"/>
      <c r="L214" s="729">
        <f>F214*K214</f>
        <v>0</v>
      </c>
      <c r="M214" s="729">
        <f>H214+J214+L214</f>
        <v>0</v>
      </c>
    </row>
    <row r="215" spans="1:13" ht="30">
      <c r="A215" s="1053">
        <v>3</v>
      </c>
      <c r="B215" s="836"/>
      <c r="C215" s="52" t="s">
        <v>554</v>
      </c>
      <c r="D215" s="53" t="s">
        <v>470</v>
      </c>
      <c r="E215" s="54"/>
      <c r="F215" s="817">
        <v>38</v>
      </c>
      <c r="G215" s="763"/>
      <c r="H215" s="763">
        <f t="shared" si="11"/>
        <v>0</v>
      </c>
      <c r="I215" s="763"/>
      <c r="J215" s="759">
        <f t="shared" si="10"/>
        <v>0</v>
      </c>
      <c r="K215" s="763"/>
      <c r="L215" s="759"/>
      <c r="M215" s="759">
        <f t="shared" si="8"/>
        <v>0</v>
      </c>
    </row>
    <row r="216" spans="1:13" ht="30">
      <c r="A216" s="1053">
        <v>4</v>
      </c>
      <c r="B216" s="836"/>
      <c r="C216" s="52" t="s">
        <v>555</v>
      </c>
      <c r="D216" s="53" t="s">
        <v>470</v>
      </c>
      <c r="E216" s="54"/>
      <c r="F216" s="817">
        <v>6</v>
      </c>
      <c r="G216" s="763"/>
      <c r="H216" s="763">
        <f t="shared" si="11"/>
        <v>0</v>
      </c>
      <c r="I216" s="763"/>
      <c r="J216" s="759">
        <f t="shared" si="10"/>
        <v>0</v>
      </c>
      <c r="K216" s="763"/>
      <c r="L216" s="759"/>
      <c r="M216" s="759">
        <f t="shared" si="8"/>
        <v>0</v>
      </c>
    </row>
    <row r="217" spans="1:13" ht="30">
      <c r="A217" s="1053">
        <v>5</v>
      </c>
      <c r="B217" s="836"/>
      <c r="C217" s="52" t="s">
        <v>556</v>
      </c>
      <c r="D217" s="53" t="s">
        <v>470</v>
      </c>
      <c r="E217" s="54"/>
      <c r="F217" s="817">
        <v>3</v>
      </c>
      <c r="G217" s="763"/>
      <c r="H217" s="763">
        <f t="shared" si="11"/>
        <v>0</v>
      </c>
      <c r="I217" s="763"/>
      <c r="J217" s="759">
        <f t="shared" si="10"/>
        <v>0</v>
      </c>
      <c r="K217" s="763"/>
      <c r="L217" s="759"/>
      <c r="M217" s="759">
        <f t="shared" si="8"/>
        <v>0</v>
      </c>
    </row>
    <row r="218" spans="1:13" ht="45">
      <c r="A218" s="1053">
        <v>6</v>
      </c>
      <c r="B218" s="836"/>
      <c r="C218" s="52" t="s">
        <v>557</v>
      </c>
      <c r="D218" s="53" t="s">
        <v>470</v>
      </c>
      <c r="E218" s="54"/>
      <c r="F218" s="817">
        <v>1</v>
      </c>
      <c r="G218" s="763"/>
      <c r="H218" s="763">
        <f t="shared" si="11"/>
        <v>0</v>
      </c>
      <c r="I218" s="763"/>
      <c r="J218" s="759">
        <f t="shared" si="10"/>
        <v>0</v>
      </c>
      <c r="K218" s="763"/>
      <c r="L218" s="759"/>
      <c r="M218" s="759">
        <f t="shared" si="8"/>
        <v>0</v>
      </c>
    </row>
    <row r="219" spans="1:13" ht="30">
      <c r="A219" s="1053">
        <v>7</v>
      </c>
      <c r="B219" s="836"/>
      <c r="C219" s="52" t="s">
        <v>558</v>
      </c>
      <c r="D219" s="53" t="s">
        <v>470</v>
      </c>
      <c r="E219" s="54"/>
      <c r="F219" s="817">
        <v>1</v>
      </c>
      <c r="G219" s="763"/>
      <c r="H219" s="763">
        <f t="shared" si="11"/>
        <v>0</v>
      </c>
      <c r="I219" s="763"/>
      <c r="J219" s="759">
        <f t="shared" si="10"/>
        <v>0</v>
      </c>
      <c r="K219" s="763"/>
      <c r="L219" s="759"/>
      <c r="M219" s="759">
        <f t="shared" si="8"/>
        <v>0</v>
      </c>
    </row>
    <row r="220" spans="1:13" ht="30">
      <c r="A220" s="1053">
        <v>8</v>
      </c>
      <c r="B220" s="836"/>
      <c r="C220" s="52" t="s">
        <v>559</v>
      </c>
      <c r="D220" s="53" t="s">
        <v>470</v>
      </c>
      <c r="E220" s="54"/>
      <c r="F220" s="817">
        <v>1</v>
      </c>
      <c r="G220" s="763"/>
      <c r="H220" s="763">
        <f t="shared" si="11"/>
        <v>0</v>
      </c>
      <c r="I220" s="763"/>
      <c r="J220" s="759">
        <f t="shared" si="10"/>
        <v>0</v>
      </c>
      <c r="K220" s="763"/>
      <c r="L220" s="759"/>
      <c r="M220" s="759">
        <f>L220+J220+H220</f>
        <v>0</v>
      </c>
    </row>
    <row r="221" spans="1:13" ht="15.75">
      <c r="A221" s="1053">
        <v>9</v>
      </c>
      <c r="B221" s="836"/>
      <c r="C221" s="52" t="s">
        <v>560</v>
      </c>
      <c r="D221" s="53" t="s">
        <v>484</v>
      </c>
      <c r="E221" s="54"/>
      <c r="F221" s="817">
        <v>2</v>
      </c>
      <c r="G221" s="763"/>
      <c r="H221" s="763">
        <f t="shared" si="11"/>
        <v>0</v>
      </c>
      <c r="I221" s="763"/>
      <c r="J221" s="759">
        <f t="shared" si="10"/>
        <v>0</v>
      </c>
      <c r="K221" s="763"/>
      <c r="L221" s="759"/>
      <c r="M221" s="759">
        <f>L221+J221+H221</f>
        <v>0</v>
      </c>
    </row>
    <row r="222" spans="1:13" ht="45">
      <c r="A222" s="1053">
        <v>10</v>
      </c>
      <c r="B222" s="836"/>
      <c r="C222" s="65" t="s">
        <v>561</v>
      </c>
      <c r="D222" s="53" t="s">
        <v>470</v>
      </c>
      <c r="E222" s="54"/>
      <c r="F222" s="817">
        <v>1</v>
      </c>
      <c r="G222" s="763"/>
      <c r="H222" s="763">
        <f t="shared" si="11"/>
        <v>0</v>
      </c>
      <c r="I222" s="763"/>
      <c r="J222" s="759">
        <f t="shared" si="10"/>
        <v>0</v>
      </c>
      <c r="K222" s="763"/>
      <c r="L222" s="759"/>
      <c r="M222" s="759">
        <f>L222+J222+H222</f>
        <v>0</v>
      </c>
    </row>
    <row r="223" spans="1:13" ht="45">
      <c r="A223" s="1053">
        <v>11</v>
      </c>
      <c r="B223" s="836"/>
      <c r="C223" s="65" t="s">
        <v>562</v>
      </c>
      <c r="D223" s="53" t="s">
        <v>470</v>
      </c>
      <c r="E223" s="54"/>
      <c r="F223" s="817">
        <v>1</v>
      </c>
      <c r="G223" s="763"/>
      <c r="H223" s="763">
        <f t="shared" si="11"/>
        <v>0</v>
      </c>
      <c r="I223" s="763"/>
      <c r="J223" s="759">
        <f t="shared" si="10"/>
        <v>0</v>
      </c>
      <c r="K223" s="763"/>
      <c r="L223" s="759"/>
      <c r="M223" s="759">
        <f>L223+J223+H223</f>
        <v>0</v>
      </c>
    </row>
    <row r="224" spans="1:13" ht="30">
      <c r="A224" s="1053">
        <v>12</v>
      </c>
      <c r="B224" s="836"/>
      <c r="C224" s="65" t="s">
        <v>563</v>
      </c>
      <c r="D224" s="53" t="s">
        <v>470</v>
      </c>
      <c r="E224" s="54"/>
      <c r="F224" s="817">
        <v>1</v>
      </c>
      <c r="G224" s="763"/>
      <c r="H224" s="763">
        <f t="shared" si="11"/>
        <v>0</v>
      </c>
      <c r="I224" s="763"/>
      <c r="J224" s="759">
        <f t="shared" si="10"/>
        <v>0</v>
      </c>
      <c r="K224" s="763"/>
      <c r="L224" s="759"/>
      <c r="M224" s="759">
        <f>L224+J224+H224</f>
        <v>0</v>
      </c>
    </row>
    <row r="225" spans="1:13" ht="15.75">
      <c r="A225" s="818"/>
      <c r="B225" s="818"/>
      <c r="C225" s="66" t="s">
        <v>0</v>
      </c>
      <c r="D225" s="67"/>
      <c r="E225" s="68"/>
      <c r="F225" s="69"/>
      <c r="G225" s="764"/>
      <c r="H225" s="764">
        <f>SUM(H179:H224)</f>
        <v>0</v>
      </c>
      <c r="I225" s="764"/>
      <c r="J225" s="764">
        <f>SUM(J179:J224)</f>
        <v>0</v>
      </c>
      <c r="K225" s="764"/>
      <c r="L225" s="764">
        <f>SUM(L179:L224)</f>
        <v>0</v>
      </c>
      <c r="M225" s="764">
        <f>H225+J225+L225</f>
        <v>0</v>
      </c>
    </row>
    <row r="226" spans="1:13" ht="15.75">
      <c r="A226" s="818"/>
      <c r="B226" s="818"/>
      <c r="C226" s="66" t="s">
        <v>919</v>
      </c>
      <c r="D226" s="67"/>
      <c r="E226" s="68"/>
      <c r="F226" s="69"/>
      <c r="G226" s="764"/>
      <c r="H226" s="764"/>
      <c r="I226" s="764"/>
      <c r="J226" s="764">
        <f>J200+J201+J222+J223+J224</f>
        <v>0</v>
      </c>
      <c r="K226" s="764"/>
      <c r="L226" s="764"/>
      <c r="M226" s="764">
        <f>J226</f>
        <v>0</v>
      </c>
    </row>
    <row r="227" spans="1:13" ht="31.5">
      <c r="A227" s="818"/>
      <c r="B227" s="818"/>
      <c r="C227" s="51" t="s">
        <v>564</v>
      </c>
      <c r="D227" s="519">
        <v>0</v>
      </c>
      <c r="E227" s="520"/>
      <c r="F227" s="520"/>
      <c r="G227" s="764"/>
      <c r="H227" s="764"/>
      <c r="I227" s="764"/>
      <c r="J227" s="764"/>
      <c r="K227" s="764"/>
      <c r="L227" s="764"/>
      <c r="M227" s="764">
        <f>H225*D227</f>
        <v>0</v>
      </c>
    </row>
    <row r="228" spans="1:13" ht="15.75">
      <c r="A228" s="818"/>
      <c r="B228" s="818"/>
      <c r="C228" s="70" t="s">
        <v>0</v>
      </c>
      <c r="D228" s="70"/>
      <c r="E228" s="70"/>
      <c r="F228" s="70"/>
      <c r="G228" s="764"/>
      <c r="H228" s="764"/>
      <c r="I228" s="764"/>
      <c r="J228" s="764"/>
      <c r="K228" s="764"/>
      <c r="L228" s="764"/>
      <c r="M228" s="764">
        <f>M225+M227</f>
        <v>0</v>
      </c>
    </row>
    <row r="229" spans="1:13" ht="63">
      <c r="A229" s="818"/>
      <c r="B229" s="818"/>
      <c r="C229" s="51" t="s">
        <v>920</v>
      </c>
      <c r="D229" s="519">
        <v>0</v>
      </c>
      <c r="E229" s="520"/>
      <c r="F229" s="520"/>
      <c r="G229" s="764"/>
      <c r="H229" s="764"/>
      <c r="I229" s="764"/>
      <c r="J229" s="764"/>
      <c r="K229" s="764"/>
      <c r="L229" s="764"/>
      <c r="M229" s="764">
        <f>(M228-J226)*D229</f>
        <v>0</v>
      </c>
    </row>
    <row r="230" spans="1:13" ht="47.25">
      <c r="A230" s="818"/>
      <c r="B230" s="818"/>
      <c r="C230" s="51" t="s">
        <v>915</v>
      </c>
      <c r="D230" s="70"/>
      <c r="E230" s="70"/>
      <c r="F230" s="70"/>
      <c r="G230" s="764"/>
      <c r="H230" s="764"/>
      <c r="I230" s="764"/>
      <c r="J230" s="764"/>
      <c r="K230" s="764"/>
      <c r="L230" s="764"/>
      <c r="M230" s="764">
        <f>M228+M229</f>
        <v>0</v>
      </c>
    </row>
    <row r="231" spans="1:13" ht="15.75">
      <c r="A231" s="818"/>
      <c r="B231" s="818"/>
      <c r="C231" s="70" t="s">
        <v>894</v>
      </c>
      <c r="D231" s="70"/>
      <c r="E231" s="70"/>
      <c r="F231" s="70"/>
      <c r="G231" s="765"/>
      <c r="H231" s="765"/>
      <c r="I231" s="765"/>
      <c r="J231" s="765"/>
      <c r="K231" s="765"/>
      <c r="L231" s="765"/>
      <c r="M231" s="764">
        <f>M176+M230</f>
        <v>0</v>
      </c>
    </row>
    <row r="232" spans="3:13" ht="15">
      <c r="C232" s="71"/>
      <c r="D232" s="71"/>
      <c r="E232" s="71"/>
      <c r="F232" s="71"/>
      <c r="G232" s="71"/>
      <c r="H232" s="71"/>
      <c r="I232" s="72"/>
      <c r="J232" s="71"/>
      <c r="K232" s="72"/>
      <c r="L232" s="71"/>
      <c r="M232" s="71"/>
    </row>
    <row r="233" spans="3:13" ht="16.5"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</row>
  </sheetData>
  <sheetProtection/>
  <mergeCells count="11">
    <mergeCell ref="A2:M2"/>
    <mergeCell ref="A3:M3"/>
    <mergeCell ref="A1:M1"/>
    <mergeCell ref="M4:M5"/>
    <mergeCell ref="A4:A5"/>
    <mergeCell ref="B4:B5"/>
    <mergeCell ref="C4:C5"/>
    <mergeCell ref="D4:F4"/>
    <mergeCell ref="G4:H4"/>
    <mergeCell ref="I4:J4"/>
    <mergeCell ref="K4:L4"/>
  </mergeCells>
  <printOptions/>
  <pageMargins left="0.22" right="0.15" top="0.75" bottom="0.75" header="0.3" footer="0.3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M68"/>
  <sheetViews>
    <sheetView view="pageBreakPreview" zoomScaleSheetLayoutView="100" zoomScalePageLayoutView="0" workbookViewId="0" topLeftCell="A52">
      <selection activeCell="A69" sqref="A69:IV69"/>
    </sheetView>
  </sheetViews>
  <sheetFormatPr defaultColWidth="9.140625" defaultRowHeight="15"/>
  <cols>
    <col min="1" max="1" width="4.57421875" style="207" customWidth="1"/>
    <col min="2" max="2" width="9.7109375" style="177" customWidth="1"/>
    <col min="3" max="3" width="40.7109375" style="396" customWidth="1"/>
    <col min="4" max="4" width="9.28125" style="396" bestFit="1" customWidth="1"/>
    <col min="5" max="5" width="11.57421875" style="395" bestFit="1" customWidth="1"/>
    <col min="6" max="6" width="12.421875" style="395" bestFit="1" customWidth="1"/>
    <col min="7" max="7" width="9.421875" style="395" customWidth="1"/>
    <col min="8" max="8" width="11.28125" style="395" bestFit="1" customWidth="1"/>
    <col min="9" max="9" width="9.421875" style="395" customWidth="1"/>
    <col min="10" max="10" width="11.421875" style="395" bestFit="1" customWidth="1"/>
    <col min="11" max="12" width="9.28125" style="395" bestFit="1" customWidth="1"/>
    <col min="13" max="13" width="11.7109375" style="395" bestFit="1" customWidth="1"/>
    <col min="14" max="16" width="0" style="395" hidden="1" customWidth="1"/>
    <col min="17" max="17" width="34.57421875" style="395" hidden="1" customWidth="1"/>
    <col min="18" max="18" width="11.00390625" style="395" customWidth="1"/>
    <col min="19" max="19" width="11.28125" style="396" bestFit="1" customWidth="1"/>
    <col min="20" max="20" width="44.8515625" style="397" hidden="1" customWidth="1"/>
    <col min="21" max="21" width="14.8515625" style="397" hidden="1" customWidth="1"/>
    <col min="22" max="22" width="14.8515625" style="397" customWidth="1"/>
    <col min="23" max="23" width="13.140625" style="397" customWidth="1"/>
    <col min="24" max="24" width="18.8515625" style="395" customWidth="1"/>
    <col min="25" max="25" width="13.00390625" style="395" customWidth="1"/>
    <col min="26" max="26" width="18.140625" style="395" customWidth="1"/>
    <col min="27" max="16384" width="9.140625" style="395" customWidth="1"/>
  </cols>
  <sheetData>
    <row r="1" spans="1:19" s="177" customFormat="1" ht="16.5" customHeight="1">
      <c r="A1" s="1064" t="s">
        <v>1216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S1" s="176"/>
    </row>
    <row r="2" spans="1:19" s="177" customFormat="1" ht="18.75" customHeight="1">
      <c r="A2" s="208"/>
      <c r="B2" s="206"/>
      <c r="C2" s="1080" t="s">
        <v>604</v>
      </c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S2" s="176"/>
    </row>
    <row r="3" spans="1:21" s="171" customFormat="1" ht="20.25" customHeight="1">
      <c r="A3" s="1080" t="s">
        <v>789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38"/>
      <c r="O3" s="38"/>
      <c r="P3" s="38"/>
      <c r="Q3" s="38"/>
      <c r="R3" s="38"/>
      <c r="S3" s="38"/>
      <c r="T3" s="38"/>
      <c r="U3" s="38"/>
    </row>
    <row r="4" spans="1:13" ht="23.25" customHeight="1">
      <c r="A4" s="1084" t="s">
        <v>1</v>
      </c>
      <c r="B4" s="1089" t="s">
        <v>72</v>
      </c>
      <c r="C4" s="1091" t="s">
        <v>59</v>
      </c>
      <c r="D4" s="1083" t="s">
        <v>73</v>
      </c>
      <c r="E4" s="1083"/>
      <c r="F4" s="1083"/>
      <c r="G4" s="1083" t="s">
        <v>74</v>
      </c>
      <c r="H4" s="1083"/>
      <c r="I4" s="1083" t="s">
        <v>75</v>
      </c>
      <c r="J4" s="1083"/>
      <c r="K4" s="1066" t="s">
        <v>76</v>
      </c>
      <c r="L4" s="1066"/>
      <c r="M4" s="1083" t="s">
        <v>0</v>
      </c>
    </row>
    <row r="5" spans="1:13" ht="19.5" customHeight="1">
      <c r="A5" s="1084"/>
      <c r="B5" s="1090"/>
      <c r="C5" s="1091"/>
      <c r="D5" s="398" t="s">
        <v>77</v>
      </c>
      <c r="E5" s="398" t="s">
        <v>78</v>
      </c>
      <c r="F5" s="398" t="s">
        <v>78</v>
      </c>
      <c r="G5" s="317" t="s">
        <v>80</v>
      </c>
      <c r="H5" s="398" t="s">
        <v>79</v>
      </c>
      <c r="I5" s="317" t="s">
        <v>80</v>
      </c>
      <c r="J5" s="398" t="s">
        <v>79</v>
      </c>
      <c r="K5" s="317" t="s">
        <v>80</v>
      </c>
      <c r="L5" s="398" t="s">
        <v>79</v>
      </c>
      <c r="M5" s="1083"/>
    </row>
    <row r="6" spans="1:23" s="401" customFormat="1" ht="13.5">
      <c r="A6" s="215" t="s">
        <v>2</v>
      </c>
      <c r="B6" s="216" t="s">
        <v>3</v>
      </c>
      <c r="C6" s="217" t="s">
        <v>4</v>
      </c>
      <c r="D6" s="215" t="s">
        <v>5</v>
      </c>
      <c r="E6" s="216" t="s">
        <v>6</v>
      </c>
      <c r="F6" s="400" t="s">
        <v>7</v>
      </c>
      <c r="G6" s="217" t="s">
        <v>8</v>
      </c>
      <c r="H6" s="215" t="s">
        <v>9</v>
      </c>
      <c r="I6" s="216" t="s">
        <v>10</v>
      </c>
      <c r="J6" s="217" t="s">
        <v>11</v>
      </c>
      <c r="K6" s="216" t="s">
        <v>12</v>
      </c>
      <c r="L6" s="215" t="s">
        <v>13</v>
      </c>
      <c r="M6" s="216" t="s">
        <v>14</v>
      </c>
      <c r="S6" s="402"/>
      <c r="T6" s="403"/>
      <c r="U6" s="403"/>
      <c r="V6" s="403"/>
      <c r="W6" s="403"/>
    </row>
    <row r="7" spans="1:13" s="410" customFormat="1" ht="30" customHeight="1">
      <c r="A7" s="404"/>
      <c r="B7" s="302"/>
      <c r="C7" s="140" t="s">
        <v>167</v>
      </c>
      <c r="D7" s="405"/>
      <c r="E7" s="406"/>
      <c r="F7" s="406"/>
      <c r="G7" s="407"/>
      <c r="H7" s="408"/>
      <c r="I7" s="408"/>
      <c r="J7" s="405"/>
      <c r="K7" s="409"/>
      <c r="L7" s="408"/>
      <c r="M7" s="408"/>
    </row>
    <row r="8" spans="1:18" s="289" customFormat="1" ht="67.5">
      <c r="A8" s="221">
        <v>1</v>
      </c>
      <c r="B8" s="392" t="s">
        <v>163</v>
      </c>
      <c r="C8" s="521" t="s">
        <v>164</v>
      </c>
      <c r="D8" s="369" t="s">
        <v>168</v>
      </c>
      <c r="E8" s="375"/>
      <c r="F8" s="522">
        <f>29.5/1000</f>
        <v>0.0295</v>
      </c>
      <c r="G8" s="766"/>
      <c r="H8" s="767"/>
      <c r="I8" s="766"/>
      <c r="J8" s="767"/>
      <c r="K8" s="766"/>
      <c r="L8" s="767"/>
      <c r="M8" s="766"/>
      <c r="R8" s="523"/>
    </row>
    <row r="9" spans="1:16" s="278" customFormat="1" ht="16.5" customHeight="1">
      <c r="A9" s="116"/>
      <c r="B9" s="371"/>
      <c r="C9" s="28" t="s">
        <v>43</v>
      </c>
      <c r="D9" s="28" t="s">
        <v>15</v>
      </c>
      <c r="E9" s="26">
        <v>34</v>
      </c>
      <c r="F9" s="27">
        <f>F8*E9</f>
        <v>1.003</v>
      </c>
      <c r="G9" s="417"/>
      <c r="H9" s="417">
        <f>F9*G9</f>
        <v>0</v>
      </c>
      <c r="I9" s="718"/>
      <c r="J9" s="718"/>
      <c r="K9" s="718"/>
      <c r="L9" s="718"/>
      <c r="M9" s="417">
        <f>H9</f>
        <v>0</v>
      </c>
      <c r="O9" s="284">
        <f>M9+M10+M11</f>
        <v>0</v>
      </c>
      <c r="P9" s="524">
        <f>O9/7747</f>
        <v>0</v>
      </c>
    </row>
    <row r="10" spans="1:13" s="278" customFormat="1" ht="16.5" customHeight="1">
      <c r="A10" s="116"/>
      <c r="B10" s="31"/>
      <c r="C10" s="28" t="s">
        <v>165</v>
      </c>
      <c r="D10" s="28" t="s">
        <v>70</v>
      </c>
      <c r="E10" s="26">
        <v>80.3</v>
      </c>
      <c r="F10" s="27">
        <f>F8*E10</f>
        <v>2.3688499999999997</v>
      </c>
      <c r="G10" s="417"/>
      <c r="H10" s="417"/>
      <c r="I10" s="417"/>
      <c r="J10" s="417"/>
      <c r="K10" s="417"/>
      <c r="L10" s="417">
        <f>F10*K10</f>
        <v>0</v>
      </c>
      <c r="M10" s="417">
        <f>L10</f>
        <v>0</v>
      </c>
    </row>
    <row r="11" spans="1:18" s="278" customFormat="1" ht="16.5" customHeight="1">
      <c r="A11" s="117"/>
      <c r="B11" s="118"/>
      <c r="C11" s="28" t="s">
        <v>166</v>
      </c>
      <c r="D11" s="28" t="s">
        <v>45</v>
      </c>
      <c r="E11" s="26">
        <v>5.6</v>
      </c>
      <c r="F11" s="27">
        <f>F8*E11</f>
        <v>0.16519999999999999</v>
      </c>
      <c r="G11" s="417"/>
      <c r="H11" s="417"/>
      <c r="I11" s="417"/>
      <c r="J11" s="417"/>
      <c r="K11" s="417"/>
      <c r="L11" s="417">
        <f>F11*K11</f>
        <v>0</v>
      </c>
      <c r="M11" s="417">
        <f>L11</f>
        <v>0</v>
      </c>
      <c r="R11" s="525"/>
    </row>
    <row r="12" spans="1:13" s="289" customFormat="1" ht="27">
      <c r="A12" s="292">
        <v>1</v>
      </c>
      <c r="B12" s="292" t="s">
        <v>169</v>
      </c>
      <c r="C12" s="521" t="s">
        <v>170</v>
      </c>
      <c r="D12" s="293" t="s">
        <v>171</v>
      </c>
      <c r="E12" s="294"/>
      <c r="F12" s="295">
        <f>3.5</f>
        <v>3.5</v>
      </c>
      <c r="G12" s="768"/>
      <c r="H12" s="769"/>
      <c r="I12" s="768"/>
      <c r="J12" s="769"/>
      <c r="K12" s="770"/>
      <c r="L12" s="769"/>
      <c r="M12" s="768"/>
    </row>
    <row r="13" spans="1:13" s="278" customFormat="1" ht="13.5">
      <c r="A13" s="117"/>
      <c r="B13" s="117"/>
      <c r="C13" s="28" t="s">
        <v>43</v>
      </c>
      <c r="D13" s="28" t="s">
        <v>15</v>
      </c>
      <c r="E13" s="27">
        <v>2.06</v>
      </c>
      <c r="F13" s="27">
        <f>F12*E13</f>
        <v>7.21</v>
      </c>
      <c r="G13" s="417"/>
      <c r="H13" s="417">
        <f>F13*G13</f>
        <v>0</v>
      </c>
      <c r="I13" s="718"/>
      <c r="J13" s="718"/>
      <c r="K13" s="718"/>
      <c r="L13" s="718"/>
      <c r="M13" s="417">
        <f>H13</f>
        <v>0</v>
      </c>
    </row>
    <row r="14" spans="1:14" s="530" customFormat="1" ht="33" customHeight="1">
      <c r="A14" s="470">
        <v>2</v>
      </c>
      <c r="B14" s="526" t="s">
        <v>172</v>
      </c>
      <c r="C14" s="521" t="s">
        <v>173</v>
      </c>
      <c r="D14" s="527" t="s">
        <v>171</v>
      </c>
      <c r="E14" s="528"/>
      <c r="F14" s="529">
        <v>4</v>
      </c>
      <c r="G14" s="771"/>
      <c r="H14" s="771"/>
      <c r="I14" s="771"/>
      <c r="J14" s="772"/>
      <c r="K14" s="773"/>
      <c r="L14" s="773"/>
      <c r="M14" s="771"/>
      <c r="N14" s="527"/>
    </row>
    <row r="15" spans="1:13" s="532" customFormat="1" ht="13.5">
      <c r="A15" s="531"/>
      <c r="C15" s="420" t="s">
        <v>43</v>
      </c>
      <c r="D15" s="471" t="s">
        <v>15</v>
      </c>
      <c r="E15" s="510">
        <v>1.8</v>
      </c>
      <c r="F15" s="510">
        <f>F14*E15</f>
        <v>7.2</v>
      </c>
      <c r="G15" s="421"/>
      <c r="H15" s="421">
        <f>F15*G15</f>
        <v>0</v>
      </c>
      <c r="I15" s="421"/>
      <c r="J15" s="421"/>
      <c r="K15" s="421"/>
      <c r="L15" s="421"/>
      <c r="M15" s="421">
        <f>H15</f>
        <v>0</v>
      </c>
    </row>
    <row r="16" spans="1:14" s="533" customFormat="1" ht="13.5">
      <c r="A16" s="534"/>
      <c r="B16" s="535"/>
      <c r="C16" s="420" t="s">
        <v>174</v>
      </c>
      <c r="D16" s="420" t="s">
        <v>171</v>
      </c>
      <c r="E16" s="510">
        <v>1.1</v>
      </c>
      <c r="F16" s="510">
        <f>F14*E16</f>
        <v>4.4</v>
      </c>
      <c r="G16" s="421"/>
      <c r="H16" s="421"/>
      <c r="I16" s="421"/>
      <c r="J16" s="421">
        <f>F16*I16</f>
        <v>0</v>
      </c>
      <c r="K16" s="421"/>
      <c r="L16" s="421"/>
      <c r="M16" s="421">
        <f>J16</f>
        <v>0</v>
      </c>
      <c r="N16" s="532"/>
    </row>
    <row r="17" spans="1:22" s="537" customFormat="1" ht="27">
      <c r="A17" s="536" t="s">
        <v>87</v>
      </c>
      <c r="B17" s="536" t="s">
        <v>175</v>
      </c>
      <c r="C17" s="521" t="s">
        <v>176</v>
      </c>
      <c r="D17" s="327" t="s">
        <v>171</v>
      </c>
      <c r="E17" s="327"/>
      <c r="F17" s="327">
        <v>10</v>
      </c>
      <c r="G17" s="774"/>
      <c r="H17" s="774"/>
      <c r="I17" s="774"/>
      <c r="J17" s="775"/>
      <c r="K17" s="776"/>
      <c r="L17" s="777"/>
      <c r="M17" s="776"/>
      <c r="N17" s="73"/>
      <c r="O17" s="73"/>
      <c r="P17" s="73"/>
      <c r="Q17" s="73"/>
      <c r="R17" s="73"/>
      <c r="S17" s="73"/>
      <c r="T17" s="73"/>
      <c r="U17" s="73"/>
      <c r="V17" s="73"/>
    </row>
    <row r="18" spans="1:22" s="537" customFormat="1" ht="13.5">
      <c r="A18" s="536"/>
      <c r="B18" s="536"/>
      <c r="C18" s="34" t="s">
        <v>177</v>
      </c>
      <c r="D18" s="300" t="s">
        <v>15</v>
      </c>
      <c r="E18" s="300">
        <v>0.896</v>
      </c>
      <c r="F18" s="300">
        <f>E18*F17</f>
        <v>8.96</v>
      </c>
      <c r="G18" s="589"/>
      <c r="H18" s="589">
        <f>F18*G18</f>
        <v>0</v>
      </c>
      <c r="I18" s="589"/>
      <c r="J18" s="778"/>
      <c r="K18" s="778"/>
      <c r="L18" s="778"/>
      <c r="M18" s="778">
        <f>H18</f>
        <v>0</v>
      </c>
      <c r="N18" s="73"/>
      <c r="O18" s="73"/>
      <c r="P18" s="73"/>
      <c r="Q18" s="73"/>
      <c r="R18" s="73"/>
      <c r="S18" s="73"/>
      <c r="T18" s="73"/>
      <c r="U18" s="73"/>
      <c r="V18" s="73"/>
    </row>
    <row r="19" spans="1:22" s="537" customFormat="1" ht="13.5">
      <c r="A19" s="538"/>
      <c r="B19" s="538"/>
      <c r="C19" s="34" t="s">
        <v>174</v>
      </c>
      <c r="D19" s="300" t="s">
        <v>171</v>
      </c>
      <c r="E19" s="300">
        <v>1.1</v>
      </c>
      <c r="F19" s="300">
        <f>E19*F17</f>
        <v>11</v>
      </c>
      <c r="G19" s="589"/>
      <c r="H19" s="589"/>
      <c r="I19" s="589"/>
      <c r="J19" s="778">
        <f>F19*I19</f>
        <v>0</v>
      </c>
      <c r="K19" s="778"/>
      <c r="L19" s="778"/>
      <c r="M19" s="778">
        <f>J19</f>
        <v>0</v>
      </c>
      <c r="N19" s="73"/>
      <c r="O19" s="73"/>
      <c r="P19" s="73"/>
      <c r="Q19" s="73"/>
      <c r="R19" s="73"/>
      <c r="S19" s="73"/>
      <c r="T19" s="73"/>
      <c r="U19" s="73"/>
      <c r="V19" s="73"/>
    </row>
    <row r="20" spans="1:22" s="537" customFormat="1" ht="18" customHeight="1">
      <c r="A20" s="536" t="s">
        <v>83</v>
      </c>
      <c r="B20" s="536" t="s">
        <v>178</v>
      </c>
      <c r="C20" s="539" t="s">
        <v>179</v>
      </c>
      <c r="D20" s="327" t="s">
        <v>171</v>
      </c>
      <c r="E20" s="327"/>
      <c r="F20" s="327">
        <v>19</v>
      </c>
      <c r="G20" s="774"/>
      <c r="H20" s="774"/>
      <c r="I20" s="774"/>
      <c r="J20" s="775"/>
      <c r="K20" s="776"/>
      <c r="L20" s="777"/>
      <c r="M20" s="776"/>
      <c r="N20" s="73"/>
      <c r="O20" s="73"/>
      <c r="P20" s="73"/>
      <c r="Q20" s="73"/>
      <c r="R20" s="73"/>
      <c r="S20" s="73"/>
      <c r="T20" s="73"/>
      <c r="U20" s="73"/>
      <c r="V20" s="73"/>
    </row>
    <row r="21" spans="1:22" s="537" customFormat="1" ht="13.5">
      <c r="A21" s="536"/>
      <c r="B21" s="536"/>
      <c r="C21" s="34" t="s">
        <v>177</v>
      </c>
      <c r="D21" s="300" t="s">
        <v>15</v>
      </c>
      <c r="E21" s="256">
        <v>0.993</v>
      </c>
      <c r="F21" s="300">
        <f>E21*F20</f>
        <v>18.867</v>
      </c>
      <c r="G21" s="589"/>
      <c r="H21" s="589">
        <f>F21*G21</f>
        <v>0</v>
      </c>
      <c r="I21" s="589"/>
      <c r="J21" s="778"/>
      <c r="K21" s="778"/>
      <c r="L21" s="778"/>
      <c r="M21" s="778">
        <f>H21</f>
        <v>0</v>
      </c>
      <c r="N21" s="73"/>
      <c r="O21" s="73"/>
      <c r="P21" s="73"/>
      <c r="Q21" s="73"/>
      <c r="R21" s="73"/>
      <c r="S21" s="73"/>
      <c r="T21" s="73"/>
      <c r="U21" s="73"/>
      <c r="V21" s="73"/>
    </row>
    <row r="22" spans="1:22" s="537" customFormat="1" ht="13.5">
      <c r="A22" s="538"/>
      <c r="B22" s="538"/>
      <c r="C22" s="34" t="s">
        <v>180</v>
      </c>
      <c r="D22" s="300" t="s">
        <v>171</v>
      </c>
      <c r="E22" s="300">
        <v>1.1</v>
      </c>
      <c r="F22" s="300">
        <f>E22*F20</f>
        <v>20.900000000000002</v>
      </c>
      <c r="G22" s="589"/>
      <c r="H22" s="589"/>
      <c r="I22" s="589"/>
      <c r="J22" s="778">
        <f>F22*I22</f>
        <v>0</v>
      </c>
      <c r="K22" s="778"/>
      <c r="L22" s="778"/>
      <c r="M22" s="778">
        <f>J22</f>
        <v>0</v>
      </c>
      <c r="N22" s="73"/>
      <c r="O22" s="73"/>
      <c r="P22" s="73"/>
      <c r="Q22" s="73"/>
      <c r="R22" s="73"/>
      <c r="S22" s="73"/>
      <c r="T22" s="73"/>
      <c r="U22" s="73"/>
      <c r="V22" s="73"/>
    </row>
    <row r="23" spans="1:13" s="532" customFormat="1" ht="13.5">
      <c r="A23" s="531">
        <v>5</v>
      </c>
      <c r="B23" s="532" t="s">
        <v>181</v>
      </c>
      <c r="C23" s="540" t="s">
        <v>182</v>
      </c>
      <c r="E23" s="541"/>
      <c r="F23" s="542"/>
      <c r="G23" s="779"/>
      <c r="H23" s="780"/>
      <c r="I23" s="779"/>
      <c r="J23" s="780"/>
      <c r="K23" s="779"/>
      <c r="L23" s="780"/>
      <c r="M23" s="779"/>
    </row>
    <row r="24" spans="1:13" s="532" customFormat="1" ht="13.5">
      <c r="A24" s="531"/>
      <c r="B24" s="532" t="s">
        <v>183</v>
      </c>
      <c r="C24" s="420" t="s">
        <v>184</v>
      </c>
      <c r="D24" s="420" t="s">
        <v>185</v>
      </c>
      <c r="E24" s="509"/>
      <c r="F24" s="510">
        <f>(F8*1000+F12)*1.75</f>
        <v>57.75</v>
      </c>
      <c r="G24" s="421"/>
      <c r="H24" s="421"/>
      <c r="I24" s="781"/>
      <c r="J24" s="781"/>
      <c r="K24" s="781"/>
      <c r="L24" s="781"/>
      <c r="M24" s="421"/>
    </row>
    <row r="25" spans="1:13" s="532" customFormat="1" ht="13.5">
      <c r="A25" s="534"/>
      <c r="B25" s="534"/>
      <c r="C25" s="420" t="s">
        <v>43</v>
      </c>
      <c r="D25" s="420" t="s">
        <v>15</v>
      </c>
      <c r="E25" s="509">
        <v>0.53</v>
      </c>
      <c r="F25" s="509">
        <f>F24*E25</f>
        <v>30.6075</v>
      </c>
      <c r="G25" s="421"/>
      <c r="H25" s="421">
        <f>F25*G25</f>
        <v>0</v>
      </c>
      <c r="I25" s="781"/>
      <c r="J25" s="781"/>
      <c r="K25" s="781"/>
      <c r="L25" s="781"/>
      <c r="M25" s="421">
        <f>H25</f>
        <v>0</v>
      </c>
    </row>
    <row r="26" spans="1:13" s="547" customFormat="1" ht="13.5">
      <c r="A26" s="543">
        <v>6</v>
      </c>
      <c r="B26" s="544" t="s">
        <v>188</v>
      </c>
      <c r="C26" s="543" t="s">
        <v>186</v>
      </c>
      <c r="D26" s="544"/>
      <c r="E26" s="545"/>
      <c r="F26" s="546"/>
      <c r="G26" s="782"/>
      <c r="H26" s="783"/>
      <c r="I26" s="782"/>
      <c r="J26" s="783"/>
      <c r="K26" s="782"/>
      <c r="L26" s="783"/>
      <c r="M26" s="782"/>
    </row>
    <row r="27" spans="1:13" s="547" customFormat="1" ht="13.5">
      <c r="A27" s="548"/>
      <c r="B27" s="549" t="s">
        <v>189</v>
      </c>
      <c r="C27" s="548" t="s">
        <v>187</v>
      </c>
      <c r="D27" s="549" t="s">
        <v>185</v>
      </c>
      <c r="E27" s="550"/>
      <c r="F27" s="551">
        <f>F24</f>
        <v>57.75</v>
      </c>
      <c r="G27" s="784"/>
      <c r="H27" s="785"/>
      <c r="I27" s="786"/>
      <c r="J27" s="787"/>
      <c r="K27" s="784"/>
      <c r="L27" s="785">
        <f>F27*K27</f>
        <v>0</v>
      </c>
      <c r="M27" s="784">
        <f>L27</f>
        <v>0</v>
      </c>
    </row>
    <row r="28" spans="1:13" s="278" customFormat="1" ht="27" customHeight="1">
      <c r="A28" s="116">
        <v>5</v>
      </c>
      <c r="B28" s="116" t="s">
        <v>196</v>
      </c>
      <c r="C28" s="303" t="s">
        <v>198</v>
      </c>
      <c r="D28" s="28" t="s">
        <v>46</v>
      </c>
      <c r="E28" s="26"/>
      <c r="F28" s="26">
        <v>0.24</v>
      </c>
      <c r="G28" s="718"/>
      <c r="H28" s="718"/>
      <c r="I28" s="718"/>
      <c r="J28" s="718"/>
      <c r="K28" s="718"/>
      <c r="L28" s="718"/>
      <c r="M28" s="718"/>
    </row>
    <row r="29" spans="1:13" s="278" customFormat="1" ht="13.5">
      <c r="A29" s="116"/>
      <c r="C29" s="28" t="s">
        <v>43</v>
      </c>
      <c r="D29" s="28" t="s">
        <v>15</v>
      </c>
      <c r="E29" s="26">
        <v>0.89</v>
      </c>
      <c r="F29" s="26">
        <f>F28*E29</f>
        <v>0.21359999999999998</v>
      </c>
      <c r="G29" s="417"/>
      <c r="H29" s="417">
        <f>F29*G29</f>
        <v>0</v>
      </c>
      <c r="I29" s="718"/>
      <c r="J29" s="718"/>
      <c r="K29" s="718"/>
      <c r="L29" s="718"/>
      <c r="M29" s="417">
        <f>H29</f>
        <v>0</v>
      </c>
    </row>
    <row r="30" spans="1:13" s="278" customFormat="1" ht="13.5">
      <c r="A30" s="116"/>
      <c r="B30" s="31"/>
      <c r="C30" s="28" t="s">
        <v>44</v>
      </c>
      <c r="D30" s="28" t="s">
        <v>45</v>
      </c>
      <c r="E30" s="26">
        <v>0.37</v>
      </c>
      <c r="F30" s="26">
        <f>F28*E30</f>
        <v>0.08879999999999999</v>
      </c>
      <c r="G30" s="718"/>
      <c r="H30" s="718"/>
      <c r="I30" s="718"/>
      <c r="J30" s="718"/>
      <c r="K30" s="417"/>
      <c r="L30" s="417">
        <f>F30*K30</f>
        <v>0</v>
      </c>
      <c r="M30" s="417">
        <f>L30</f>
        <v>0</v>
      </c>
    </row>
    <row r="31" spans="1:13" s="278" customFormat="1" ht="13.5">
      <c r="A31" s="116"/>
      <c r="B31" s="31"/>
      <c r="C31" s="28" t="s">
        <v>197</v>
      </c>
      <c r="D31" s="28" t="s">
        <v>46</v>
      </c>
      <c r="E31" s="26">
        <v>1.15</v>
      </c>
      <c r="F31" s="26">
        <f>F28*E31</f>
        <v>0.27599999999999997</v>
      </c>
      <c r="G31" s="718"/>
      <c r="H31" s="718"/>
      <c r="I31" s="417"/>
      <c r="J31" s="417">
        <f>F31*I31</f>
        <v>0</v>
      </c>
      <c r="K31" s="718"/>
      <c r="L31" s="718"/>
      <c r="M31" s="417">
        <f>J31</f>
        <v>0</v>
      </c>
    </row>
    <row r="32" spans="1:13" s="278" customFormat="1" ht="13.5">
      <c r="A32" s="117"/>
      <c r="B32" s="118"/>
      <c r="C32" s="28" t="s">
        <v>47</v>
      </c>
      <c r="D32" s="28" t="s">
        <v>45</v>
      </c>
      <c r="E32" s="26">
        <v>0.02</v>
      </c>
      <c r="F32" s="26">
        <f>F28*E32</f>
        <v>0.0048</v>
      </c>
      <c r="G32" s="718"/>
      <c r="H32" s="718"/>
      <c r="I32" s="417"/>
      <c r="J32" s="417">
        <f>F32*I32</f>
        <v>0</v>
      </c>
      <c r="K32" s="718"/>
      <c r="L32" s="718"/>
      <c r="M32" s="417">
        <f>J32</f>
        <v>0</v>
      </c>
    </row>
    <row r="33" spans="1:22" s="537" customFormat="1" ht="27">
      <c r="A33" s="211">
        <v>10</v>
      </c>
      <c r="B33" s="536" t="s">
        <v>190</v>
      </c>
      <c r="C33" s="135" t="s">
        <v>193</v>
      </c>
      <c r="D33" s="389" t="s">
        <v>171</v>
      </c>
      <c r="E33" s="256"/>
      <c r="F33" s="300">
        <v>1.55</v>
      </c>
      <c r="G33" s="589"/>
      <c r="H33" s="778"/>
      <c r="I33" s="778"/>
      <c r="J33" s="778"/>
      <c r="K33" s="778"/>
      <c r="L33" s="778"/>
      <c r="M33" s="778"/>
      <c r="N33" s="73"/>
      <c r="O33" s="73"/>
      <c r="P33" s="73"/>
      <c r="Q33" s="73"/>
      <c r="R33" s="73"/>
      <c r="S33" s="73"/>
      <c r="T33" s="73"/>
      <c r="U33" s="73"/>
      <c r="V33" s="73"/>
    </row>
    <row r="34" spans="1:22" s="537" customFormat="1" ht="13.5">
      <c r="A34" s="211"/>
      <c r="B34" s="536"/>
      <c r="C34" s="150" t="s">
        <v>177</v>
      </c>
      <c r="D34" s="389" t="s">
        <v>15</v>
      </c>
      <c r="E34" s="300">
        <v>12.6</v>
      </c>
      <c r="F34" s="300">
        <f>E34*F33</f>
        <v>19.53</v>
      </c>
      <c r="G34" s="589"/>
      <c r="H34" s="778">
        <f>F34*G34</f>
        <v>0</v>
      </c>
      <c r="I34" s="778"/>
      <c r="J34" s="778"/>
      <c r="K34" s="778"/>
      <c r="L34" s="778"/>
      <c r="M34" s="778">
        <f>H34</f>
        <v>0</v>
      </c>
      <c r="N34" s="73"/>
      <c r="O34" s="73"/>
      <c r="P34" s="73"/>
      <c r="Q34" s="73"/>
      <c r="R34" s="73"/>
      <c r="S34" s="73"/>
      <c r="T34" s="73"/>
      <c r="U34" s="73"/>
      <c r="V34" s="73"/>
    </row>
    <row r="35" spans="1:22" s="537" customFormat="1" ht="13.5">
      <c r="A35" s="211"/>
      <c r="B35" s="536"/>
      <c r="C35" s="150" t="s">
        <v>44</v>
      </c>
      <c r="D35" s="389" t="s">
        <v>45</v>
      </c>
      <c r="E35" s="300">
        <v>5.08</v>
      </c>
      <c r="F35" s="300">
        <f>E35*F33</f>
        <v>7.8740000000000006</v>
      </c>
      <c r="G35" s="589"/>
      <c r="H35" s="778"/>
      <c r="I35" s="778"/>
      <c r="J35" s="778"/>
      <c r="K35" s="778"/>
      <c r="L35" s="778">
        <f>F35*K35</f>
        <v>0</v>
      </c>
      <c r="M35" s="778">
        <f>L35</f>
        <v>0</v>
      </c>
      <c r="N35" s="73"/>
      <c r="O35" s="73"/>
      <c r="P35" s="73"/>
      <c r="Q35" s="73"/>
      <c r="R35" s="73"/>
      <c r="S35" s="73"/>
      <c r="T35" s="73"/>
      <c r="U35" s="73"/>
      <c r="V35" s="73"/>
    </row>
    <row r="36" spans="1:22" s="537" customFormat="1" ht="13.5">
      <c r="A36" s="211"/>
      <c r="B36" s="536"/>
      <c r="C36" s="33" t="s">
        <v>627</v>
      </c>
      <c r="D36" s="389" t="s">
        <v>51</v>
      </c>
      <c r="E36" s="256" t="s">
        <v>54</v>
      </c>
      <c r="F36" s="300">
        <v>2</v>
      </c>
      <c r="G36" s="589"/>
      <c r="H36" s="778"/>
      <c r="I36" s="747"/>
      <c r="J36" s="747">
        <f aca="true" t="shared" si="0" ref="J36:J41">F36*I36</f>
        <v>0</v>
      </c>
      <c r="K36" s="747"/>
      <c r="L36" s="747"/>
      <c r="M36" s="747">
        <f aca="true" t="shared" si="1" ref="M36:M41">J36</f>
        <v>0</v>
      </c>
      <c r="N36" s="73"/>
      <c r="O36" s="73"/>
      <c r="P36" s="73"/>
      <c r="Q36" s="73"/>
      <c r="R36" s="73"/>
      <c r="S36" s="73"/>
      <c r="T36" s="73"/>
      <c r="U36" s="73"/>
      <c r="V36" s="73"/>
    </row>
    <row r="37" spans="1:22" s="537" customFormat="1" ht="13.5">
      <c r="A37" s="211"/>
      <c r="B37" s="536"/>
      <c r="C37" s="33" t="s">
        <v>195</v>
      </c>
      <c r="D37" s="389" t="s">
        <v>51</v>
      </c>
      <c r="E37" s="256" t="s">
        <v>54</v>
      </c>
      <c r="F37" s="300">
        <v>2</v>
      </c>
      <c r="G37" s="589"/>
      <c r="H37" s="778"/>
      <c r="I37" s="747"/>
      <c r="J37" s="747">
        <f t="shared" si="0"/>
        <v>0</v>
      </c>
      <c r="K37" s="747"/>
      <c r="L37" s="747"/>
      <c r="M37" s="747">
        <f t="shared" si="1"/>
        <v>0</v>
      </c>
      <c r="N37" s="73"/>
      <c r="O37" s="73"/>
      <c r="P37" s="73"/>
      <c r="Q37" s="73"/>
      <c r="R37" s="73"/>
      <c r="S37" s="73"/>
      <c r="T37" s="73"/>
      <c r="U37" s="73"/>
      <c r="V37" s="73"/>
    </row>
    <row r="38" spans="1:22" s="537" customFormat="1" ht="13.5">
      <c r="A38" s="211"/>
      <c r="B38" s="536"/>
      <c r="C38" s="33" t="s">
        <v>194</v>
      </c>
      <c r="D38" s="389" t="s">
        <v>51</v>
      </c>
      <c r="E38" s="256" t="s">
        <v>54</v>
      </c>
      <c r="F38" s="300">
        <v>2</v>
      </c>
      <c r="G38" s="589"/>
      <c r="H38" s="778"/>
      <c r="I38" s="747"/>
      <c r="J38" s="747">
        <f t="shared" si="0"/>
        <v>0</v>
      </c>
      <c r="K38" s="747"/>
      <c r="L38" s="747"/>
      <c r="M38" s="747">
        <f t="shared" si="1"/>
        <v>0</v>
      </c>
      <c r="N38" s="73"/>
      <c r="O38" s="73"/>
      <c r="P38" s="73"/>
      <c r="Q38" s="73"/>
      <c r="R38" s="73"/>
      <c r="S38" s="73"/>
      <c r="T38" s="73"/>
      <c r="U38" s="73"/>
      <c r="V38" s="73"/>
    </row>
    <row r="39" spans="1:22" s="537" customFormat="1" ht="13.5">
      <c r="A39" s="211"/>
      <c r="B39" s="536"/>
      <c r="C39" s="28" t="s">
        <v>191</v>
      </c>
      <c r="D39" s="389" t="s">
        <v>171</v>
      </c>
      <c r="E39" s="256">
        <v>0.413</v>
      </c>
      <c r="F39" s="300">
        <f>E39*F33</f>
        <v>0.64015</v>
      </c>
      <c r="G39" s="589"/>
      <c r="H39" s="778"/>
      <c r="I39" s="747"/>
      <c r="J39" s="747">
        <f t="shared" si="0"/>
        <v>0</v>
      </c>
      <c r="K39" s="747"/>
      <c r="L39" s="747"/>
      <c r="M39" s="747">
        <f t="shared" si="1"/>
        <v>0</v>
      </c>
      <c r="N39" s="73"/>
      <c r="O39" s="73"/>
      <c r="P39" s="73"/>
      <c r="Q39" s="73"/>
      <c r="R39" s="73"/>
      <c r="S39" s="73"/>
      <c r="T39" s="73"/>
      <c r="U39" s="73"/>
      <c r="V39" s="73"/>
    </row>
    <row r="40" spans="1:13" s="115" customFormat="1" ht="13.5">
      <c r="A40" s="116"/>
      <c r="B40" s="31"/>
      <c r="C40" s="28" t="s">
        <v>192</v>
      </c>
      <c r="D40" s="28" t="s">
        <v>51</v>
      </c>
      <c r="E40" s="26" t="s">
        <v>54</v>
      </c>
      <c r="F40" s="27">
        <v>15</v>
      </c>
      <c r="G40" s="417"/>
      <c r="H40" s="417"/>
      <c r="I40" s="417"/>
      <c r="J40" s="417">
        <f>F40*I40</f>
        <v>0</v>
      </c>
      <c r="K40" s="417"/>
      <c r="L40" s="417"/>
      <c r="M40" s="417">
        <f>J40</f>
        <v>0</v>
      </c>
    </row>
    <row r="41" spans="1:22" s="537" customFormat="1" ht="16.5" customHeight="1">
      <c r="A41" s="213"/>
      <c r="B41" s="538"/>
      <c r="C41" s="28" t="s">
        <v>52</v>
      </c>
      <c r="D41" s="389" t="s">
        <v>45</v>
      </c>
      <c r="E41" s="300">
        <v>7.01</v>
      </c>
      <c r="F41" s="300">
        <f>E41*F33</f>
        <v>10.8655</v>
      </c>
      <c r="G41" s="589"/>
      <c r="H41" s="778"/>
      <c r="I41" s="747"/>
      <c r="J41" s="747">
        <f t="shared" si="0"/>
        <v>0</v>
      </c>
      <c r="K41" s="747"/>
      <c r="L41" s="747"/>
      <c r="M41" s="747">
        <f t="shared" si="1"/>
        <v>0</v>
      </c>
      <c r="N41" s="73"/>
      <c r="O41" s="73"/>
      <c r="P41" s="73"/>
      <c r="Q41" s="73"/>
      <c r="R41" s="73"/>
      <c r="S41" s="73"/>
      <c r="T41" s="73"/>
      <c r="U41" s="73"/>
      <c r="V41" s="73"/>
    </row>
    <row r="42" spans="1:13" s="289" customFormat="1" ht="40.5">
      <c r="A42" s="292">
        <v>6</v>
      </c>
      <c r="B42" s="293" t="s">
        <v>199</v>
      </c>
      <c r="C42" s="135" t="s">
        <v>203</v>
      </c>
      <c r="D42" s="33" t="s">
        <v>200</v>
      </c>
      <c r="E42" s="249"/>
      <c r="F42" s="249">
        <f>7.6/100</f>
        <v>0.076</v>
      </c>
      <c r="G42" s="731"/>
      <c r="H42" s="731"/>
      <c r="I42" s="732"/>
      <c r="J42" s="732"/>
      <c r="K42" s="731"/>
      <c r="L42" s="731"/>
      <c r="M42" s="732"/>
    </row>
    <row r="43" spans="1:13" s="278" customFormat="1" ht="13.5">
      <c r="A43" s="116"/>
      <c r="B43" s="253"/>
      <c r="C43" s="28" t="s">
        <v>43</v>
      </c>
      <c r="D43" s="28" t="s">
        <v>15</v>
      </c>
      <c r="E43" s="26">
        <v>15.7</v>
      </c>
      <c r="F43" s="26">
        <f>F42*E43</f>
        <v>1.1931999999999998</v>
      </c>
      <c r="G43" s="417"/>
      <c r="H43" s="417">
        <f>F43*G43</f>
        <v>0</v>
      </c>
      <c r="I43" s="718"/>
      <c r="J43" s="718"/>
      <c r="K43" s="718"/>
      <c r="L43" s="718"/>
      <c r="M43" s="417">
        <f>H43</f>
        <v>0</v>
      </c>
    </row>
    <row r="44" spans="1:13" s="278" customFormat="1" ht="13.5">
      <c r="A44" s="116"/>
      <c r="B44" s="31"/>
      <c r="C44" s="28" t="s">
        <v>44</v>
      </c>
      <c r="D44" s="28" t="s">
        <v>45</v>
      </c>
      <c r="E44" s="30">
        <v>1.5</v>
      </c>
      <c r="F44" s="26">
        <f>F42*E44</f>
        <v>0.11399999999999999</v>
      </c>
      <c r="G44" s="718"/>
      <c r="H44" s="718"/>
      <c r="I44" s="718"/>
      <c r="J44" s="718"/>
      <c r="K44" s="417"/>
      <c r="L44" s="417">
        <f>F44*K44</f>
        <v>0</v>
      </c>
      <c r="M44" s="417">
        <f>L44</f>
        <v>0</v>
      </c>
    </row>
    <row r="45" spans="1:13" s="278" customFormat="1" ht="13.5">
      <c r="A45" s="116"/>
      <c r="B45" s="31"/>
      <c r="C45" s="28" t="s">
        <v>201</v>
      </c>
      <c r="D45" s="28" t="s">
        <v>185</v>
      </c>
      <c r="E45" s="26">
        <v>0.24</v>
      </c>
      <c r="F45" s="26">
        <f>F42*E45</f>
        <v>0.01824</v>
      </c>
      <c r="G45" s="718"/>
      <c r="H45" s="718"/>
      <c r="I45" s="417"/>
      <c r="J45" s="417">
        <f>F45*I45</f>
        <v>0</v>
      </c>
      <c r="K45" s="718"/>
      <c r="L45" s="718"/>
      <c r="M45" s="417">
        <f>J45</f>
        <v>0</v>
      </c>
    </row>
    <row r="46" spans="1:13" s="278" customFormat="1" ht="13.5">
      <c r="A46" s="117"/>
      <c r="B46" s="118"/>
      <c r="C46" s="28" t="s">
        <v>47</v>
      </c>
      <c r="D46" s="28" t="s">
        <v>45</v>
      </c>
      <c r="E46" s="30">
        <v>2.28</v>
      </c>
      <c r="F46" s="26">
        <f>F42*E46</f>
        <v>0.17328</v>
      </c>
      <c r="G46" s="718"/>
      <c r="H46" s="718"/>
      <c r="I46" s="417"/>
      <c r="J46" s="417">
        <f>F46*I46</f>
        <v>0</v>
      </c>
      <c r="K46" s="718"/>
      <c r="L46" s="718"/>
      <c r="M46" s="417">
        <f>J46</f>
        <v>0</v>
      </c>
    </row>
    <row r="47" spans="1:13" s="553" customFormat="1" ht="33" customHeight="1">
      <c r="A47" s="552"/>
      <c r="B47" s="306" t="s">
        <v>202</v>
      </c>
      <c r="C47" s="135" t="s">
        <v>628</v>
      </c>
      <c r="D47" s="33" t="s">
        <v>50</v>
      </c>
      <c r="E47" s="33"/>
      <c r="F47" s="33">
        <v>47</v>
      </c>
      <c r="G47" s="732"/>
      <c r="H47" s="732"/>
      <c r="I47" s="732"/>
      <c r="J47" s="732"/>
      <c r="K47" s="732"/>
      <c r="L47" s="732"/>
      <c r="M47" s="732"/>
    </row>
    <row r="48" spans="1:13" s="555" customFormat="1" ht="13.5">
      <c r="A48" s="554"/>
      <c r="B48" s="292"/>
      <c r="C48" s="33" t="s">
        <v>43</v>
      </c>
      <c r="D48" s="33" t="s">
        <v>15</v>
      </c>
      <c r="E48" s="33">
        <v>0.25</v>
      </c>
      <c r="F48" s="33">
        <f>F47*E48</f>
        <v>11.75</v>
      </c>
      <c r="G48" s="732"/>
      <c r="H48" s="732">
        <f>F48*G48</f>
        <v>0</v>
      </c>
      <c r="I48" s="732"/>
      <c r="J48" s="732"/>
      <c r="K48" s="732"/>
      <c r="L48" s="732"/>
      <c r="M48" s="732">
        <f>H48</f>
        <v>0</v>
      </c>
    </row>
    <row r="49" spans="1:13" s="556" customFormat="1" ht="13.5">
      <c r="A49" s="554"/>
      <c r="B49" s="292"/>
      <c r="C49" s="33" t="s">
        <v>44</v>
      </c>
      <c r="D49" s="33" t="s">
        <v>45</v>
      </c>
      <c r="E49" s="33">
        <v>0.109</v>
      </c>
      <c r="F49" s="33">
        <f>F47*E49</f>
        <v>5.123</v>
      </c>
      <c r="G49" s="732"/>
      <c r="H49" s="732"/>
      <c r="I49" s="732"/>
      <c r="J49" s="732"/>
      <c r="K49" s="732"/>
      <c r="L49" s="732">
        <f>F49*K49</f>
        <v>0</v>
      </c>
      <c r="M49" s="732">
        <f>L49</f>
        <v>0</v>
      </c>
    </row>
    <row r="50" spans="1:13" s="556" customFormat="1" ht="13.5">
      <c r="A50" s="554"/>
      <c r="B50" s="292"/>
      <c r="C50" s="33" t="s">
        <v>204</v>
      </c>
      <c r="D50" s="33" t="s">
        <v>50</v>
      </c>
      <c r="E50" s="33">
        <v>1.01</v>
      </c>
      <c r="F50" s="33">
        <f>F47*E50</f>
        <v>47.47</v>
      </c>
      <c r="G50" s="732"/>
      <c r="H50" s="732"/>
      <c r="I50" s="732"/>
      <c r="J50" s="732">
        <f>F50*I50</f>
        <v>0</v>
      </c>
      <c r="K50" s="732"/>
      <c r="L50" s="732"/>
      <c r="M50" s="732">
        <f>J50</f>
        <v>0</v>
      </c>
    </row>
    <row r="51" spans="1:13" s="556" customFormat="1" ht="13.5">
      <c r="A51" s="557"/>
      <c r="B51" s="558"/>
      <c r="C51" s="33" t="s">
        <v>52</v>
      </c>
      <c r="D51" s="33" t="s">
        <v>45</v>
      </c>
      <c r="E51" s="249">
        <v>0.00888</v>
      </c>
      <c r="F51" s="33">
        <f>F47*E51</f>
        <v>0.41736</v>
      </c>
      <c r="G51" s="732"/>
      <c r="H51" s="732"/>
      <c r="I51" s="732"/>
      <c r="J51" s="732">
        <f>F51*I51</f>
        <v>0</v>
      </c>
      <c r="K51" s="732"/>
      <c r="L51" s="732"/>
      <c r="M51" s="732">
        <f>J51</f>
        <v>0</v>
      </c>
    </row>
    <row r="52" spans="1:13" s="556" customFormat="1" ht="33" customHeight="1">
      <c r="A52" s="557"/>
      <c r="B52" s="558"/>
      <c r="C52" s="140" t="s">
        <v>790</v>
      </c>
      <c r="D52" s="33"/>
      <c r="E52" s="249"/>
      <c r="F52" s="33"/>
      <c r="G52" s="732"/>
      <c r="H52" s="732"/>
      <c r="I52" s="732"/>
      <c r="J52" s="732"/>
      <c r="K52" s="732"/>
      <c r="L52" s="732"/>
      <c r="M52" s="732"/>
    </row>
    <row r="53" spans="1:13" s="556" customFormat="1" ht="26.25" customHeight="1">
      <c r="A53" s="322">
        <v>3</v>
      </c>
      <c r="B53" s="434" t="s">
        <v>205</v>
      </c>
      <c r="C53" s="135" t="s">
        <v>207</v>
      </c>
      <c r="D53" s="322" t="s">
        <v>50</v>
      </c>
      <c r="E53" s="435"/>
      <c r="F53" s="432">
        <v>16</v>
      </c>
      <c r="G53" s="432"/>
      <c r="H53" s="432"/>
      <c r="I53" s="432"/>
      <c r="J53" s="432"/>
      <c r="K53" s="432"/>
      <c r="L53" s="432"/>
      <c r="M53" s="432"/>
    </row>
    <row r="54" spans="1:13" s="556" customFormat="1" ht="13.5">
      <c r="A54" s="28"/>
      <c r="B54" s="28"/>
      <c r="C54" s="28" t="s">
        <v>43</v>
      </c>
      <c r="D54" s="28" t="s">
        <v>15</v>
      </c>
      <c r="E54" s="433">
        <v>0.863</v>
      </c>
      <c r="F54" s="417">
        <f>F53*E54</f>
        <v>13.808</v>
      </c>
      <c r="G54" s="417"/>
      <c r="H54" s="417">
        <f>F54*G54</f>
        <v>0</v>
      </c>
      <c r="I54" s="417"/>
      <c r="J54" s="417"/>
      <c r="K54" s="417"/>
      <c r="L54" s="417"/>
      <c r="M54" s="417">
        <f>H54</f>
        <v>0</v>
      </c>
    </row>
    <row r="55" spans="1:13" s="556" customFormat="1" ht="13.5">
      <c r="A55" s="28"/>
      <c r="B55" s="28"/>
      <c r="C55" s="28" t="s">
        <v>44</v>
      </c>
      <c r="D55" s="28" t="s">
        <v>45</v>
      </c>
      <c r="E55" s="433">
        <v>0.0678</v>
      </c>
      <c r="F55" s="417">
        <f>F53*E55</f>
        <v>1.0848</v>
      </c>
      <c r="G55" s="417"/>
      <c r="H55" s="417"/>
      <c r="I55" s="417"/>
      <c r="J55" s="417"/>
      <c r="K55" s="417"/>
      <c r="L55" s="417">
        <f>F55*K55</f>
        <v>0</v>
      </c>
      <c r="M55" s="417">
        <f>L55</f>
        <v>0</v>
      </c>
    </row>
    <row r="56" spans="1:13" s="556" customFormat="1" ht="13.5">
      <c r="A56" s="28"/>
      <c r="B56" s="28"/>
      <c r="C56" s="28" t="s">
        <v>206</v>
      </c>
      <c r="D56" s="28" t="s">
        <v>50</v>
      </c>
      <c r="E56" s="433">
        <v>1</v>
      </c>
      <c r="F56" s="417">
        <f>F53*E56</f>
        <v>16</v>
      </c>
      <c r="G56" s="417"/>
      <c r="H56" s="417"/>
      <c r="I56" s="417"/>
      <c r="J56" s="417">
        <f>F56*I56</f>
        <v>0</v>
      </c>
      <c r="K56" s="417"/>
      <c r="L56" s="417"/>
      <c r="M56" s="417">
        <f>J56</f>
        <v>0</v>
      </c>
    </row>
    <row r="57" spans="1:13" s="556" customFormat="1" ht="13.5">
      <c r="A57" s="28"/>
      <c r="B57" s="28"/>
      <c r="C57" s="28" t="s">
        <v>52</v>
      </c>
      <c r="D57" s="28" t="s">
        <v>45</v>
      </c>
      <c r="E57" s="433">
        <v>0.0424</v>
      </c>
      <c r="F57" s="417">
        <f>F53*E57</f>
        <v>0.6784</v>
      </c>
      <c r="G57" s="417"/>
      <c r="H57" s="417"/>
      <c r="I57" s="417"/>
      <c r="J57" s="417">
        <f>F57*I57</f>
        <v>0</v>
      </c>
      <c r="K57" s="417"/>
      <c r="L57" s="417"/>
      <c r="M57" s="417">
        <f>J57</f>
        <v>0</v>
      </c>
    </row>
    <row r="58" spans="1:13" s="556" customFormat="1" ht="22.5" customHeight="1">
      <c r="A58" s="322">
        <v>6</v>
      </c>
      <c r="B58" s="434" t="s">
        <v>208</v>
      </c>
      <c r="C58" s="135" t="s">
        <v>210</v>
      </c>
      <c r="D58" s="322" t="s">
        <v>50</v>
      </c>
      <c r="E58" s="435"/>
      <c r="F58" s="432">
        <v>16</v>
      </c>
      <c r="G58" s="432"/>
      <c r="H58" s="432"/>
      <c r="I58" s="432"/>
      <c r="J58" s="432"/>
      <c r="K58" s="432"/>
      <c r="L58" s="432"/>
      <c r="M58" s="432"/>
    </row>
    <row r="59" spans="1:13" s="556" customFormat="1" ht="13.5">
      <c r="A59" s="28"/>
      <c r="B59" s="559"/>
      <c r="C59" s="28" t="s">
        <v>43</v>
      </c>
      <c r="D59" s="28" t="s">
        <v>15</v>
      </c>
      <c r="E59" s="433">
        <v>0.663</v>
      </c>
      <c r="F59" s="417">
        <f>F58*E59</f>
        <v>10.608</v>
      </c>
      <c r="G59" s="417"/>
      <c r="H59" s="417">
        <f>F59*G59</f>
        <v>0</v>
      </c>
      <c r="I59" s="417"/>
      <c r="J59" s="417"/>
      <c r="K59" s="417"/>
      <c r="L59" s="417"/>
      <c r="M59" s="417">
        <f>H59</f>
        <v>0</v>
      </c>
    </row>
    <row r="60" spans="1:13" s="556" customFormat="1" ht="13.5">
      <c r="A60" s="28"/>
      <c r="B60" s="28"/>
      <c r="C60" s="28" t="s">
        <v>44</v>
      </c>
      <c r="D60" s="28" t="s">
        <v>45</v>
      </c>
      <c r="E60" s="433">
        <v>0.046</v>
      </c>
      <c r="F60" s="417">
        <f>F58*E60</f>
        <v>0.736</v>
      </c>
      <c r="G60" s="417"/>
      <c r="H60" s="417"/>
      <c r="I60" s="417"/>
      <c r="J60" s="417"/>
      <c r="K60" s="417"/>
      <c r="L60" s="417">
        <f>F60*K60</f>
        <v>0</v>
      </c>
      <c r="M60" s="417">
        <f>L60</f>
        <v>0</v>
      </c>
    </row>
    <row r="61" spans="1:13" s="556" customFormat="1" ht="13.5">
      <c r="A61" s="28"/>
      <c r="B61" s="28"/>
      <c r="C61" s="28" t="s">
        <v>209</v>
      </c>
      <c r="D61" s="28" t="s">
        <v>50</v>
      </c>
      <c r="E61" s="433">
        <v>1</v>
      </c>
      <c r="F61" s="417">
        <f>F58*E61</f>
        <v>16</v>
      </c>
      <c r="G61" s="417"/>
      <c r="H61" s="417"/>
      <c r="I61" s="417"/>
      <c r="J61" s="417">
        <f>F61*I61</f>
        <v>0</v>
      </c>
      <c r="K61" s="417"/>
      <c r="L61" s="417"/>
      <c r="M61" s="417">
        <f>J61</f>
        <v>0</v>
      </c>
    </row>
    <row r="62" spans="1:13" s="556" customFormat="1" ht="13.5">
      <c r="A62" s="28"/>
      <c r="B62" s="28"/>
      <c r="C62" s="28" t="s">
        <v>52</v>
      </c>
      <c r="D62" s="28" t="s">
        <v>45</v>
      </c>
      <c r="E62" s="433">
        <v>0.028</v>
      </c>
      <c r="F62" s="417">
        <f>F58*E62</f>
        <v>0.448</v>
      </c>
      <c r="G62" s="417"/>
      <c r="H62" s="417"/>
      <c r="I62" s="417"/>
      <c r="J62" s="417">
        <f>F62*I62</f>
        <v>0</v>
      </c>
      <c r="K62" s="417"/>
      <c r="L62" s="417"/>
      <c r="M62" s="417">
        <f>J62</f>
        <v>0</v>
      </c>
    </row>
    <row r="63" spans="1:65" s="397" customFormat="1" ht="13.5">
      <c r="A63" s="258"/>
      <c r="B63" s="258"/>
      <c r="C63" s="135" t="s">
        <v>24</v>
      </c>
      <c r="D63" s="259"/>
      <c r="E63" s="260"/>
      <c r="F63" s="458"/>
      <c r="G63" s="747"/>
      <c r="H63" s="432">
        <f>SUM(H7:H62)</f>
        <v>0</v>
      </c>
      <c r="I63" s="749"/>
      <c r="J63" s="432">
        <f>SUM(J7:J62)</f>
        <v>0</v>
      </c>
      <c r="K63" s="749"/>
      <c r="L63" s="432">
        <f>SUM(L7:L62)</f>
        <v>0</v>
      </c>
      <c r="M63" s="432">
        <f>L63+J63+H63</f>
        <v>0</v>
      </c>
      <c r="N63" s="395"/>
      <c r="O63" s="395"/>
      <c r="P63" s="395"/>
      <c r="Q63" s="395"/>
      <c r="R63" s="459"/>
      <c r="S63" s="460"/>
      <c r="X63" s="395"/>
      <c r="Y63" s="395"/>
      <c r="Z63" s="395"/>
      <c r="AA63" s="395"/>
      <c r="AB63" s="395"/>
      <c r="AC63" s="395"/>
      <c r="AD63" s="395"/>
      <c r="AE63" s="395"/>
      <c r="AF63" s="395"/>
      <c r="AG63" s="395"/>
      <c r="AH63" s="395"/>
      <c r="AI63" s="395"/>
      <c r="AJ63" s="395"/>
      <c r="AK63" s="395"/>
      <c r="AL63" s="395"/>
      <c r="AM63" s="395"/>
      <c r="AN63" s="395"/>
      <c r="AO63" s="395"/>
      <c r="AP63" s="395"/>
      <c r="AQ63" s="395"/>
      <c r="AR63" s="395"/>
      <c r="AS63" s="395"/>
      <c r="AT63" s="395"/>
      <c r="AU63" s="395"/>
      <c r="AV63" s="395"/>
      <c r="AW63" s="395"/>
      <c r="AX63" s="395"/>
      <c r="AY63" s="395"/>
      <c r="AZ63" s="395"/>
      <c r="BA63" s="395"/>
      <c r="BB63" s="395"/>
      <c r="BC63" s="395"/>
      <c r="BD63" s="395"/>
      <c r="BE63" s="395"/>
      <c r="BF63" s="395"/>
      <c r="BG63" s="395"/>
      <c r="BH63" s="395"/>
      <c r="BI63" s="395"/>
      <c r="BJ63" s="395"/>
      <c r="BK63" s="395"/>
      <c r="BL63" s="395"/>
      <c r="BM63" s="395"/>
    </row>
    <row r="64" spans="1:65" s="397" customFormat="1" ht="13.5">
      <c r="A64" s="264"/>
      <c r="B64" s="264"/>
      <c r="C64" s="135" t="s">
        <v>30</v>
      </c>
      <c r="D64" s="265">
        <v>0</v>
      </c>
      <c r="E64" s="260"/>
      <c r="F64" s="461"/>
      <c r="G64" s="747"/>
      <c r="H64" s="749"/>
      <c r="I64" s="749"/>
      <c r="J64" s="749"/>
      <c r="K64" s="749"/>
      <c r="L64" s="432"/>
      <c r="M64" s="432">
        <f>M63*D64</f>
        <v>0</v>
      </c>
      <c r="N64" s="395"/>
      <c r="O64" s="395"/>
      <c r="P64" s="395"/>
      <c r="Q64" s="395"/>
      <c r="R64" s="395"/>
      <c r="S64" s="396"/>
      <c r="X64" s="395"/>
      <c r="Y64" s="395"/>
      <c r="Z64" s="395"/>
      <c r="AA64" s="395"/>
      <c r="AB64" s="395"/>
      <c r="AC64" s="395"/>
      <c r="AD64" s="395"/>
      <c r="AE64" s="395"/>
      <c r="AF64" s="395"/>
      <c r="AG64" s="395"/>
      <c r="AH64" s="395"/>
      <c r="AI64" s="395"/>
      <c r="AJ64" s="395"/>
      <c r="AK64" s="395"/>
      <c r="AL64" s="395"/>
      <c r="AM64" s="395"/>
      <c r="AN64" s="395"/>
      <c r="AO64" s="395"/>
      <c r="AP64" s="395"/>
      <c r="AQ64" s="395"/>
      <c r="AR64" s="395"/>
      <c r="AS64" s="395"/>
      <c r="AT64" s="395"/>
      <c r="AU64" s="395"/>
      <c r="AV64" s="395"/>
      <c r="AW64" s="395"/>
      <c r="AX64" s="395"/>
      <c r="AY64" s="395"/>
      <c r="AZ64" s="395"/>
      <c r="BA64" s="395"/>
      <c r="BB64" s="395"/>
      <c r="BC64" s="395"/>
      <c r="BD64" s="395"/>
      <c r="BE64" s="395"/>
      <c r="BF64" s="395"/>
      <c r="BG64" s="395"/>
      <c r="BH64" s="395"/>
      <c r="BI64" s="395"/>
      <c r="BJ64" s="395"/>
      <c r="BK64" s="395"/>
      <c r="BL64" s="395"/>
      <c r="BM64" s="395"/>
    </row>
    <row r="65" spans="1:65" s="397" customFormat="1" ht="13.5">
      <c r="A65" s="264"/>
      <c r="B65" s="264"/>
      <c r="C65" s="135" t="s">
        <v>0</v>
      </c>
      <c r="D65" s="265"/>
      <c r="E65" s="462"/>
      <c r="F65" s="461"/>
      <c r="G65" s="747"/>
      <c r="H65" s="749"/>
      <c r="I65" s="749"/>
      <c r="J65" s="749"/>
      <c r="K65" s="749"/>
      <c r="L65" s="432"/>
      <c r="M65" s="432">
        <f>M63+M64</f>
        <v>0</v>
      </c>
      <c r="N65" s="395"/>
      <c r="O65" s="395"/>
      <c r="P65" s="395"/>
      <c r="Q65" s="395"/>
      <c r="R65" s="395"/>
      <c r="S65" s="396"/>
      <c r="X65" s="395"/>
      <c r="Y65" s="395"/>
      <c r="Z65" s="395"/>
      <c r="AA65" s="395"/>
      <c r="AB65" s="395"/>
      <c r="AC65" s="395"/>
      <c r="AD65" s="395"/>
      <c r="AE65" s="395"/>
      <c r="AF65" s="395"/>
      <c r="AG65" s="395"/>
      <c r="AH65" s="395"/>
      <c r="AI65" s="395"/>
      <c r="AJ65" s="395"/>
      <c r="AK65" s="395"/>
      <c r="AL65" s="395"/>
      <c r="AM65" s="395"/>
      <c r="AN65" s="395"/>
      <c r="AO65" s="395"/>
      <c r="AP65" s="395"/>
      <c r="AQ65" s="395"/>
      <c r="AR65" s="395"/>
      <c r="AS65" s="395"/>
      <c r="AT65" s="395"/>
      <c r="AU65" s="395"/>
      <c r="AV65" s="395"/>
      <c r="AW65" s="395"/>
      <c r="AX65" s="395"/>
      <c r="AY65" s="395"/>
      <c r="AZ65" s="395"/>
      <c r="BA65" s="395"/>
      <c r="BB65" s="395"/>
      <c r="BC65" s="395"/>
      <c r="BD65" s="395"/>
      <c r="BE65" s="395"/>
      <c r="BF65" s="395"/>
      <c r="BG65" s="395"/>
      <c r="BH65" s="395"/>
      <c r="BI65" s="395"/>
      <c r="BJ65" s="395"/>
      <c r="BK65" s="395"/>
      <c r="BL65" s="395"/>
      <c r="BM65" s="395"/>
    </row>
    <row r="66" spans="1:65" s="397" customFormat="1" ht="13.5">
      <c r="A66" s="264"/>
      <c r="B66" s="264"/>
      <c r="C66" s="135" t="s">
        <v>17</v>
      </c>
      <c r="D66" s="265">
        <v>0</v>
      </c>
      <c r="E66" s="260"/>
      <c r="F66" s="461"/>
      <c r="G66" s="747"/>
      <c r="H66" s="749"/>
      <c r="I66" s="749"/>
      <c r="J66" s="749"/>
      <c r="K66" s="749"/>
      <c r="L66" s="432"/>
      <c r="M66" s="432">
        <f>M65*D66</f>
        <v>0</v>
      </c>
      <c r="N66" s="395"/>
      <c r="O66" s="395"/>
      <c r="P66" s="395"/>
      <c r="Q66" s="395"/>
      <c r="R66" s="395"/>
      <c r="S66" s="396"/>
      <c r="X66" s="395"/>
      <c r="Y66" s="395"/>
      <c r="Z66" s="395"/>
      <c r="AA66" s="395"/>
      <c r="AB66" s="395"/>
      <c r="AC66" s="395"/>
      <c r="AD66" s="395"/>
      <c r="AE66" s="395"/>
      <c r="AF66" s="395"/>
      <c r="AG66" s="395"/>
      <c r="AH66" s="395"/>
      <c r="AI66" s="395"/>
      <c r="AJ66" s="395"/>
      <c r="AK66" s="395"/>
      <c r="AL66" s="395"/>
      <c r="AM66" s="395"/>
      <c r="AN66" s="395"/>
      <c r="AO66" s="395"/>
      <c r="AP66" s="395"/>
      <c r="AQ66" s="395"/>
      <c r="AR66" s="395"/>
      <c r="AS66" s="395"/>
      <c r="AT66" s="395"/>
      <c r="AU66" s="395"/>
      <c r="AV66" s="395"/>
      <c r="AW66" s="395"/>
      <c r="AX66" s="395"/>
      <c r="AY66" s="395"/>
      <c r="AZ66" s="395"/>
      <c r="BA66" s="395"/>
      <c r="BB66" s="395"/>
      <c r="BC66" s="395"/>
      <c r="BD66" s="395"/>
      <c r="BE66" s="395"/>
      <c r="BF66" s="395"/>
      <c r="BG66" s="395"/>
      <c r="BH66" s="395"/>
      <c r="BI66" s="395"/>
      <c r="BJ66" s="395"/>
      <c r="BK66" s="395"/>
      <c r="BL66" s="395"/>
      <c r="BM66" s="395"/>
    </row>
    <row r="67" spans="1:65" s="397" customFormat="1" ht="13.5">
      <c r="A67" s="264"/>
      <c r="B67" s="264"/>
      <c r="C67" s="135" t="s">
        <v>18</v>
      </c>
      <c r="D67" s="259"/>
      <c r="E67" s="260"/>
      <c r="F67" s="461"/>
      <c r="G67" s="747"/>
      <c r="H67" s="749"/>
      <c r="I67" s="749"/>
      <c r="J67" s="749"/>
      <c r="K67" s="749"/>
      <c r="L67" s="432"/>
      <c r="M67" s="432">
        <f>SUM(M65:M66)</f>
        <v>0</v>
      </c>
      <c r="N67" s="395"/>
      <c r="O67" s="395"/>
      <c r="P67" s="395"/>
      <c r="Q67" s="395"/>
      <c r="R67" s="395"/>
      <c r="S67" s="396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395"/>
      <c r="AP67" s="395"/>
      <c r="AQ67" s="395"/>
      <c r="AR67" s="395"/>
      <c r="AS67" s="395"/>
      <c r="AT67" s="395"/>
      <c r="AU67" s="395"/>
      <c r="AV67" s="395"/>
      <c r="AW67" s="395"/>
      <c r="AX67" s="395"/>
      <c r="AY67" s="395"/>
      <c r="AZ67" s="395"/>
      <c r="BA67" s="395"/>
      <c r="BB67" s="395"/>
      <c r="BC67" s="395"/>
      <c r="BD67" s="395"/>
      <c r="BE67" s="395"/>
      <c r="BF67" s="395"/>
      <c r="BG67" s="395"/>
      <c r="BH67" s="395"/>
      <c r="BI67" s="395"/>
      <c r="BJ67" s="395"/>
      <c r="BK67" s="395"/>
      <c r="BL67" s="395"/>
      <c r="BM67" s="395"/>
    </row>
    <row r="68" spans="1:65" s="397" customFormat="1" ht="13.5">
      <c r="A68" s="711"/>
      <c r="B68" s="711"/>
      <c r="C68" s="712"/>
      <c r="D68" s="713"/>
      <c r="E68" s="714"/>
      <c r="F68" s="715"/>
      <c r="G68" s="319"/>
      <c r="H68" s="716"/>
      <c r="I68" s="716"/>
      <c r="J68" s="716"/>
      <c r="K68" s="716"/>
      <c r="L68" s="717"/>
      <c r="M68" s="717"/>
      <c r="N68" s="395"/>
      <c r="O68" s="395"/>
      <c r="P68" s="395"/>
      <c r="Q68" s="395"/>
      <c r="R68" s="395"/>
      <c r="S68" s="396"/>
      <c r="X68" s="395"/>
      <c r="Y68" s="395"/>
      <c r="Z68" s="395"/>
      <c r="AA68" s="395"/>
      <c r="AB68" s="395"/>
      <c r="AC68" s="395"/>
      <c r="AD68" s="395"/>
      <c r="AE68" s="395"/>
      <c r="AF68" s="395"/>
      <c r="AG68" s="395"/>
      <c r="AH68" s="395"/>
      <c r="AI68" s="395"/>
      <c r="AJ68" s="395"/>
      <c r="AK68" s="395"/>
      <c r="AL68" s="395"/>
      <c r="AM68" s="395"/>
      <c r="AN68" s="395"/>
      <c r="AO68" s="395"/>
      <c r="AP68" s="395"/>
      <c r="AQ68" s="395"/>
      <c r="AR68" s="395"/>
      <c r="AS68" s="395"/>
      <c r="AT68" s="395"/>
      <c r="AU68" s="395"/>
      <c r="AV68" s="395"/>
      <c r="AW68" s="395"/>
      <c r="AX68" s="395"/>
      <c r="AY68" s="395"/>
      <c r="AZ68" s="395"/>
      <c r="BA68" s="395"/>
      <c r="BB68" s="395"/>
      <c r="BC68" s="395"/>
      <c r="BD68" s="395"/>
      <c r="BE68" s="395"/>
      <c r="BF68" s="395"/>
      <c r="BG68" s="395"/>
      <c r="BH68" s="395"/>
      <c r="BI68" s="395"/>
      <c r="BJ68" s="395"/>
      <c r="BK68" s="395"/>
      <c r="BL68" s="395"/>
      <c r="BM68" s="395"/>
    </row>
  </sheetData>
  <sheetProtection/>
  <mergeCells count="11">
    <mergeCell ref="G4:H4"/>
    <mergeCell ref="I4:J4"/>
    <mergeCell ref="K4:L4"/>
    <mergeCell ref="M4:M5"/>
    <mergeCell ref="A1:O1"/>
    <mergeCell ref="C2:N2"/>
    <mergeCell ref="A3:M3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238"/>
  <sheetViews>
    <sheetView view="pageBreakPreview" zoomScaleNormal="90" zoomScaleSheetLayoutView="100" zoomScalePageLayoutView="0" workbookViewId="0" topLeftCell="A226">
      <selection activeCell="A243" sqref="A243:IV243"/>
    </sheetView>
  </sheetViews>
  <sheetFormatPr defaultColWidth="9.140625" defaultRowHeight="15"/>
  <cols>
    <col min="1" max="1" width="4.57421875" style="207" customWidth="1"/>
    <col min="2" max="2" width="9.7109375" style="177" customWidth="1"/>
    <col min="3" max="3" width="40.7109375" style="396" customWidth="1"/>
    <col min="4" max="4" width="9.28125" style="396" bestFit="1" customWidth="1"/>
    <col min="5" max="5" width="11.57421875" style="395" bestFit="1" customWidth="1"/>
    <col min="6" max="6" width="12.421875" style="395" bestFit="1" customWidth="1"/>
    <col min="7" max="7" width="9.421875" style="395" customWidth="1"/>
    <col min="8" max="8" width="11.28125" style="395" bestFit="1" customWidth="1"/>
    <col min="9" max="9" width="9.421875" style="395" customWidth="1"/>
    <col min="10" max="10" width="11.421875" style="395" bestFit="1" customWidth="1"/>
    <col min="11" max="12" width="9.28125" style="395" bestFit="1" customWidth="1"/>
    <col min="13" max="13" width="11.7109375" style="395" bestFit="1" customWidth="1"/>
    <col min="14" max="16" width="0" style="395" hidden="1" customWidth="1"/>
    <col min="17" max="17" width="34.57421875" style="395" hidden="1" customWidth="1"/>
    <col min="18" max="16384" width="9.140625" style="395" customWidth="1"/>
  </cols>
  <sheetData>
    <row r="1" spans="1:17" s="177" customFormat="1" ht="28.5" customHeight="1">
      <c r="A1" s="208"/>
      <c r="B1" s="1081" t="s">
        <v>1216</v>
      </c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</row>
    <row r="2" spans="1:17" s="177" customFormat="1" ht="15.75">
      <c r="A2" s="208"/>
      <c r="B2" s="1080" t="s">
        <v>606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477"/>
      <c r="Q2" s="477"/>
    </row>
    <row r="3" spans="1:17" s="177" customFormat="1" ht="15.75">
      <c r="A3" s="208"/>
      <c r="B3" s="1082" t="s">
        <v>607</v>
      </c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92"/>
      <c r="N3" s="477"/>
      <c r="O3" s="477"/>
      <c r="P3" s="477"/>
      <c r="Q3" s="477"/>
    </row>
    <row r="4" spans="1:13" ht="54.75" customHeight="1">
      <c r="A4" s="1084" t="s">
        <v>1</v>
      </c>
      <c r="B4" s="1084" t="s">
        <v>72</v>
      </c>
      <c r="C4" s="1085" t="s">
        <v>59</v>
      </c>
      <c r="D4" s="1083" t="s">
        <v>73</v>
      </c>
      <c r="E4" s="1083"/>
      <c r="F4" s="1083"/>
      <c r="G4" s="1083" t="s">
        <v>74</v>
      </c>
      <c r="H4" s="1083"/>
      <c r="I4" s="1083" t="s">
        <v>75</v>
      </c>
      <c r="J4" s="1083"/>
      <c r="K4" s="1066" t="s">
        <v>76</v>
      </c>
      <c r="L4" s="1066"/>
      <c r="M4" s="1083" t="s">
        <v>0</v>
      </c>
    </row>
    <row r="5" spans="1:13" ht="27">
      <c r="A5" s="1084"/>
      <c r="B5" s="1084"/>
      <c r="C5" s="1085"/>
      <c r="D5" s="398" t="s">
        <v>77</v>
      </c>
      <c r="E5" s="398" t="s">
        <v>78</v>
      </c>
      <c r="F5" s="398" t="s">
        <v>78</v>
      </c>
      <c r="G5" s="317" t="s">
        <v>80</v>
      </c>
      <c r="H5" s="398" t="s">
        <v>79</v>
      </c>
      <c r="I5" s="317" t="s">
        <v>80</v>
      </c>
      <c r="J5" s="398" t="s">
        <v>79</v>
      </c>
      <c r="K5" s="317" t="s">
        <v>80</v>
      </c>
      <c r="L5" s="398" t="s">
        <v>79</v>
      </c>
      <c r="M5" s="1083"/>
    </row>
    <row r="6" spans="1:13" ht="13.5">
      <c r="A6" s="399" t="s">
        <v>2</v>
      </c>
      <c r="B6" s="399" t="s">
        <v>3</v>
      </c>
      <c r="C6" s="399" t="s">
        <v>4</v>
      </c>
      <c r="D6" s="399" t="s">
        <v>5</v>
      </c>
      <c r="E6" s="399" t="s">
        <v>6</v>
      </c>
      <c r="F6" s="399" t="s">
        <v>7</v>
      </c>
      <c r="G6" s="399" t="s">
        <v>8</v>
      </c>
      <c r="H6" s="399" t="s">
        <v>9</v>
      </c>
      <c r="I6" s="399" t="s">
        <v>10</v>
      </c>
      <c r="J6" s="399" t="s">
        <v>11</v>
      </c>
      <c r="K6" s="399" t="s">
        <v>12</v>
      </c>
      <c r="L6" s="399" t="s">
        <v>13</v>
      </c>
      <c r="M6" s="399" t="s">
        <v>14</v>
      </c>
    </row>
    <row r="7" spans="1:13" s="410" customFormat="1" ht="24" customHeight="1">
      <c r="A7" s="560"/>
      <c r="B7" s="31"/>
      <c r="C7" s="590" t="s">
        <v>418</v>
      </c>
      <c r="D7" s="252"/>
      <c r="E7" s="562"/>
      <c r="F7" s="563"/>
      <c r="G7" s="564"/>
      <c r="H7" s="563"/>
      <c r="I7" s="564"/>
      <c r="J7" s="563"/>
      <c r="K7" s="564"/>
      <c r="L7" s="563"/>
      <c r="M7" s="564"/>
    </row>
    <row r="8" spans="1:13" s="111" customFormat="1" ht="47.25">
      <c r="A8" s="372">
        <v>1</v>
      </c>
      <c r="B8" s="111" t="s">
        <v>433</v>
      </c>
      <c r="C8" s="140" t="s">
        <v>852</v>
      </c>
      <c r="D8" s="133" t="s">
        <v>51</v>
      </c>
      <c r="E8" s="468"/>
      <c r="F8" s="594">
        <v>1</v>
      </c>
      <c r="G8" s="593"/>
      <c r="H8" s="593"/>
      <c r="I8" s="469"/>
      <c r="J8" s="133"/>
      <c r="K8" s="593"/>
      <c r="L8" s="593"/>
      <c r="M8" s="469"/>
    </row>
    <row r="9" spans="1:13" s="246" customFormat="1" ht="15.75">
      <c r="A9" s="239"/>
      <c r="B9" s="566"/>
      <c r="C9" s="46" t="s">
        <v>43</v>
      </c>
      <c r="D9" s="46" t="s">
        <v>15</v>
      </c>
      <c r="E9" s="388">
        <v>31.2</v>
      </c>
      <c r="F9" s="467">
        <f>F8*E9</f>
        <v>31.2</v>
      </c>
      <c r="G9" s="719"/>
      <c r="H9" s="719">
        <f>F9*G9</f>
        <v>0</v>
      </c>
      <c r="I9" s="719"/>
      <c r="J9" s="719"/>
      <c r="K9" s="719"/>
      <c r="L9" s="719"/>
      <c r="M9" s="719">
        <f>H9</f>
        <v>0</v>
      </c>
    </row>
    <row r="10" spans="1:13" s="246" customFormat="1" ht="15.75">
      <c r="A10" s="239"/>
      <c r="B10" s="324"/>
      <c r="C10" s="46" t="s">
        <v>44</v>
      </c>
      <c r="D10" s="46" t="s">
        <v>45</v>
      </c>
      <c r="E10" s="388">
        <v>2.3</v>
      </c>
      <c r="F10" s="390">
        <f>F8*E10</f>
        <v>2.3</v>
      </c>
      <c r="G10" s="719"/>
      <c r="H10" s="719"/>
      <c r="I10" s="719"/>
      <c r="J10" s="719"/>
      <c r="K10" s="719"/>
      <c r="L10" s="719">
        <f>F10*K10</f>
        <v>0</v>
      </c>
      <c r="M10" s="719">
        <f>L10</f>
        <v>0</v>
      </c>
    </row>
    <row r="11" spans="1:13" s="111" customFormat="1" ht="15.75">
      <c r="A11" s="372"/>
      <c r="C11" s="133" t="s">
        <v>434</v>
      </c>
      <c r="D11" s="133" t="s">
        <v>51</v>
      </c>
      <c r="E11" s="468">
        <v>1</v>
      </c>
      <c r="F11" s="469">
        <f>F8</f>
        <v>1</v>
      </c>
      <c r="G11" s="137"/>
      <c r="H11" s="137"/>
      <c r="I11" s="137"/>
      <c r="J11" s="137">
        <f>F11*I11</f>
        <v>0</v>
      </c>
      <c r="K11" s="137"/>
      <c r="L11" s="137"/>
      <c r="M11" s="137">
        <f>J11</f>
        <v>0</v>
      </c>
    </row>
    <row r="12" spans="1:13" s="246" customFormat="1" ht="16.5">
      <c r="A12" s="242"/>
      <c r="B12" s="243"/>
      <c r="C12" s="46" t="s">
        <v>52</v>
      </c>
      <c r="D12" s="46" t="s">
        <v>45</v>
      </c>
      <c r="E12" s="388">
        <v>3.17</v>
      </c>
      <c r="F12" s="390">
        <f>F8*E12</f>
        <v>3.17</v>
      </c>
      <c r="G12" s="788"/>
      <c r="H12" s="788"/>
      <c r="I12" s="719"/>
      <c r="J12" s="719">
        <f>F12*I12</f>
        <v>0</v>
      </c>
      <c r="K12" s="788"/>
      <c r="L12" s="788"/>
      <c r="M12" s="719">
        <f>J12</f>
        <v>0</v>
      </c>
    </row>
    <row r="13" spans="1:13" s="111" customFormat="1" ht="47.25">
      <c r="A13" s="372">
        <v>2</v>
      </c>
      <c r="B13" s="567" t="s">
        <v>438</v>
      </c>
      <c r="C13" s="140" t="s">
        <v>442</v>
      </c>
      <c r="D13" s="133" t="s">
        <v>82</v>
      </c>
      <c r="E13" s="468"/>
      <c r="F13" s="469">
        <v>1</v>
      </c>
      <c r="G13" s="789"/>
      <c r="H13" s="789"/>
      <c r="I13" s="137"/>
      <c r="J13" s="137"/>
      <c r="K13" s="789"/>
      <c r="L13" s="789"/>
      <c r="M13" s="137"/>
    </row>
    <row r="14" spans="1:13" s="246" customFormat="1" ht="15.75">
      <c r="A14" s="239"/>
      <c r="C14" s="46" t="s">
        <v>43</v>
      </c>
      <c r="D14" s="46" t="s">
        <v>15</v>
      </c>
      <c r="E14" s="388">
        <v>16.6</v>
      </c>
      <c r="F14" s="390">
        <f>F13*E14</f>
        <v>16.6</v>
      </c>
      <c r="G14" s="719"/>
      <c r="H14" s="719">
        <f>F14*G14</f>
        <v>0</v>
      </c>
      <c r="I14" s="719"/>
      <c r="J14" s="719"/>
      <c r="K14" s="719"/>
      <c r="L14" s="719"/>
      <c r="M14" s="719">
        <f>H14</f>
        <v>0</v>
      </c>
    </row>
    <row r="15" spans="1:13" s="246" customFormat="1" ht="15.75">
      <c r="A15" s="239"/>
      <c r="B15" s="324"/>
      <c r="C15" s="46" t="s">
        <v>44</v>
      </c>
      <c r="D15" s="46" t="s">
        <v>45</v>
      </c>
      <c r="E15" s="388">
        <v>0.72</v>
      </c>
      <c r="F15" s="390">
        <f>F13*E15</f>
        <v>0.72</v>
      </c>
      <c r="G15" s="719"/>
      <c r="H15" s="719"/>
      <c r="I15" s="719"/>
      <c r="J15" s="719"/>
      <c r="K15" s="719"/>
      <c r="L15" s="719">
        <f>F15*K15</f>
        <v>0</v>
      </c>
      <c r="M15" s="719">
        <f>L15</f>
        <v>0</v>
      </c>
    </row>
    <row r="16" spans="1:13" s="111" customFormat="1" ht="15.75">
      <c r="A16" s="372"/>
      <c r="C16" s="133" t="s">
        <v>434</v>
      </c>
      <c r="D16" s="133" t="s">
        <v>82</v>
      </c>
      <c r="E16" s="468">
        <v>1</v>
      </c>
      <c r="F16" s="469">
        <f>F13*E16</f>
        <v>1</v>
      </c>
      <c r="G16" s="137"/>
      <c r="H16" s="137"/>
      <c r="I16" s="137"/>
      <c r="J16" s="137">
        <f>F16*I16</f>
        <v>0</v>
      </c>
      <c r="K16" s="137"/>
      <c r="L16" s="137"/>
      <c r="M16" s="137">
        <f>J16</f>
        <v>0</v>
      </c>
    </row>
    <row r="17" spans="1:13" s="246" customFormat="1" ht="16.5">
      <c r="A17" s="242"/>
      <c r="B17" s="243"/>
      <c r="C17" s="46" t="s">
        <v>52</v>
      </c>
      <c r="D17" s="46" t="s">
        <v>45</v>
      </c>
      <c r="E17" s="388">
        <v>1.76</v>
      </c>
      <c r="F17" s="390">
        <f>F13*E17</f>
        <v>1.76</v>
      </c>
      <c r="G17" s="788"/>
      <c r="H17" s="788"/>
      <c r="I17" s="719"/>
      <c r="J17" s="719">
        <f>F17*I17</f>
        <v>0</v>
      </c>
      <c r="K17" s="788"/>
      <c r="L17" s="788"/>
      <c r="M17" s="719">
        <f>J17</f>
        <v>0</v>
      </c>
    </row>
    <row r="18" spans="1:13" s="111" customFormat="1" ht="47.25">
      <c r="A18" s="372">
        <v>3</v>
      </c>
      <c r="B18" s="567" t="s">
        <v>438</v>
      </c>
      <c r="C18" s="568" t="s">
        <v>441</v>
      </c>
      <c r="D18" s="133" t="s">
        <v>82</v>
      </c>
      <c r="E18" s="468"/>
      <c r="F18" s="469">
        <v>1</v>
      </c>
      <c r="G18" s="789"/>
      <c r="H18" s="789"/>
      <c r="I18" s="137"/>
      <c r="J18" s="137"/>
      <c r="K18" s="789"/>
      <c r="L18" s="789"/>
      <c r="M18" s="137"/>
    </row>
    <row r="19" spans="1:13" s="246" customFormat="1" ht="15.75">
      <c r="A19" s="239"/>
      <c r="C19" s="46" t="s">
        <v>43</v>
      </c>
      <c r="D19" s="46" t="s">
        <v>15</v>
      </c>
      <c r="E19" s="388">
        <v>16.6</v>
      </c>
      <c r="F19" s="390">
        <f>F18*E19</f>
        <v>16.6</v>
      </c>
      <c r="G19" s="719"/>
      <c r="H19" s="719">
        <f>F19*G19</f>
        <v>0</v>
      </c>
      <c r="I19" s="719"/>
      <c r="J19" s="719"/>
      <c r="K19" s="719"/>
      <c r="L19" s="719"/>
      <c r="M19" s="719">
        <f>H19</f>
        <v>0</v>
      </c>
    </row>
    <row r="20" spans="1:13" s="246" customFormat="1" ht="15.75">
      <c r="A20" s="239"/>
      <c r="B20" s="324"/>
      <c r="C20" s="46" t="s">
        <v>44</v>
      </c>
      <c r="D20" s="46" t="s">
        <v>45</v>
      </c>
      <c r="E20" s="388">
        <v>0.72</v>
      </c>
      <c r="F20" s="390">
        <f>F18*E20</f>
        <v>0.72</v>
      </c>
      <c r="G20" s="719"/>
      <c r="H20" s="719"/>
      <c r="I20" s="719"/>
      <c r="J20" s="719"/>
      <c r="K20" s="719"/>
      <c r="L20" s="719">
        <f>F20*K20</f>
        <v>0</v>
      </c>
      <c r="M20" s="719">
        <f>L20</f>
        <v>0</v>
      </c>
    </row>
    <row r="21" spans="1:13" s="111" customFormat="1" ht="15.75">
      <c r="A21" s="372"/>
      <c r="C21" s="133" t="s">
        <v>434</v>
      </c>
      <c r="D21" s="133" t="s">
        <v>82</v>
      </c>
      <c r="E21" s="468">
        <v>1</v>
      </c>
      <c r="F21" s="469">
        <f>F18*E21</f>
        <v>1</v>
      </c>
      <c r="G21" s="137"/>
      <c r="H21" s="137"/>
      <c r="I21" s="137"/>
      <c r="J21" s="137">
        <f>F21*I21</f>
        <v>0</v>
      </c>
      <c r="K21" s="137"/>
      <c r="L21" s="137"/>
      <c r="M21" s="137">
        <f>J21</f>
        <v>0</v>
      </c>
    </row>
    <row r="22" spans="1:13" s="246" customFormat="1" ht="16.5">
      <c r="A22" s="242"/>
      <c r="B22" s="243"/>
      <c r="C22" s="46" t="s">
        <v>52</v>
      </c>
      <c r="D22" s="46" t="s">
        <v>45</v>
      </c>
      <c r="E22" s="388">
        <v>1.76</v>
      </c>
      <c r="F22" s="390">
        <f>F18*E22</f>
        <v>1.76</v>
      </c>
      <c r="G22" s="788"/>
      <c r="H22" s="788"/>
      <c r="I22" s="719"/>
      <c r="J22" s="719">
        <f>F22*I22</f>
        <v>0</v>
      </c>
      <c r="K22" s="788"/>
      <c r="L22" s="788"/>
      <c r="M22" s="719">
        <f>J22</f>
        <v>0</v>
      </c>
    </row>
    <row r="23" spans="1:13" s="569" customFormat="1" ht="36" customHeight="1">
      <c r="A23" s="157">
        <v>4</v>
      </c>
      <c r="B23" s="434" t="s">
        <v>205</v>
      </c>
      <c r="C23" s="135" t="s">
        <v>828</v>
      </c>
      <c r="D23" s="322" t="s">
        <v>50</v>
      </c>
      <c r="E23" s="435"/>
      <c r="F23" s="432">
        <v>67</v>
      </c>
      <c r="G23" s="432"/>
      <c r="H23" s="432"/>
      <c r="I23" s="432"/>
      <c r="J23" s="432"/>
      <c r="K23" s="432"/>
      <c r="L23" s="432"/>
      <c r="M23" s="432"/>
    </row>
    <row r="24" spans="1:13" s="569" customFormat="1" ht="16.5">
      <c r="A24" s="46"/>
      <c r="B24" s="28"/>
      <c r="C24" s="150" t="s">
        <v>43</v>
      </c>
      <c r="D24" s="28" t="s">
        <v>15</v>
      </c>
      <c r="E24" s="433">
        <v>0.863</v>
      </c>
      <c r="F24" s="417">
        <f>F23*E24</f>
        <v>57.821</v>
      </c>
      <c r="G24" s="417"/>
      <c r="H24" s="417">
        <f>F24*G24</f>
        <v>0</v>
      </c>
      <c r="I24" s="417"/>
      <c r="J24" s="417"/>
      <c r="K24" s="417"/>
      <c r="L24" s="417"/>
      <c r="M24" s="417">
        <f>H24</f>
        <v>0</v>
      </c>
    </row>
    <row r="25" spans="1:13" s="569" customFormat="1" ht="16.5">
      <c r="A25" s="46"/>
      <c r="B25" s="28"/>
      <c r="C25" s="150" t="s">
        <v>44</v>
      </c>
      <c r="D25" s="28" t="s">
        <v>45</v>
      </c>
      <c r="E25" s="433">
        <v>0.0678</v>
      </c>
      <c r="F25" s="417">
        <f>F23*E25</f>
        <v>4.5426</v>
      </c>
      <c r="G25" s="417"/>
      <c r="H25" s="417"/>
      <c r="I25" s="417"/>
      <c r="J25" s="417"/>
      <c r="K25" s="417"/>
      <c r="L25" s="417">
        <f>F25*K25</f>
        <v>0</v>
      </c>
      <c r="M25" s="417">
        <f>L25</f>
        <v>0</v>
      </c>
    </row>
    <row r="26" spans="1:13" s="569" customFormat="1" ht="31.5" customHeight="1">
      <c r="A26" s="46"/>
      <c r="B26" s="28"/>
      <c r="C26" s="33" t="s">
        <v>829</v>
      </c>
      <c r="D26" s="150" t="s">
        <v>50</v>
      </c>
      <c r="E26" s="585">
        <v>1</v>
      </c>
      <c r="F26" s="589">
        <f>F23*E26</f>
        <v>67</v>
      </c>
      <c r="G26" s="589"/>
      <c r="H26" s="589"/>
      <c r="I26" s="589"/>
      <c r="J26" s="589">
        <f>F26*I26</f>
        <v>0</v>
      </c>
      <c r="K26" s="589"/>
      <c r="L26" s="589"/>
      <c r="M26" s="589">
        <f>J26</f>
        <v>0</v>
      </c>
    </row>
    <row r="27" spans="1:13" s="569" customFormat="1" ht="16.5">
      <c r="A27" s="46"/>
      <c r="B27" s="28"/>
      <c r="C27" s="150" t="s">
        <v>52</v>
      </c>
      <c r="D27" s="28" t="s">
        <v>45</v>
      </c>
      <c r="E27" s="433">
        <v>0.0424</v>
      </c>
      <c r="F27" s="417">
        <f>F23*E27</f>
        <v>2.8408</v>
      </c>
      <c r="G27" s="417"/>
      <c r="H27" s="417"/>
      <c r="I27" s="417"/>
      <c r="J27" s="417">
        <f>F27*I27</f>
        <v>0</v>
      </c>
      <c r="K27" s="417"/>
      <c r="L27" s="417"/>
      <c r="M27" s="417">
        <f>J27</f>
        <v>0</v>
      </c>
    </row>
    <row r="28" spans="1:17" s="573" customFormat="1" ht="32.25" customHeight="1">
      <c r="A28" s="570">
        <v>5</v>
      </c>
      <c r="B28" s="599" t="s">
        <v>435</v>
      </c>
      <c r="C28" s="595" t="s">
        <v>794</v>
      </c>
      <c r="D28" s="197" t="s">
        <v>51</v>
      </c>
      <c r="E28" s="33"/>
      <c r="F28" s="598">
        <v>1</v>
      </c>
      <c r="G28" s="790"/>
      <c r="H28" s="791"/>
      <c r="I28" s="790"/>
      <c r="J28" s="791"/>
      <c r="K28" s="790"/>
      <c r="L28" s="791"/>
      <c r="M28" s="791"/>
      <c r="N28" s="571"/>
      <c r="O28" s="572"/>
      <c r="P28" s="572"/>
      <c r="Q28" s="572"/>
    </row>
    <row r="29" spans="1:17" s="573" customFormat="1" ht="16.5" customHeight="1">
      <c r="A29" s="574"/>
      <c r="B29" s="575"/>
      <c r="C29" s="596" t="s">
        <v>48</v>
      </c>
      <c r="D29" s="197" t="s">
        <v>51</v>
      </c>
      <c r="E29" s="391">
        <v>1</v>
      </c>
      <c r="F29" s="597">
        <f>F28*E29</f>
        <v>1</v>
      </c>
      <c r="G29" s="790"/>
      <c r="H29" s="790">
        <f>F29*G29</f>
        <v>0</v>
      </c>
      <c r="I29" s="790"/>
      <c r="J29" s="790"/>
      <c r="K29" s="790"/>
      <c r="L29" s="790"/>
      <c r="M29" s="790">
        <f>H29+J29+L29</f>
        <v>0</v>
      </c>
      <c r="N29" s="576"/>
      <c r="O29" s="572"/>
      <c r="P29" s="572"/>
      <c r="Q29" s="572"/>
    </row>
    <row r="30" spans="1:17" s="573" customFormat="1" ht="16.5" customHeight="1">
      <c r="A30" s="574"/>
      <c r="B30" s="577"/>
      <c r="C30" s="596" t="s">
        <v>436</v>
      </c>
      <c r="D30" s="197" t="s">
        <v>45</v>
      </c>
      <c r="E30" s="34">
        <f>0.22*1.25</f>
        <v>0.275</v>
      </c>
      <c r="F30" s="597">
        <f>F28*E30</f>
        <v>0.275</v>
      </c>
      <c r="G30" s="790"/>
      <c r="H30" s="790"/>
      <c r="I30" s="790"/>
      <c r="J30" s="790"/>
      <c r="K30" s="790"/>
      <c r="L30" s="790">
        <f>F30*K30</f>
        <v>0</v>
      </c>
      <c r="M30" s="790">
        <f>H30+J30+L30</f>
        <v>0</v>
      </c>
      <c r="N30" s="576"/>
      <c r="O30" s="572"/>
      <c r="P30" s="572"/>
      <c r="Q30" s="572"/>
    </row>
    <row r="31" spans="1:17" s="582" customFormat="1" ht="27">
      <c r="A31" s="578"/>
      <c r="B31" s="579"/>
      <c r="C31" s="595" t="s">
        <v>791</v>
      </c>
      <c r="D31" s="197" t="s">
        <v>51</v>
      </c>
      <c r="E31" s="391">
        <v>1</v>
      </c>
      <c r="F31" s="391">
        <f>E31*F28</f>
        <v>1</v>
      </c>
      <c r="G31" s="732"/>
      <c r="H31" s="732"/>
      <c r="I31" s="589"/>
      <c r="J31" s="732">
        <f>F31*I31</f>
        <v>0</v>
      </c>
      <c r="K31" s="732"/>
      <c r="L31" s="732"/>
      <c r="M31" s="732">
        <f>H31+J31+L31</f>
        <v>0</v>
      </c>
      <c r="N31" s="580"/>
      <c r="O31" s="581"/>
      <c r="P31" s="581"/>
      <c r="Q31" s="581"/>
    </row>
    <row r="32" spans="1:17" s="573" customFormat="1" ht="16.5" customHeight="1">
      <c r="A32" s="583"/>
      <c r="B32" s="584"/>
      <c r="C32" s="596" t="s">
        <v>437</v>
      </c>
      <c r="D32" s="197" t="s">
        <v>45</v>
      </c>
      <c r="E32" s="33">
        <v>0.22</v>
      </c>
      <c r="F32" s="597">
        <f>F28*E32</f>
        <v>0.22</v>
      </c>
      <c r="G32" s="790"/>
      <c r="H32" s="790"/>
      <c r="I32" s="790"/>
      <c r="J32" s="790">
        <f>F32*I32</f>
        <v>0</v>
      </c>
      <c r="K32" s="790"/>
      <c r="L32" s="790"/>
      <c r="M32" s="790">
        <f>H32+J32+L32</f>
        <v>0</v>
      </c>
      <c r="N32" s="576"/>
      <c r="O32" s="572"/>
      <c r="P32" s="572"/>
      <c r="Q32" s="572"/>
    </row>
    <row r="33" spans="1:13" s="569" customFormat="1" ht="26.25">
      <c r="A33" s="157">
        <v>6</v>
      </c>
      <c r="B33" s="434" t="s">
        <v>211</v>
      </c>
      <c r="C33" s="135" t="s">
        <v>845</v>
      </c>
      <c r="D33" s="322" t="s">
        <v>50</v>
      </c>
      <c r="E33" s="435"/>
      <c r="F33" s="432">
        <v>12</v>
      </c>
      <c r="G33" s="432"/>
      <c r="H33" s="432"/>
      <c r="I33" s="432"/>
      <c r="J33" s="432"/>
      <c r="K33" s="432"/>
      <c r="L33" s="432"/>
      <c r="M33" s="432"/>
    </row>
    <row r="34" spans="1:13" s="569" customFormat="1" ht="16.5">
      <c r="A34" s="46"/>
      <c r="B34" s="559"/>
      <c r="C34" s="150" t="s">
        <v>43</v>
      </c>
      <c r="D34" s="28" t="s">
        <v>15</v>
      </c>
      <c r="E34" s="433">
        <v>0.767</v>
      </c>
      <c r="F34" s="417">
        <f>F33*E34</f>
        <v>9.204</v>
      </c>
      <c r="G34" s="417"/>
      <c r="H34" s="417">
        <f>F34*G34</f>
        <v>0</v>
      </c>
      <c r="I34" s="417"/>
      <c r="J34" s="417"/>
      <c r="K34" s="417"/>
      <c r="L34" s="417"/>
      <c r="M34" s="417">
        <f>H34</f>
        <v>0</v>
      </c>
    </row>
    <row r="35" spans="1:13" s="569" customFormat="1" ht="16.5">
      <c r="A35" s="46"/>
      <c r="B35" s="28"/>
      <c r="C35" s="150" t="s">
        <v>44</v>
      </c>
      <c r="D35" s="28" t="s">
        <v>45</v>
      </c>
      <c r="E35" s="433">
        <f>5.21/100</f>
        <v>0.0521</v>
      </c>
      <c r="F35" s="417">
        <f>F33*E35</f>
        <v>0.6252</v>
      </c>
      <c r="G35" s="417"/>
      <c r="H35" s="417"/>
      <c r="I35" s="417"/>
      <c r="J35" s="417"/>
      <c r="K35" s="417"/>
      <c r="L35" s="417">
        <f>F35*K35</f>
        <v>0</v>
      </c>
      <c r="M35" s="417">
        <f>L35</f>
        <v>0</v>
      </c>
    </row>
    <row r="36" spans="1:13" s="569" customFormat="1" ht="26.25">
      <c r="A36" s="46"/>
      <c r="B36" s="28"/>
      <c r="C36" s="33" t="s">
        <v>846</v>
      </c>
      <c r="D36" s="28" t="s">
        <v>50</v>
      </c>
      <c r="E36" s="433">
        <v>1</v>
      </c>
      <c r="F36" s="417">
        <f>F33*E36</f>
        <v>12</v>
      </c>
      <c r="G36" s="417"/>
      <c r="H36" s="417"/>
      <c r="I36" s="417"/>
      <c r="J36" s="417">
        <f>F36*I36</f>
        <v>0</v>
      </c>
      <c r="K36" s="417"/>
      <c r="L36" s="417"/>
      <c r="M36" s="417">
        <f>J36</f>
        <v>0</v>
      </c>
    </row>
    <row r="37" spans="1:13" s="569" customFormat="1" ht="16.5">
      <c r="A37" s="46"/>
      <c r="B37" s="28"/>
      <c r="C37" s="150" t="s">
        <v>52</v>
      </c>
      <c r="D37" s="28" t="s">
        <v>45</v>
      </c>
      <c r="E37" s="433">
        <v>0.0344</v>
      </c>
      <c r="F37" s="417">
        <f>F33*E37</f>
        <v>0.4128</v>
      </c>
      <c r="G37" s="417"/>
      <c r="H37" s="417"/>
      <c r="I37" s="417"/>
      <c r="J37" s="417">
        <f>F37*I37</f>
        <v>0</v>
      </c>
      <c r="K37" s="417"/>
      <c r="L37" s="417"/>
      <c r="M37" s="417">
        <f>J37</f>
        <v>0</v>
      </c>
    </row>
    <row r="38" spans="1:13" s="569" customFormat="1" ht="26.25">
      <c r="A38" s="157">
        <v>7</v>
      </c>
      <c r="B38" s="434" t="s">
        <v>208</v>
      </c>
      <c r="C38" s="135" t="s">
        <v>830</v>
      </c>
      <c r="D38" s="322" t="s">
        <v>50</v>
      </c>
      <c r="E38" s="435"/>
      <c r="F38" s="432">
        <v>43</v>
      </c>
      <c r="G38" s="432"/>
      <c r="H38" s="432"/>
      <c r="I38" s="432"/>
      <c r="J38" s="432"/>
      <c r="K38" s="432"/>
      <c r="L38" s="432"/>
      <c r="M38" s="432"/>
    </row>
    <row r="39" spans="1:13" s="569" customFormat="1" ht="16.5">
      <c r="A39" s="46"/>
      <c r="B39" s="559"/>
      <c r="C39" s="150" t="s">
        <v>43</v>
      </c>
      <c r="D39" s="28" t="s">
        <v>15</v>
      </c>
      <c r="E39" s="433">
        <v>0.663</v>
      </c>
      <c r="F39" s="417">
        <f>F38*E39</f>
        <v>28.509</v>
      </c>
      <c r="G39" s="417"/>
      <c r="H39" s="417">
        <f>F39*G39</f>
        <v>0</v>
      </c>
      <c r="I39" s="417"/>
      <c r="J39" s="417"/>
      <c r="K39" s="417"/>
      <c r="L39" s="417"/>
      <c r="M39" s="417">
        <f>H39</f>
        <v>0</v>
      </c>
    </row>
    <row r="40" spans="1:13" s="569" customFormat="1" ht="16.5">
      <c r="A40" s="46"/>
      <c r="B40" s="28"/>
      <c r="C40" s="150" t="s">
        <v>44</v>
      </c>
      <c r="D40" s="28" t="s">
        <v>45</v>
      </c>
      <c r="E40" s="433">
        <v>0.046</v>
      </c>
      <c r="F40" s="417">
        <f>F38*E40</f>
        <v>1.978</v>
      </c>
      <c r="G40" s="417"/>
      <c r="H40" s="417"/>
      <c r="I40" s="417"/>
      <c r="J40" s="417"/>
      <c r="K40" s="417"/>
      <c r="L40" s="417">
        <f>F40*K40</f>
        <v>0</v>
      </c>
      <c r="M40" s="417">
        <f>L40</f>
        <v>0</v>
      </c>
    </row>
    <row r="41" spans="1:13" s="569" customFormat="1" ht="26.25">
      <c r="A41" s="46"/>
      <c r="B41" s="28"/>
      <c r="C41" s="33" t="s">
        <v>847</v>
      </c>
      <c r="D41" s="28" t="s">
        <v>50</v>
      </c>
      <c r="E41" s="433">
        <v>1</v>
      </c>
      <c r="F41" s="417">
        <f>F38*E41</f>
        <v>43</v>
      </c>
      <c r="G41" s="417"/>
      <c r="H41" s="417"/>
      <c r="I41" s="417"/>
      <c r="J41" s="417">
        <f>F41*I41</f>
        <v>0</v>
      </c>
      <c r="K41" s="417"/>
      <c r="L41" s="417"/>
      <c r="M41" s="417">
        <f>J41</f>
        <v>0</v>
      </c>
    </row>
    <row r="42" spans="1:13" s="569" customFormat="1" ht="16.5">
      <c r="A42" s="46"/>
      <c r="B42" s="28"/>
      <c r="C42" s="150" t="s">
        <v>52</v>
      </c>
      <c r="D42" s="28" t="s">
        <v>45</v>
      </c>
      <c r="E42" s="433">
        <v>0.028</v>
      </c>
      <c r="F42" s="417">
        <f>F38*E42</f>
        <v>1.204</v>
      </c>
      <c r="G42" s="417"/>
      <c r="H42" s="417"/>
      <c r="I42" s="417"/>
      <c r="J42" s="417">
        <f>F42*I42</f>
        <v>0</v>
      </c>
      <c r="K42" s="417"/>
      <c r="L42" s="417"/>
      <c r="M42" s="417">
        <f>J42</f>
        <v>0</v>
      </c>
    </row>
    <row r="43" spans="1:13" s="410" customFormat="1" ht="31.5">
      <c r="A43" s="157">
        <v>8</v>
      </c>
      <c r="B43" s="443" t="s">
        <v>401</v>
      </c>
      <c r="C43" s="568" t="s">
        <v>420</v>
      </c>
      <c r="D43" s="301" t="s">
        <v>51</v>
      </c>
      <c r="E43" s="435"/>
      <c r="F43" s="445">
        <v>4</v>
      </c>
      <c r="G43" s="445"/>
      <c r="H43" s="445"/>
      <c r="I43" s="445"/>
      <c r="J43" s="445"/>
      <c r="K43" s="445"/>
      <c r="L43" s="445"/>
      <c r="M43" s="445"/>
    </row>
    <row r="44" spans="1:13" s="410" customFormat="1" ht="15.75">
      <c r="A44" s="46"/>
      <c r="B44" s="28"/>
      <c r="C44" s="46" t="s">
        <v>43</v>
      </c>
      <c r="D44" s="28" t="s">
        <v>15</v>
      </c>
      <c r="E44" s="585">
        <v>2.67</v>
      </c>
      <c r="F44" s="417">
        <f>F43*E44</f>
        <v>10.68</v>
      </c>
      <c r="G44" s="417"/>
      <c r="H44" s="417">
        <f>F44*G44</f>
        <v>0</v>
      </c>
      <c r="I44" s="417"/>
      <c r="J44" s="417"/>
      <c r="K44" s="417"/>
      <c r="L44" s="417"/>
      <c r="M44" s="417">
        <f>H44</f>
        <v>0</v>
      </c>
    </row>
    <row r="45" spans="1:13" s="410" customFormat="1" ht="15.75">
      <c r="A45" s="46"/>
      <c r="B45" s="28"/>
      <c r="C45" s="46" t="s">
        <v>44</v>
      </c>
      <c r="D45" s="28" t="s">
        <v>45</v>
      </c>
      <c r="E45" s="585">
        <v>0.29</v>
      </c>
      <c r="F45" s="417">
        <f>F43*E45</f>
        <v>1.16</v>
      </c>
      <c r="G45" s="417"/>
      <c r="H45" s="417"/>
      <c r="I45" s="417"/>
      <c r="J45" s="417"/>
      <c r="K45" s="417"/>
      <c r="L45" s="417">
        <f>F45*K45</f>
        <v>0</v>
      </c>
      <c r="M45" s="417">
        <f>L45</f>
        <v>0</v>
      </c>
    </row>
    <row r="46" spans="1:13" s="410" customFormat="1" ht="31.5">
      <c r="A46" s="46"/>
      <c r="B46" s="28"/>
      <c r="C46" s="133" t="s">
        <v>404</v>
      </c>
      <c r="D46" s="28" t="s">
        <v>51</v>
      </c>
      <c r="E46" s="585">
        <v>1</v>
      </c>
      <c r="F46" s="417">
        <f>F43*E46</f>
        <v>4</v>
      </c>
      <c r="G46" s="417"/>
      <c r="H46" s="417"/>
      <c r="I46" s="417"/>
      <c r="J46" s="417">
        <f>F46*I46</f>
        <v>0</v>
      </c>
      <c r="K46" s="417"/>
      <c r="L46" s="417"/>
      <c r="M46" s="417">
        <f>J46</f>
        <v>0</v>
      </c>
    </row>
    <row r="47" spans="1:13" s="410" customFormat="1" ht="15.75">
      <c r="A47" s="46"/>
      <c r="B47" s="28"/>
      <c r="C47" s="46" t="s">
        <v>402</v>
      </c>
      <c r="D47" s="28" t="s">
        <v>49</v>
      </c>
      <c r="E47" s="585">
        <v>2</v>
      </c>
      <c r="F47" s="417">
        <f>F43*E47</f>
        <v>8</v>
      </c>
      <c r="G47" s="417"/>
      <c r="H47" s="417"/>
      <c r="I47" s="417"/>
      <c r="J47" s="417">
        <f>F47*I47</f>
        <v>0</v>
      </c>
      <c r="K47" s="417"/>
      <c r="L47" s="417"/>
      <c r="M47" s="417">
        <f>J47</f>
        <v>0</v>
      </c>
    </row>
    <row r="48" spans="1:13" s="410" customFormat="1" ht="15.75">
      <c r="A48" s="46"/>
      <c r="B48" s="28"/>
      <c r="C48" s="46" t="s">
        <v>421</v>
      </c>
      <c r="D48" s="28" t="s">
        <v>51</v>
      </c>
      <c r="E48" s="585">
        <v>2</v>
      </c>
      <c r="F48" s="417">
        <f>F43*E48</f>
        <v>8</v>
      </c>
      <c r="G48" s="417"/>
      <c r="H48" s="417"/>
      <c r="I48" s="417"/>
      <c r="J48" s="417">
        <f>F48*I48</f>
        <v>0</v>
      </c>
      <c r="K48" s="417"/>
      <c r="L48" s="417"/>
      <c r="M48" s="417">
        <f>J48</f>
        <v>0</v>
      </c>
    </row>
    <row r="49" spans="1:13" s="410" customFormat="1" ht="15.75">
      <c r="A49" s="46"/>
      <c r="B49" s="28"/>
      <c r="C49" s="46" t="s">
        <v>52</v>
      </c>
      <c r="D49" s="28" t="s">
        <v>45</v>
      </c>
      <c r="E49" s="585">
        <v>0.2</v>
      </c>
      <c r="F49" s="417">
        <f>F43*E49</f>
        <v>0.8</v>
      </c>
      <c r="G49" s="417"/>
      <c r="H49" s="417"/>
      <c r="I49" s="417"/>
      <c r="J49" s="417">
        <f>F49*I49</f>
        <v>0</v>
      </c>
      <c r="K49" s="417"/>
      <c r="L49" s="417"/>
      <c r="M49" s="417">
        <f>J49</f>
        <v>0</v>
      </c>
    </row>
    <row r="50" spans="1:13" s="410" customFormat="1" ht="27.75" customHeight="1">
      <c r="A50" s="301">
        <v>9</v>
      </c>
      <c r="B50" s="443" t="s">
        <v>148</v>
      </c>
      <c r="C50" s="322" t="s">
        <v>619</v>
      </c>
      <c r="D50" s="322" t="s">
        <v>51</v>
      </c>
      <c r="E50" s="435"/>
      <c r="F50" s="432">
        <v>3</v>
      </c>
      <c r="G50" s="432"/>
      <c r="H50" s="432"/>
      <c r="I50" s="432"/>
      <c r="J50" s="432"/>
      <c r="K50" s="432"/>
      <c r="L50" s="432"/>
      <c r="M50" s="432"/>
    </row>
    <row r="51" spans="1:13" s="410" customFormat="1" ht="13.5">
      <c r="A51" s="28"/>
      <c r="B51" s="28"/>
      <c r="C51" s="28" t="s">
        <v>43</v>
      </c>
      <c r="D51" s="28" t="s">
        <v>15</v>
      </c>
      <c r="E51" s="433">
        <v>1.51</v>
      </c>
      <c r="F51" s="417">
        <f>F50*E51</f>
        <v>4.53</v>
      </c>
      <c r="G51" s="417"/>
      <c r="H51" s="417">
        <f>F51*G51</f>
        <v>0</v>
      </c>
      <c r="I51" s="417"/>
      <c r="J51" s="417"/>
      <c r="K51" s="417"/>
      <c r="L51" s="417"/>
      <c r="M51" s="417">
        <f>H51</f>
        <v>0</v>
      </c>
    </row>
    <row r="52" spans="1:13" s="410" customFormat="1" ht="13.5">
      <c r="A52" s="28"/>
      <c r="B52" s="28"/>
      <c r="C52" s="28" t="s">
        <v>44</v>
      </c>
      <c r="D52" s="28" t="s">
        <v>45</v>
      </c>
      <c r="E52" s="433">
        <v>0.13</v>
      </c>
      <c r="F52" s="417">
        <f>F50*E52</f>
        <v>0.39</v>
      </c>
      <c r="G52" s="417"/>
      <c r="H52" s="417"/>
      <c r="I52" s="417"/>
      <c r="J52" s="417"/>
      <c r="K52" s="417"/>
      <c r="L52" s="417">
        <f>F52*K52</f>
        <v>0</v>
      </c>
      <c r="M52" s="417">
        <f>L52</f>
        <v>0</v>
      </c>
    </row>
    <row r="53" spans="1:13" s="410" customFormat="1" ht="13.5">
      <c r="A53" s="28"/>
      <c r="B53" s="28"/>
      <c r="C53" s="28" t="s">
        <v>411</v>
      </c>
      <c r="D53" s="28" t="s">
        <v>51</v>
      </c>
      <c r="E53" s="446" t="s">
        <v>54</v>
      </c>
      <c r="F53" s="417">
        <v>2</v>
      </c>
      <c r="G53" s="417"/>
      <c r="H53" s="417"/>
      <c r="I53" s="417"/>
      <c r="J53" s="417">
        <f>F53*I53</f>
        <v>0</v>
      </c>
      <c r="K53" s="417"/>
      <c r="L53" s="417"/>
      <c r="M53" s="417">
        <f>J53</f>
        <v>0</v>
      </c>
    </row>
    <row r="54" spans="1:13" s="410" customFormat="1" ht="13.5">
      <c r="A54" s="28"/>
      <c r="B54" s="28"/>
      <c r="C54" s="28" t="s">
        <v>52</v>
      </c>
      <c r="D54" s="28" t="s">
        <v>45</v>
      </c>
      <c r="E54" s="433">
        <v>0.07</v>
      </c>
      <c r="F54" s="417">
        <f>F50*E54</f>
        <v>0.21000000000000002</v>
      </c>
      <c r="G54" s="417"/>
      <c r="H54" s="417"/>
      <c r="I54" s="417"/>
      <c r="J54" s="417">
        <f>F54*I54</f>
        <v>0</v>
      </c>
      <c r="K54" s="417"/>
      <c r="L54" s="417"/>
      <c r="M54" s="417">
        <f>J54</f>
        <v>0</v>
      </c>
    </row>
    <row r="55" spans="1:13" s="246" customFormat="1" ht="24.75" customHeight="1">
      <c r="A55" s="239">
        <v>10</v>
      </c>
      <c r="B55" s="600" t="s">
        <v>428</v>
      </c>
      <c r="C55" s="140" t="s">
        <v>792</v>
      </c>
      <c r="D55" s="44" t="s">
        <v>51</v>
      </c>
      <c r="E55" s="45"/>
      <c r="F55" s="45">
        <v>1</v>
      </c>
      <c r="G55" s="737"/>
      <c r="H55" s="737"/>
      <c r="I55" s="737"/>
      <c r="J55" s="737"/>
      <c r="K55" s="737"/>
      <c r="L55" s="737"/>
      <c r="M55" s="719"/>
    </row>
    <row r="56" spans="1:14" s="424" customFormat="1" ht="16.5">
      <c r="A56" s="239"/>
      <c r="C56" s="46" t="s">
        <v>43</v>
      </c>
      <c r="D56" s="46" t="s">
        <v>15</v>
      </c>
      <c r="E56" s="388">
        <v>4.67</v>
      </c>
      <c r="F56" s="388">
        <f>F55*E56</f>
        <v>4.67</v>
      </c>
      <c r="G56" s="719"/>
      <c r="H56" s="719">
        <f>F56*G56</f>
        <v>0</v>
      </c>
      <c r="I56" s="719"/>
      <c r="J56" s="719"/>
      <c r="K56" s="719"/>
      <c r="L56" s="719"/>
      <c r="M56" s="719">
        <f>H56</f>
        <v>0</v>
      </c>
      <c r="N56" s="20"/>
    </row>
    <row r="57" spans="1:14" s="424" customFormat="1" ht="16.5">
      <c r="A57" s="239"/>
      <c r="B57" s="324"/>
      <c r="C57" s="46" t="s">
        <v>44</v>
      </c>
      <c r="D57" s="46" t="s">
        <v>45</v>
      </c>
      <c r="E57" s="388">
        <v>0.9</v>
      </c>
      <c r="F57" s="388">
        <f>F55*E57</f>
        <v>0.9</v>
      </c>
      <c r="G57" s="719"/>
      <c r="H57" s="719"/>
      <c r="I57" s="719"/>
      <c r="J57" s="719"/>
      <c r="K57" s="719"/>
      <c r="L57" s="719">
        <f>F57*K57</f>
        <v>0</v>
      </c>
      <c r="M57" s="719">
        <f>L57</f>
        <v>0</v>
      </c>
      <c r="N57" s="20"/>
    </row>
    <row r="58" spans="1:14" s="424" customFormat="1" ht="16.5">
      <c r="A58" s="239"/>
      <c r="B58" s="246"/>
      <c r="C58" s="46" t="s">
        <v>429</v>
      </c>
      <c r="D58" s="46" t="s">
        <v>51</v>
      </c>
      <c r="E58" s="388">
        <v>1</v>
      </c>
      <c r="F58" s="388">
        <f>F55*E58</f>
        <v>1</v>
      </c>
      <c r="G58" s="719"/>
      <c r="H58" s="719"/>
      <c r="I58" s="719"/>
      <c r="J58" s="719">
        <f>F58*I58</f>
        <v>0</v>
      </c>
      <c r="K58" s="719"/>
      <c r="L58" s="719"/>
      <c r="M58" s="719">
        <f>J58</f>
        <v>0</v>
      </c>
      <c r="N58" s="20"/>
    </row>
    <row r="59" spans="1:14" s="424" customFormat="1" ht="16.5">
      <c r="A59" s="242"/>
      <c r="B59" s="243"/>
      <c r="C59" s="46" t="s">
        <v>52</v>
      </c>
      <c r="D59" s="46" t="s">
        <v>45</v>
      </c>
      <c r="E59" s="388">
        <v>0.17</v>
      </c>
      <c r="F59" s="388">
        <f>F55*E59</f>
        <v>0.17</v>
      </c>
      <c r="G59" s="719"/>
      <c r="H59" s="719"/>
      <c r="I59" s="719"/>
      <c r="J59" s="719">
        <f>F59*I59</f>
        <v>0</v>
      </c>
      <c r="K59" s="719"/>
      <c r="L59" s="719"/>
      <c r="M59" s="719">
        <f>J59</f>
        <v>0</v>
      </c>
      <c r="N59" s="20"/>
    </row>
    <row r="60" spans="1:13" s="410" customFormat="1" ht="15.75">
      <c r="A60" s="496">
        <v>11</v>
      </c>
      <c r="B60" s="443" t="s">
        <v>401</v>
      </c>
      <c r="C60" s="568" t="s">
        <v>430</v>
      </c>
      <c r="D60" s="301" t="s">
        <v>51</v>
      </c>
      <c r="E60" s="435"/>
      <c r="F60" s="445">
        <v>1</v>
      </c>
      <c r="G60" s="445"/>
      <c r="H60" s="445"/>
      <c r="I60" s="445"/>
      <c r="J60" s="445"/>
      <c r="K60" s="445"/>
      <c r="L60" s="445"/>
      <c r="M60" s="445"/>
    </row>
    <row r="61" spans="1:13" s="410" customFormat="1" ht="15.75">
      <c r="A61" s="46"/>
      <c r="B61" s="28"/>
      <c r="C61" s="46" t="s">
        <v>43</v>
      </c>
      <c r="D61" s="28" t="s">
        <v>15</v>
      </c>
      <c r="E61" s="585">
        <v>2.67</v>
      </c>
      <c r="F61" s="417">
        <f>F60*E61</f>
        <v>2.67</v>
      </c>
      <c r="G61" s="417"/>
      <c r="H61" s="417">
        <f>F61*G61</f>
        <v>0</v>
      </c>
      <c r="I61" s="417"/>
      <c r="J61" s="417"/>
      <c r="K61" s="417"/>
      <c r="L61" s="417"/>
      <c r="M61" s="417">
        <f>H61</f>
        <v>0</v>
      </c>
    </row>
    <row r="62" spans="1:13" s="410" customFormat="1" ht="15.75">
      <c r="A62" s="46"/>
      <c r="B62" s="28"/>
      <c r="C62" s="46" t="s">
        <v>44</v>
      </c>
      <c r="D62" s="28" t="s">
        <v>45</v>
      </c>
      <c r="E62" s="585">
        <v>0.29</v>
      </c>
      <c r="F62" s="417">
        <f>F60*E62</f>
        <v>0.29</v>
      </c>
      <c r="G62" s="417"/>
      <c r="H62" s="417"/>
      <c r="I62" s="417"/>
      <c r="J62" s="417"/>
      <c r="K62" s="417"/>
      <c r="L62" s="417">
        <f>F62*K62</f>
        <v>0</v>
      </c>
      <c r="M62" s="417">
        <f>L62</f>
        <v>0</v>
      </c>
    </row>
    <row r="63" spans="1:13" s="410" customFormat="1" ht="15.75">
      <c r="A63" s="46"/>
      <c r="B63" s="28"/>
      <c r="C63" s="133" t="s">
        <v>431</v>
      </c>
      <c r="D63" s="28" t="s">
        <v>51</v>
      </c>
      <c r="E63" s="585">
        <v>1</v>
      </c>
      <c r="F63" s="417">
        <f>F60*E63</f>
        <v>1</v>
      </c>
      <c r="G63" s="417"/>
      <c r="H63" s="417"/>
      <c r="I63" s="417"/>
      <c r="J63" s="417">
        <f>F63*I63</f>
        <v>0</v>
      </c>
      <c r="K63" s="417"/>
      <c r="L63" s="417"/>
      <c r="M63" s="417">
        <f>J63</f>
        <v>0</v>
      </c>
    </row>
    <row r="64" spans="1:13" s="410" customFormat="1" ht="15.75">
      <c r="A64" s="46"/>
      <c r="B64" s="28"/>
      <c r="C64" s="46" t="s">
        <v>52</v>
      </c>
      <c r="D64" s="28" t="s">
        <v>45</v>
      </c>
      <c r="E64" s="585">
        <v>0.2</v>
      </c>
      <c r="F64" s="417">
        <f>F60*E64</f>
        <v>0.2</v>
      </c>
      <c r="G64" s="417"/>
      <c r="H64" s="417"/>
      <c r="I64" s="417"/>
      <c r="J64" s="417">
        <f>F64*I64</f>
        <v>0</v>
      </c>
      <c r="K64" s="417"/>
      <c r="L64" s="417"/>
      <c r="M64" s="417">
        <f>J64</f>
        <v>0</v>
      </c>
    </row>
    <row r="65" spans="1:13" s="410" customFormat="1" ht="31.5">
      <c r="A65" s="496">
        <v>12</v>
      </c>
      <c r="B65" s="443" t="s">
        <v>401</v>
      </c>
      <c r="C65" s="568" t="s">
        <v>432</v>
      </c>
      <c r="D65" s="301" t="s">
        <v>51</v>
      </c>
      <c r="E65" s="435"/>
      <c r="F65" s="445">
        <v>1</v>
      </c>
      <c r="G65" s="445"/>
      <c r="H65" s="445"/>
      <c r="I65" s="445"/>
      <c r="J65" s="445"/>
      <c r="K65" s="445"/>
      <c r="L65" s="445"/>
      <c r="M65" s="445"/>
    </row>
    <row r="66" spans="1:13" s="410" customFormat="1" ht="15.75">
      <c r="A66" s="46"/>
      <c r="B66" s="28"/>
      <c r="C66" s="46" t="s">
        <v>43</v>
      </c>
      <c r="D66" s="28" t="s">
        <v>15</v>
      </c>
      <c r="E66" s="585">
        <v>2.67</v>
      </c>
      <c r="F66" s="417">
        <f>F65*E66</f>
        <v>2.67</v>
      </c>
      <c r="G66" s="417"/>
      <c r="H66" s="417">
        <f>F66*G66</f>
        <v>0</v>
      </c>
      <c r="I66" s="417"/>
      <c r="J66" s="417"/>
      <c r="K66" s="417"/>
      <c r="L66" s="417"/>
      <c r="M66" s="417">
        <f>H66</f>
        <v>0</v>
      </c>
    </row>
    <row r="67" spans="1:13" s="410" customFormat="1" ht="15.75">
      <c r="A67" s="46"/>
      <c r="B67" s="28"/>
      <c r="C67" s="46" t="s">
        <v>44</v>
      </c>
      <c r="D67" s="28" t="s">
        <v>45</v>
      </c>
      <c r="E67" s="585">
        <v>0.29</v>
      </c>
      <c r="F67" s="417">
        <f>F65*E67</f>
        <v>0.29</v>
      </c>
      <c r="G67" s="417"/>
      <c r="H67" s="417"/>
      <c r="I67" s="417"/>
      <c r="J67" s="417"/>
      <c r="K67" s="417"/>
      <c r="L67" s="417">
        <f>F67*K67</f>
        <v>0</v>
      </c>
      <c r="M67" s="417">
        <f>L67</f>
        <v>0</v>
      </c>
    </row>
    <row r="68" spans="1:13" s="410" customFormat="1" ht="31.5">
      <c r="A68" s="46"/>
      <c r="B68" s="28"/>
      <c r="C68" s="133" t="s">
        <v>432</v>
      </c>
      <c r="D68" s="28" t="s">
        <v>51</v>
      </c>
      <c r="E68" s="585">
        <v>1</v>
      </c>
      <c r="F68" s="417">
        <f>F65*E68</f>
        <v>1</v>
      </c>
      <c r="G68" s="417"/>
      <c r="H68" s="417"/>
      <c r="I68" s="417"/>
      <c r="J68" s="417">
        <f>F68*I68</f>
        <v>0</v>
      </c>
      <c r="K68" s="417"/>
      <c r="L68" s="417"/>
      <c r="M68" s="417">
        <f>J68</f>
        <v>0</v>
      </c>
    </row>
    <row r="69" spans="1:13" s="410" customFormat="1" ht="15.75">
      <c r="A69" s="46"/>
      <c r="B69" s="586"/>
      <c r="C69" s="46" t="s">
        <v>52</v>
      </c>
      <c r="D69" s="587" t="s">
        <v>45</v>
      </c>
      <c r="E69" s="585">
        <v>0.2</v>
      </c>
      <c r="F69" s="417">
        <f>F65*E69</f>
        <v>0.2</v>
      </c>
      <c r="G69" s="417"/>
      <c r="H69" s="417"/>
      <c r="I69" s="417"/>
      <c r="J69" s="417">
        <f>F69*I69</f>
        <v>0</v>
      </c>
      <c r="K69" s="417"/>
      <c r="L69" s="417"/>
      <c r="M69" s="417">
        <f>J69</f>
        <v>0</v>
      </c>
    </row>
    <row r="70" spans="1:13" s="111" customFormat="1" ht="16.5">
      <c r="A70" s="372">
        <v>13</v>
      </c>
      <c r="B70" s="430" t="s">
        <v>399</v>
      </c>
      <c r="C70" s="588" t="s">
        <v>608</v>
      </c>
      <c r="D70" s="111" t="s">
        <v>51</v>
      </c>
      <c r="E70" s="112"/>
      <c r="F70" s="565">
        <v>1</v>
      </c>
      <c r="G70" s="792"/>
      <c r="H70" s="793"/>
      <c r="I70" s="753"/>
      <c r="J70" s="794"/>
      <c r="K70" s="792"/>
      <c r="L70" s="792"/>
      <c r="M70" s="753"/>
    </row>
    <row r="71" spans="1:13" s="246" customFormat="1" ht="15.75">
      <c r="A71" s="239"/>
      <c r="C71" s="239" t="s">
        <v>43</v>
      </c>
      <c r="D71" s="324" t="s">
        <v>15</v>
      </c>
      <c r="E71" s="425">
        <v>0.22</v>
      </c>
      <c r="F71" s="426">
        <f>F70*E71</f>
        <v>0.22</v>
      </c>
      <c r="G71" s="795"/>
      <c r="H71" s="795">
        <f>F71*G71</f>
        <v>0</v>
      </c>
      <c r="I71" s="795"/>
      <c r="J71" s="796"/>
      <c r="K71" s="795"/>
      <c r="L71" s="796"/>
      <c r="M71" s="795">
        <f>H71</f>
        <v>0</v>
      </c>
    </row>
    <row r="72" spans="1:13" s="246" customFormat="1" ht="15.75">
      <c r="A72" s="239"/>
      <c r="B72" s="324"/>
      <c r="C72" s="239" t="s">
        <v>44</v>
      </c>
      <c r="D72" s="324" t="s">
        <v>45</v>
      </c>
      <c r="E72" s="425">
        <v>0.01</v>
      </c>
      <c r="F72" s="426">
        <f>F70*E72</f>
        <v>0.01</v>
      </c>
      <c r="G72" s="795"/>
      <c r="H72" s="795"/>
      <c r="I72" s="795"/>
      <c r="J72" s="796"/>
      <c r="K72" s="795"/>
      <c r="L72" s="795">
        <f>F72*K72</f>
        <v>0</v>
      </c>
      <c r="M72" s="795">
        <f>L72</f>
        <v>0</v>
      </c>
    </row>
    <row r="73" spans="1:13" s="246" customFormat="1" ht="15.75">
      <c r="A73" s="239"/>
      <c r="C73" s="239" t="s">
        <v>400</v>
      </c>
      <c r="D73" s="246" t="s">
        <v>51</v>
      </c>
      <c r="E73" s="425">
        <v>1</v>
      </c>
      <c r="F73" s="426">
        <f>F70*E73</f>
        <v>1</v>
      </c>
      <c r="G73" s="795"/>
      <c r="H73" s="795"/>
      <c r="I73" s="795"/>
      <c r="J73" s="796">
        <f>F73*I73</f>
        <v>0</v>
      </c>
      <c r="K73" s="797"/>
      <c r="L73" s="797"/>
      <c r="M73" s="795">
        <f>J73</f>
        <v>0</v>
      </c>
    </row>
    <row r="74" spans="1:13" s="20" customFormat="1" ht="16.5">
      <c r="A74" s="242"/>
      <c r="B74" s="243"/>
      <c r="C74" s="242" t="s">
        <v>52</v>
      </c>
      <c r="D74" s="243" t="s">
        <v>45</v>
      </c>
      <c r="E74" s="427">
        <v>0.02</v>
      </c>
      <c r="F74" s="428">
        <f>F70*E74</f>
        <v>0.02</v>
      </c>
      <c r="G74" s="798"/>
      <c r="H74" s="799"/>
      <c r="I74" s="800"/>
      <c r="J74" s="801">
        <f>F74*I74</f>
        <v>0</v>
      </c>
      <c r="K74" s="798"/>
      <c r="L74" s="798"/>
      <c r="M74" s="800">
        <f>J74</f>
        <v>0</v>
      </c>
    </row>
    <row r="75" spans="1:17" s="397" customFormat="1" ht="13.5">
      <c r="A75" s="258"/>
      <c r="B75" s="258"/>
      <c r="C75" s="135" t="s">
        <v>24</v>
      </c>
      <c r="D75" s="259"/>
      <c r="E75" s="260"/>
      <c r="F75" s="458"/>
      <c r="G75" s="747"/>
      <c r="H75" s="432">
        <f>SUM(H7:H74)</f>
        <v>0</v>
      </c>
      <c r="I75" s="749"/>
      <c r="J75" s="432">
        <f>SUM(J7:J74)</f>
        <v>0</v>
      </c>
      <c r="K75" s="749"/>
      <c r="L75" s="432">
        <f>SUM(L7:L74)</f>
        <v>0</v>
      </c>
      <c r="M75" s="432">
        <f>SUM(M7:M74)</f>
        <v>0</v>
      </c>
      <c r="N75" s="395"/>
      <c r="O75" s="395"/>
      <c r="P75" s="395"/>
      <c r="Q75" s="395"/>
    </row>
    <row r="76" spans="1:17" s="397" customFormat="1" ht="13.5">
      <c r="A76" s="258"/>
      <c r="B76" s="258"/>
      <c r="C76" s="135" t="s">
        <v>886</v>
      </c>
      <c r="D76" s="259"/>
      <c r="E76" s="260"/>
      <c r="F76" s="458"/>
      <c r="G76" s="747"/>
      <c r="H76" s="432"/>
      <c r="I76" s="749"/>
      <c r="J76" s="432">
        <f>J11+J16+J21</f>
        <v>0</v>
      </c>
      <c r="K76" s="749"/>
      <c r="L76" s="432"/>
      <c r="M76" s="432">
        <f>J76</f>
        <v>0</v>
      </c>
      <c r="N76" s="395"/>
      <c r="O76" s="395"/>
      <c r="P76" s="395"/>
      <c r="Q76" s="395"/>
    </row>
    <row r="77" spans="1:17" s="397" customFormat="1" ht="13.5">
      <c r="A77" s="264"/>
      <c r="B77" s="264"/>
      <c r="C77" s="135" t="s">
        <v>439</v>
      </c>
      <c r="D77" s="265">
        <v>0</v>
      </c>
      <c r="E77" s="260"/>
      <c r="F77" s="461"/>
      <c r="G77" s="747"/>
      <c r="H77" s="749"/>
      <c r="I77" s="749"/>
      <c r="J77" s="749"/>
      <c r="K77" s="749"/>
      <c r="L77" s="432"/>
      <c r="M77" s="432">
        <f>H75*D77</f>
        <v>0</v>
      </c>
      <c r="N77" s="395"/>
      <c r="O77" s="395"/>
      <c r="P77" s="395"/>
      <c r="Q77" s="395"/>
    </row>
    <row r="78" spans="1:17" s="397" customFormat="1" ht="13.5">
      <c r="A78" s="264"/>
      <c r="B78" s="264"/>
      <c r="C78" s="135" t="s">
        <v>0</v>
      </c>
      <c r="D78" s="265"/>
      <c r="E78" s="462"/>
      <c r="F78" s="461"/>
      <c r="G78" s="747"/>
      <c r="H78" s="749"/>
      <c r="I78" s="749"/>
      <c r="J78" s="749"/>
      <c r="K78" s="749"/>
      <c r="L78" s="432"/>
      <c r="M78" s="432">
        <f>M75+M77</f>
        <v>0</v>
      </c>
      <c r="N78" s="395"/>
      <c r="O78" s="395"/>
      <c r="P78" s="395"/>
      <c r="Q78" s="395"/>
    </row>
    <row r="79" spans="1:17" s="397" customFormat="1" ht="27">
      <c r="A79" s="264"/>
      <c r="B79" s="264"/>
      <c r="C79" s="135" t="s">
        <v>887</v>
      </c>
      <c r="D79" s="265">
        <v>0</v>
      </c>
      <c r="E79" s="260"/>
      <c r="F79" s="461"/>
      <c r="G79" s="747"/>
      <c r="H79" s="749"/>
      <c r="I79" s="749"/>
      <c r="J79" s="749"/>
      <c r="K79" s="749"/>
      <c r="L79" s="432"/>
      <c r="M79" s="432">
        <f>(M78-M76)*D79</f>
        <v>0</v>
      </c>
      <c r="N79" s="395"/>
      <c r="O79" s="395"/>
      <c r="P79" s="395"/>
      <c r="Q79" s="395"/>
    </row>
    <row r="80" spans="1:17" s="397" customFormat="1" ht="13.5">
      <c r="A80" s="264"/>
      <c r="B80" s="264"/>
      <c r="C80" s="135" t="s">
        <v>18</v>
      </c>
      <c r="D80" s="259"/>
      <c r="E80" s="260"/>
      <c r="F80" s="461"/>
      <c r="G80" s="747"/>
      <c r="H80" s="749"/>
      <c r="I80" s="749"/>
      <c r="J80" s="749"/>
      <c r="K80" s="749"/>
      <c r="L80" s="432"/>
      <c r="M80" s="432">
        <f>M79+M78</f>
        <v>0</v>
      </c>
      <c r="N80" s="395"/>
      <c r="O80" s="395"/>
      <c r="P80" s="395"/>
      <c r="Q80" s="395"/>
    </row>
    <row r="81" spans="1:13" s="410" customFormat="1" ht="24" customHeight="1">
      <c r="A81" s="150"/>
      <c r="B81" s="150"/>
      <c r="C81" s="140" t="s">
        <v>601</v>
      </c>
      <c r="D81" s="405"/>
      <c r="E81" s="406"/>
      <c r="F81" s="406"/>
      <c r="G81" s="802"/>
      <c r="H81" s="803"/>
      <c r="I81" s="803"/>
      <c r="J81" s="803"/>
      <c r="K81" s="802"/>
      <c r="L81" s="803"/>
      <c r="M81" s="803"/>
    </row>
    <row r="82" spans="1:13" s="410" customFormat="1" ht="13.5">
      <c r="A82" s="411"/>
      <c r="B82" s="302"/>
      <c r="C82" s="378"/>
      <c r="D82" s="405"/>
      <c r="E82" s="406"/>
      <c r="F82" s="406"/>
      <c r="G82" s="802"/>
      <c r="H82" s="803"/>
      <c r="I82" s="803"/>
      <c r="J82" s="803"/>
      <c r="K82" s="802"/>
      <c r="L82" s="803"/>
      <c r="M82" s="803"/>
    </row>
    <row r="83" spans="1:13" s="569" customFormat="1" ht="27">
      <c r="A83" s="157">
        <v>1</v>
      </c>
      <c r="B83" s="434" t="s">
        <v>205</v>
      </c>
      <c r="C83" s="135" t="s">
        <v>831</v>
      </c>
      <c r="D83" s="322" t="s">
        <v>50</v>
      </c>
      <c r="E83" s="435"/>
      <c r="F83" s="432">
        <v>60</v>
      </c>
      <c r="G83" s="432"/>
      <c r="H83" s="432"/>
      <c r="I83" s="432"/>
      <c r="J83" s="432"/>
      <c r="K83" s="432"/>
      <c r="L83" s="432"/>
      <c r="M83" s="432"/>
    </row>
    <row r="84" spans="1:13" s="569" customFormat="1" ht="16.5">
      <c r="A84" s="46"/>
      <c r="B84" s="28"/>
      <c r="C84" s="150" t="s">
        <v>43</v>
      </c>
      <c r="D84" s="28" t="s">
        <v>15</v>
      </c>
      <c r="E84" s="433">
        <v>0.863</v>
      </c>
      <c r="F84" s="417">
        <f>F83*E84</f>
        <v>51.78</v>
      </c>
      <c r="G84" s="417"/>
      <c r="H84" s="417">
        <f>F84*G84</f>
        <v>0</v>
      </c>
      <c r="I84" s="417"/>
      <c r="J84" s="417"/>
      <c r="K84" s="417"/>
      <c r="L84" s="417"/>
      <c r="M84" s="417">
        <f>H84</f>
        <v>0</v>
      </c>
    </row>
    <row r="85" spans="1:13" s="569" customFormat="1" ht="16.5">
      <c r="A85" s="46"/>
      <c r="B85" s="28"/>
      <c r="C85" s="150" t="s">
        <v>44</v>
      </c>
      <c r="D85" s="28" t="s">
        <v>45</v>
      </c>
      <c r="E85" s="433">
        <v>0.0678</v>
      </c>
      <c r="F85" s="417">
        <f>F83*E85</f>
        <v>4.068</v>
      </c>
      <c r="G85" s="417"/>
      <c r="H85" s="417"/>
      <c r="I85" s="417"/>
      <c r="J85" s="417"/>
      <c r="K85" s="417"/>
      <c r="L85" s="417">
        <f>F85*K85</f>
        <v>0</v>
      </c>
      <c r="M85" s="417">
        <f>L85</f>
        <v>0</v>
      </c>
    </row>
    <row r="86" spans="1:13" s="569" customFormat="1" ht="31.5" customHeight="1">
      <c r="A86" s="46"/>
      <c r="B86" s="28"/>
      <c r="C86" s="33" t="s">
        <v>848</v>
      </c>
      <c r="D86" s="28" t="s">
        <v>50</v>
      </c>
      <c r="E86" s="433">
        <v>1</v>
      </c>
      <c r="F86" s="417">
        <f>F83*E86</f>
        <v>60</v>
      </c>
      <c r="G86" s="417"/>
      <c r="H86" s="417"/>
      <c r="I86" s="417"/>
      <c r="J86" s="417">
        <f>F86*I86</f>
        <v>0</v>
      </c>
      <c r="K86" s="417"/>
      <c r="L86" s="417"/>
      <c r="M86" s="417">
        <f>J86</f>
        <v>0</v>
      </c>
    </row>
    <row r="87" spans="1:13" s="569" customFormat="1" ht="16.5">
      <c r="A87" s="46"/>
      <c r="B87" s="28"/>
      <c r="C87" s="150" t="s">
        <v>52</v>
      </c>
      <c r="D87" s="28" t="s">
        <v>45</v>
      </c>
      <c r="E87" s="433">
        <v>0.0424</v>
      </c>
      <c r="F87" s="417">
        <f>F83*E87</f>
        <v>2.544</v>
      </c>
      <c r="G87" s="417"/>
      <c r="H87" s="417"/>
      <c r="I87" s="417"/>
      <c r="J87" s="417">
        <f>F87*I87</f>
        <v>0</v>
      </c>
      <c r="K87" s="417"/>
      <c r="L87" s="417"/>
      <c r="M87" s="417">
        <f>J87</f>
        <v>0</v>
      </c>
    </row>
    <row r="88" spans="1:13" s="569" customFormat="1" ht="26.25">
      <c r="A88" s="157">
        <v>2</v>
      </c>
      <c r="B88" s="434" t="s">
        <v>205</v>
      </c>
      <c r="C88" s="135" t="s">
        <v>832</v>
      </c>
      <c r="D88" s="322" t="s">
        <v>50</v>
      </c>
      <c r="E88" s="435"/>
      <c r="F88" s="432">
        <v>8</v>
      </c>
      <c r="G88" s="432"/>
      <c r="H88" s="432"/>
      <c r="I88" s="432"/>
      <c r="J88" s="432"/>
      <c r="K88" s="432"/>
      <c r="L88" s="432"/>
      <c r="M88" s="432"/>
    </row>
    <row r="89" spans="1:13" s="569" customFormat="1" ht="16.5">
      <c r="A89" s="46"/>
      <c r="B89" s="28"/>
      <c r="C89" s="150" t="s">
        <v>43</v>
      </c>
      <c r="D89" s="28" t="s">
        <v>15</v>
      </c>
      <c r="E89" s="433">
        <v>0.863</v>
      </c>
      <c r="F89" s="417">
        <f>F88*E89</f>
        <v>6.904</v>
      </c>
      <c r="G89" s="417"/>
      <c r="H89" s="417">
        <f>F89*G89</f>
        <v>0</v>
      </c>
      <c r="I89" s="417"/>
      <c r="J89" s="417"/>
      <c r="K89" s="417"/>
      <c r="L89" s="417"/>
      <c r="M89" s="417">
        <f>H89</f>
        <v>0</v>
      </c>
    </row>
    <row r="90" spans="1:13" s="569" customFormat="1" ht="16.5">
      <c r="A90" s="46"/>
      <c r="B90" s="28"/>
      <c r="C90" s="150" t="s">
        <v>44</v>
      </c>
      <c r="D90" s="28" t="s">
        <v>45</v>
      </c>
      <c r="E90" s="433">
        <v>0.0678</v>
      </c>
      <c r="F90" s="417">
        <f>F88*E90</f>
        <v>0.5424</v>
      </c>
      <c r="G90" s="417"/>
      <c r="H90" s="417"/>
      <c r="I90" s="417"/>
      <c r="J90" s="417"/>
      <c r="K90" s="417"/>
      <c r="L90" s="417">
        <f>F90*K90</f>
        <v>0</v>
      </c>
      <c r="M90" s="417">
        <f>L90</f>
        <v>0</v>
      </c>
    </row>
    <row r="91" spans="1:13" s="569" customFormat="1" ht="26.25">
      <c r="A91" s="46"/>
      <c r="B91" s="28"/>
      <c r="C91" s="33" t="s">
        <v>849</v>
      </c>
      <c r="D91" s="28" t="s">
        <v>50</v>
      </c>
      <c r="E91" s="433">
        <v>1</v>
      </c>
      <c r="F91" s="417">
        <f>F88*E91</f>
        <v>8</v>
      </c>
      <c r="G91" s="417"/>
      <c r="H91" s="417"/>
      <c r="I91" s="417"/>
      <c r="J91" s="417">
        <f>F91*I91</f>
        <v>0</v>
      </c>
      <c r="K91" s="417"/>
      <c r="L91" s="417"/>
      <c r="M91" s="417">
        <f>J91</f>
        <v>0</v>
      </c>
    </row>
    <row r="92" spans="1:13" s="569" customFormat="1" ht="16.5">
      <c r="A92" s="46"/>
      <c r="B92" s="28"/>
      <c r="C92" s="150" t="s">
        <v>52</v>
      </c>
      <c r="D92" s="28" t="s">
        <v>45</v>
      </c>
      <c r="E92" s="433">
        <v>0.0424</v>
      </c>
      <c r="F92" s="417">
        <f>F88*E92</f>
        <v>0.3392</v>
      </c>
      <c r="G92" s="417"/>
      <c r="H92" s="417"/>
      <c r="I92" s="417"/>
      <c r="J92" s="417">
        <f>F92*I92</f>
        <v>0</v>
      </c>
      <c r="K92" s="417"/>
      <c r="L92" s="417"/>
      <c r="M92" s="417">
        <f>J92</f>
        <v>0</v>
      </c>
    </row>
    <row r="93" spans="1:13" s="569" customFormat="1" ht="26.25">
      <c r="A93" s="157">
        <v>3</v>
      </c>
      <c r="B93" s="434" t="s">
        <v>205</v>
      </c>
      <c r="C93" s="135" t="s">
        <v>833</v>
      </c>
      <c r="D93" s="322" t="s">
        <v>50</v>
      </c>
      <c r="E93" s="435"/>
      <c r="F93" s="432">
        <v>12</v>
      </c>
      <c r="G93" s="432"/>
      <c r="H93" s="432"/>
      <c r="I93" s="432"/>
      <c r="J93" s="432"/>
      <c r="K93" s="432"/>
      <c r="L93" s="432"/>
      <c r="M93" s="432"/>
    </row>
    <row r="94" spans="1:13" s="569" customFormat="1" ht="16.5">
      <c r="A94" s="46"/>
      <c r="B94" s="28"/>
      <c r="C94" s="150" t="s">
        <v>43</v>
      </c>
      <c r="D94" s="28" t="s">
        <v>15</v>
      </c>
      <c r="E94" s="433">
        <v>0.863</v>
      </c>
      <c r="F94" s="417">
        <f>F93*E94</f>
        <v>10.356</v>
      </c>
      <c r="G94" s="417"/>
      <c r="H94" s="417">
        <f>F94*G94</f>
        <v>0</v>
      </c>
      <c r="I94" s="417"/>
      <c r="J94" s="417"/>
      <c r="K94" s="417"/>
      <c r="L94" s="417"/>
      <c r="M94" s="417">
        <f>H94</f>
        <v>0</v>
      </c>
    </row>
    <row r="95" spans="1:13" s="569" customFormat="1" ht="16.5">
      <c r="A95" s="46"/>
      <c r="B95" s="28"/>
      <c r="C95" s="150" t="s">
        <v>44</v>
      </c>
      <c r="D95" s="28" t="s">
        <v>45</v>
      </c>
      <c r="E95" s="433">
        <v>0.0678</v>
      </c>
      <c r="F95" s="417">
        <f>F93*E95</f>
        <v>0.8136</v>
      </c>
      <c r="G95" s="417"/>
      <c r="H95" s="417"/>
      <c r="I95" s="417"/>
      <c r="J95" s="417"/>
      <c r="K95" s="417"/>
      <c r="L95" s="417">
        <f>F95*K95</f>
        <v>0</v>
      </c>
      <c r="M95" s="417">
        <f>L95</f>
        <v>0</v>
      </c>
    </row>
    <row r="96" spans="1:13" s="569" customFormat="1" ht="26.25">
      <c r="A96" s="46"/>
      <c r="B96" s="28"/>
      <c r="C96" s="33" t="s">
        <v>850</v>
      </c>
      <c r="D96" s="28" t="s">
        <v>50</v>
      </c>
      <c r="E96" s="433">
        <v>1</v>
      </c>
      <c r="F96" s="417">
        <f>F93*E96</f>
        <v>12</v>
      </c>
      <c r="G96" s="417"/>
      <c r="H96" s="417"/>
      <c r="I96" s="417"/>
      <c r="J96" s="417">
        <f>F96*I96</f>
        <v>0</v>
      </c>
      <c r="K96" s="417"/>
      <c r="L96" s="417"/>
      <c r="M96" s="417">
        <f>J96</f>
        <v>0</v>
      </c>
    </row>
    <row r="97" spans="1:13" s="569" customFormat="1" ht="16.5">
      <c r="A97" s="46"/>
      <c r="B97" s="28"/>
      <c r="C97" s="150" t="s">
        <v>52</v>
      </c>
      <c r="D97" s="28" t="s">
        <v>45</v>
      </c>
      <c r="E97" s="433">
        <v>0.0424</v>
      </c>
      <c r="F97" s="417">
        <f>F93*E97</f>
        <v>0.5088</v>
      </c>
      <c r="G97" s="417"/>
      <c r="H97" s="417"/>
      <c r="I97" s="417"/>
      <c r="J97" s="417">
        <f>F97*I97</f>
        <v>0</v>
      </c>
      <c r="K97" s="417"/>
      <c r="L97" s="417"/>
      <c r="M97" s="417">
        <f>J97</f>
        <v>0</v>
      </c>
    </row>
    <row r="98" spans="1:13" s="569" customFormat="1" ht="26.25">
      <c r="A98" s="157">
        <v>4</v>
      </c>
      <c r="B98" s="434" t="s">
        <v>211</v>
      </c>
      <c r="C98" s="135" t="s">
        <v>834</v>
      </c>
      <c r="D98" s="322" t="s">
        <v>50</v>
      </c>
      <c r="E98" s="435"/>
      <c r="F98" s="432">
        <v>8</v>
      </c>
      <c r="G98" s="432"/>
      <c r="H98" s="432"/>
      <c r="I98" s="432"/>
      <c r="J98" s="432"/>
      <c r="K98" s="432"/>
      <c r="L98" s="432"/>
      <c r="M98" s="432"/>
    </row>
    <row r="99" spans="1:13" s="569" customFormat="1" ht="16.5">
      <c r="A99" s="46"/>
      <c r="B99" s="559"/>
      <c r="C99" s="150" t="s">
        <v>43</v>
      </c>
      <c r="D99" s="28" t="s">
        <v>15</v>
      </c>
      <c r="E99" s="433">
        <v>0.767</v>
      </c>
      <c r="F99" s="417">
        <f>F98*E99</f>
        <v>6.136</v>
      </c>
      <c r="G99" s="417"/>
      <c r="H99" s="417">
        <f>F99*G99</f>
        <v>0</v>
      </c>
      <c r="I99" s="417"/>
      <c r="J99" s="417"/>
      <c r="K99" s="417"/>
      <c r="L99" s="417"/>
      <c r="M99" s="417">
        <f>H99</f>
        <v>0</v>
      </c>
    </row>
    <row r="100" spans="1:13" s="569" customFormat="1" ht="16.5">
      <c r="A100" s="46"/>
      <c r="B100" s="28"/>
      <c r="C100" s="150" t="s">
        <v>44</v>
      </c>
      <c r="D100" s="28" t="s">
        <v>45</v>
      </c>
      <c r="E100" s="433">
        <f>5.21/100</f>
        <v>0.0521</v>
      </c>
      <c r="F100" s="417">
        <f>F98*E100</f>
        <v>0.4168</v>
      </c>
      <c r="G100" s="417"/>
      <c r="H100" s="417"/>
      <c r="I100" s="417"/>
      <c r="J100" s="417"/>
      <c r="K100" s="417"/>
      <c r="L100" s="417">
        <f>F100*K100</f>
        <v>0</v>
      </c>
      <c r="M100" s="417">
        <f>L100</f>
        <v>0</v>
      </c>
    </row>
    <row r="101" spans="1:13" s="569" customFormat="1" ht="26.25">
      <c r="A101" s="46"/>
      <c r="B101" s="28"/>
      <c r="C101" s="33" t="s">
        <v>846</v>
      </c>
      <c r="D101" s="28" t="s">
        <v>50</v>
      </c>
      <c r="E101" s="433">
        <v>1</v>
      </c>
      <c r="F101" s="417">
        <f>F98*E101</f>
        <v>8</v>
      </c>
      <c r="G101" s="417"/>
      <c r="H101" s="417"/>
      <c r="I101" s="417"/>
      <c r="J101" s="417">
        <f>F101*I101</f>
        <v>0</v>
      </c>
      <c r="K101" s="417"/>
      <c r="L101" s="417"/>
      <c r="M101" s="417">
        <f>J101</f>
        <v>0</v>
      </c>
    </row>
    <row r="102" spans="1:13" s="569" customFormat="1" ht="16.5">
      <c r="A102" s="46"/>
      <c r="B102" s="28"/>
      <c r="C102" s="150" t="s">
        <v>52</v>
      </c>
      <c r="D102" s="28" t="s">
        <v>45</v>
      </c>
      <c r="E102" s="433">
        <v>0.0344</v>
      </c>
      <c r="F102" s="417">
        <f>F98*E102</f>
        <v>0.2752</v>
      </c>
      <c r="G102" s="417"/>
      <c r="H102" s="417"/>
      <c r="I102" s="417"/>
      <c r="J102" s="417">
        <f>F102*I102</f>
        <v>0</v>
      </c>
      <c r="K102" s="417"/>
      <c r="L102" s="417"/>
      <c r="M102" s="417">
        <f>J102</f>
        <v>0</v>
      </c>
    </row>
    <row r="103" spans="1:13" s="569" customFormat="1" ht="26.25">
      <c r="A103" s="157">
        <v>5</v>
      </c>
      <c r="B103" s="434" t="s">
        <v>208</v>
      </c>
      <c r="C103" s="135" t="s">
        <v>835</v>
      </c>
      <c r="D103" s="322" t="s">
        <v>50</v>
      </c>
      <c r="E103" s="435"/>
      <c r="F103" s="432">
        <v>12</v>
      </c>
      <c r="G103" s="432"/>
      <c r="H103" s="432"/>
      <c r="I103" s="432"/>
      <c r="J103" s="432"/>
      <c r="K103" s="432"/>
      <c r="L103" s="432"/>
      <c r="M103" s="432"/>
    </row>
    <row r="104" spans="1:13" s="569" customFormat="1" ht="16.5">
      <c r="A104" s="46"/>
      <c r="B104" s="559"/>
      <c r="C104" s="150" t="s">
        <v>43</v>
      </c>
      <c r="D104" s="28" t="s">
        <v>15</v>
      </c>
      <c r="E104" s="433">
        <v>0.663</v>
      </c>
      <c r="F104" s="417">
        <f>F103*E104</f>
        <v>7.956</v>
      </c>
      <c r="G104" s="417"/>
      <c r="H104" s="417">
        <f>F104*G104</f>
        <v>0</v>
      </c>
      <c r="I104" s="417"/>
      <c r="J104" s="417"/>
      <c r="K104" s="417"/>
      <c r="L104" s="417"/>
      <c r="M104" s="417">
        <f>H104</f>
        <v>0</v>
      </c>
    </row>
    <row r="105" spans="1:13" s="569" customFormat="1" ht="16.5">
      <c r="A105" s="46"/>
      <c r="B105" s="28"/>
      <c r="C105" s="150" t="s">
        <v>44</v>
      </c>
      <c r="D105" s="28" t="s">
        <v>45</v>
      </c>
      <c r="E105" s="433">
        <v>0.046</v>
      </c>
      <c r="F105" s="417">
        <f>F103*E105</f>
        <v>0.552</v>
      </c>
      <c r="G105" s="417"/>
      <c r="H105" s="417"/>
      <c r="I105" s="417"/>
      <c r="J105" s="417"/>
      <c r="K105" s="417"/>
      <c r="L105" s="417">
        <f>F105*K105</f>
        <v>0</v>
      </c>
      <c r="M105" s="417">
        <f>L105</f>
        <v>0</v>
      </c>
    </row>
    <row r="106" spans="1:13" s="569" customFormat="1" ht="26.25">
      <c r="A106" s="46"/>
      <c r="B106" s="28"/>
      <c r="C106" s="33" t="s">
        <v>838</v>
      </c>
      <c r="D106" s="28" t="s">
        <v>50</v>
      </c>
      <c r="E106" s="433">
        <v>1</v>
      </c>
      <c r="F106" s="417">
        <f>F103*E106</f>
        <v>12</v>
      </c>
      <c r="G106" s="417"/>
      <c r="H106" s="417"/>
      <c r="I106" s="417"/>
      <c r="J106" s="417">
        <f>F106*I106</f>
        <v>0</v>
      </c>
      <c r="K106" s="417"/>
      <c r="L106" s="417"/>
      <c r="M106" s="417">
        <f>J106</f>
        <v>0</v>
      </c>
    </row>
    <row r="107" spans="1:13" s="569" customFormat="1" ht="16.5">
      <c r="A107" s="46"/>
      <c r="B107" s="28"/>
      <c r="C107" s="150" t="s">
        <v>52</v>
      </c>
      <c r="D107" s="28" t="s">
        <v>45</v>
      </c>
      <c r="E107" s="433">
        <v>0.028</v>
      </c>
      <c r="F107" s="417">
        <f>F103*E107</f>
        <v>0.336</v>
      </c>
      <c r="G107" s="417"/>
      <c r="H107" s="417"/>
      <c r="I107" s="417"/>
      <c r="J107" s="417">
        <f>F107*I107</f>
        <v>0</v>
      </c>
      <c r="K107" s="417"/>
      <c r="L107" s="417"/>
      <c r="M107" s="417">
        <f>J107</f>
        <v>0</v>
      </c>
    </row>
    <row r="108" spans="1:13" s="569" customFormat="1" ht="26.25">
      <c r="A108" s="157">
        <v>6</v>
      </c>
      <c r="B108" s="434" t="s">
        <v>208</v>
      </c>
      <c r="C108" s="135" t="s">
        <v>836</v>
      </c>
      <c r="D108" s="322" t="s">
        <v>50</v>
      </c>
      <c r="E108" s="435"/>
      <c r="F108" s="432">
        <v>53</v>
      </c>
      <c r="G108" s="432"/>
      <c r="H108" s="432"/>
      <c r="I108" s="432"/>
      <c r="J108" s="432"/>
      <c r="K108" s="432"/>
      <c r="L108" s="432"/>
      <c r="M108" s="432"/>
    </row>
    <row r="109" spans="1:13" s="569" customFormat="1" ht="16.5">
      <c r="A109" s="46"/>
      <c r="B109" s="559"/>
      <c r="C109" s="150" t="s">
        <v>43</v>
      </c>
      <c r="D109" s="28" t="s">
        <v>15</v>
      </c>
      <c r="E109" s="433">
        <v>0.663</v>
      </c>
      <c r="F109" s="417">
        <f>F108*E109</f>
        <v>35.139</v>
      </c>
      <c r="G109" s="417"/>
      <c r="H109" s="417">
        <f>F109*G109</f>
        <v>0</v>
      </c>
      <c r="I109" s="417"/>
      <c r="J109" s="417"/>
      <c r="K109" s="417"/>
      <c r="L109" s="417"/>
      <c r="M109" s="417">
        <f>H109</f>
        <v>0</v>
      </c>
    </row>
    <row r="110" spans="1:13" s="569" customFormat="1" ht="16.5">
      <c r="A110" s="46"/>
      <c r="B110" s="28"/>
      <c r="C110" s="150" t="s">
        <v>44</v>
      </c>
      <c r="D110" s="28" t="s">
        <v>45</v>
      </c>
      <c r="E110" s="433">
        <v>0.046</v>
      </c>
      <c r="F110" s="417">
        <f>F108*E110</f>
        <v>2.438</v>
      </c>
      <c r="G110" s="417"/>
      <c r="H110" s="417"/>
      <c r="I110" s="417"/>
      <c r="J110" s="417"/>
      <c r="K110" s="417"/>
      <c r="L110" s="417">
        <f>F110*K110</f>
        <v>0</v>
      </c>
      <c r="M110" s="417">
        <f>L110</f>
        <v>0</v>
      </c>
    </row>
    <row r="111" spans="1:13" s="569" customFormat="1" ht="26.25">
      <c r="A111" s="46"/>
      <c r="B111" s="28"/>
      <c r="C111" s="33" t="s">
        <v>847</v>
      </c>
      <c r="D111" s="28" t="s">
        <v>50</v>
      </c>
      <c r="E111" s="433">
        <v>1</v>
      </c>
      <c r="F111" s="417">
        <f>F108*E111</f>
        <v>53</v>
      </c>
      <c r="G111" s="417"/>
      <c r="H111" s="417"/>
      <c r="I111" s="417"/>
      <c r="J111" s="417">
        <f>F111*I111</f>
        <v>0</v>
      </c>
      <c r="K111" s="417"/>
      <c r="L111" s="417"/>
      <c r="M111" s="417">
        <f>J111</f>
        <v>0</v>
      </c>
    </row>
    <row r="112" spans="1:13" s="569" customFormat="1" ht="16.5">
      <c r="A112" s="46"/>
      <c r="B112" s="28"/>
      <c r="C112" s="150" t="s">
        <v>52</v>
      </c>
      <c r="D112" s="28" t="s">
        <v>45</v>
      </c>
      <c r="E112" s="433">
        <v>0.028</v>
      </c>
      <c r="F112" s="417">
        <f>F108*E112</f>
        <v>1.484</v>
      </c>
      <c r="G112" s="417"/>
      <c r="H112" s="417"/>
      <c r="I112" s="417"/>
      <c r="J112" s="417">
        <f>F112*I112</f>
        <v>0</v>
      </c>
      <c r="K112" s="417"/>
      <c r="L112" s="417"/>
      <c r="M112" s="417">
        <f>J112</f>
        <v>0</v>
      </c>
    </row>
    <row r="113" spans="1:13" s="569" customFormat="1" ht="26.25">
      <c r="A113" s="157">
        <v>7</v>
      </c>
      <c r="B113" s="434" t="s">
        <v>208</v>
      </c>
      <c r="C113" s="135" t="s">
        <v>837</v>
      </c>
      <c r="D113" s="322" t="s">
        <v>50</v>
      </c>
      <c r="E113" s="435"/>
      <c r="F113" s="432">
        <v>100</v>
      </c>
      <c r="G113" s="432"/>
      <c r="H113" s="432"/>
      <c r="I113" s="432"/>
      <c r="J113" s="432"/>
      <c r="K113" s="432"/>
      <c r="L113" s="432"/>
      <c r="M113" s="432"/>
    </row>
    <row r="114" spans="1:13" s="569" customFormat="1" ht="16.5">
      <c r="A114" s="46"/>
      <c r="B114" s="559"/>
      <c r="C114" s="150" t="s">
        <v>43</v>
      </c>
      <c r="D114" s="28" t="s">
        <v>15</v>
      </c>
      <c r="E114" s="433">
        <v>0.663</v>
      </c>
      <c r="F114" s="417">
        <f>F113*E114</f>
        <v>66.3</v>
      </c>
      <c r="G114" s="417"/>
      <c r="H114" s="417">
        <f>F114*G114</f>
        <v>0</v>
      </c>
      <c r="I114" s="417"/>
      <c r="J114" s="417"/>
      <c r="K114" s="417"/>
      <c r="L114" s="417"/>
      <c r="M114" s="417">
        <f>H114</f>
        <v>0</v>
      </c>
    </row>
    <row r="115" spans="1:13" s="569" customFormat="1" ht="16.5">
      <c r="A115" s="46"/>
      <c r="B115" s="28"/>
      <c r="C115" s="150" t="s">
        <v>44</v>
      </c>
      <c r="D115" s="28" t="s">
        <v>45</v>
      </c>
      <c r="E115" s="433">
        <v>0.046</v>
      </c>
      <c r="F115" s="417">
        <f>F113*E115</f>
        <v>4.6</v>
      </c>
      <c r="G115" s="417"/>
      <c r="H115" s="417"/>
      <c r="I115" s="417"/>
      <c r="J115" s="417"/>
      <c r="K115" s="417"/>
      <c r="L115" s="417">
        <f>F115*K115</f>
        <v>0</v>
      </c>
      <c r="M115" s="417">
        <f>L115</f>
        <v>0</v>
      </c>
    </row>
    <row r="116" spans="1:13" s="569" customFormat="1" ht="26.25">
      <c r="A116" s="46"/>
      <c r="B116" s="28"/>
      <c r="C116" s="33" t="s">
        <v>851</v>
      </c>
      <c r="D116" s="28" t="s">
        <v>50</v>
      </c>
      <c r="E116" s="433">
        <v>1</v>
      </c>
      <c r="F116" s="417">
        <f>F113*E116</f>
        <v>100</v>
      </c>
      <c r="G116" s="417"/>
      <c r="H116" s="417"/>
      <c r="I116" s="417"/>
      <c r="J116" s="417">
        <f>F116*I116</f>
        <v>0</v>
      </c>
      <c r="K116" s="417"/>
      <c r="L116" s="417"/>
      <c r="M116" s="417">
        <f>J116</f>
        <v>0</v>
      </c>
    </row>
    <row r="117" spans="1:13" s="569" customFormat="1" ht="16.5">
      <c r="A117" s="46"/>
      <c r="B117" s="28"/>
      <c r="C117" s="150" t="s">
        <v>52</v>
      </c>
      <c r="D117" s="28" t="s">
        <v>45</v>
      </c>
      <c r="E117" s="433">
        <v>0.028</v>
      </c>
      <c r="F117" s="417">
        <f>F113*E117</f>
        <v>2.8000000000000003</v>
      </c>
      <c r="G117" s="417"/>
      <c r="H117" s="417"/>
      <c r="I117" s="417"/>
      <c r="J117" s="417">
        <f>F117*I117</f>
        <v>0</v>
      </c>
      <c r="K117" s="417"/>
      <c r="L117" s="417"/>
      <c r="M117" s="417">
        <f>J117</f>
        <v>0</v>
      </c>
    </row>
    <row r="118" spans="1:13" s="410" customFormat="1" ht="27">
      <c r="A118" s="140">
        <v>8</v>
      </c>
      <c r="B118" s="431" t="s">
        <v>213</v>
      </c>
      <c r="C118" s="135" t="s">
        <v>214</v>
      </c>
      <c r="D118" s="135" t="s">
        <v>51</v>
      </c>
      <c r="E118" s="435"/>
      <c r="F118" s="432">
        <f>SUM(F121:F134)</f>
        <v>145</v>
      </c>
      <c r="G118" s="432"/>
      <c r="H118" s="432"/>
      <c r="I118" s="432"/>
      <c r="J118" s="432"/>
      <c r="K118" s="432"/>
      <c r="L118" s="432"/>
      <c r="M118" s="432"/>
    </row>
    <row r="119" spans="1:13" s="410" customFormat="1" ht="15.75">
      <c r="A119" s="46"/>
      <c r="B119" s="559"/>
      <c r="C119" s="28" t="s">
        <v>43</v>
      </c>
      <c r="D119" s="28" t="s">
        <v>15</v>
      </c>
      <c r="E119" s="433">
        <v>1.39</v>
      </c>
      <c r="F119" s="417">
        <f>F118*E119</f>
        <v>201.54999999999998</v>
      </c>
      <c r="G119" s="417"/>
      <c r="H119" s="417">
        <f>F119*G119</f>
        <v>0</v>
      </c>
      <c r="I119" s="417"/>
      <c r="J119" s="417"/>
      <c r="K119" s="417"/>
      <c r="L119" s="417"/>
      <c r="M119" s="417">
        <f>H119</f>
        <v>0</v>
      </c>
    </row>
    <row r="120" spans="1:13" s="410" customFormat="1" ht="15.75">
      <c r="A120" s="46"/>
      <c r="B120" s="28"/>
      <c r="C120" s="28" t="s">
        <v>44</v>
      </c>
      <c r="D120" s="28" t="s">
        <v>45</v>
      </c>
      <c r="E120" s="433">
        <v>0.17</v>
      </c>
      <c r="F120" s="417">
        <f>F118*E120</f>
        <v>24.650000000000002</v>
      </c>
      <c r="G120" s="417"/>
      <c r="H120" s="417"/>
      <c r="I120" s="417"/>
      <c r="J120" s="417"/>
      <c r="K120" s="417"/>
      <c r="L120" s="417">
        <f>F120*K120</f>
        <v>0</v>
      </c>
      <c r="M120" s="417">
        <f>L120</f>
        <v>0</v>
      </c>
    </row>
    <row r="121" spans="1:13" s="410" customFormat="1" ht="15.75">
      <c r="A121" s="46"/>
      <c r="B121" s="28"/>
      <c r="C121" s="28" t="s">
        <v>215</v>
      </c>
      <c r="D121" s="28" t="s">
        <v>51</v>
      </c>
      <c r="E121" s="514" t="s">
        <v>54</v>
      </c>
      <c r="F121" s="417">
        <v>4</v>
      </c>
      <c r="G121" s="417"/>
      <c r="H121" s="417"/>
      <c r="I121" s="417"/>
      <c r="J121" s="417">
        <f aca="true" t="shared" si="0" ref="J121:J135">F121*I121</f>
        <v>0</v>
      </c>
      <c r="K121" s="417"/>
      <c r="L121" s="417"/>
      <c r="M121" s="417">
        <f aca="true" t="shared" si="1" ref="M121:M135">J121</f>
        <v>0</v>
      </c>
    </row>
    <row r="122" spans="1:13" s="410" customFormat="1" ht="15.75">
      <c r="A122" s="46"/>
      <c r="B122" s="28"/>
      <c r="C122" s="28" t="s">
        <v>216</v>
      </c>
      <c r="D122" s="28" t="s">
        <v>51</v>
      </c>
      <c r="E122" s="514" t="s">
        <v>54</v>
      </c>
      <c r="F122" s="417">
        <v>3</v>
      </c>
      <c r="G122" s="417"/>
      <c r="H122" s="417"/>
      <c r="I122" s="417"/>
      <c r="J122" s="417">
        <f t="shared" si="0"/>
        <v>0</v>
      </c>
      <c r="K122" s="417"/>
      <c r="L122" s="417"/>
      <c r="M122" s="417">
        <f t="shared" si="1"/>
        <v>0</v>
      </c>
    </row>
    <row r="123" spans="1:13" s="410" customFormat="1" ht="15.75">
      <c r="A123" s="46"/>
      <c r="B123" s="28"/>
      <c r="C123" s="28" t="s">
        <v>217</v>
      </c>
      <c r="D123" s="28" t="s">
        <v>51</v>
      </c>
      <c r="E123" s="514" t="s">
        <v>54</v>
      </c>
      <c r="F123" s="417">
        <v>25</v>
      </c>
      <c r="G123" s="417"/>
      <c r="H123" s="417"/>
      <c r="I123" s="417"/>
      <c r="J123" s="417">
        <f t="shared" si="0"/>
        <v>0</v>
      </c>
      <c r="K123" s="417"/>
      <c r="L123" s="417"/>
      <c r="M123" s="417">
        <f t="shared" si="1"/>
        <v>0</v>
      </c>
    </row>
    <row r="124" spans="1:13" s="410" customFormat="1" ht="15.75">
      <c r="A124" s="46"/>
      <c r="B124" s="28"/>
      <c r="C124" s="28" t="s">
        <v>221</v>
      </c>
      <c r="D124" s="28" t="s">
        <v>51</v>
      </c>
      <c r="E124" s="514" t="s">
        <v>54</v>
      </c>
      <c r="F124" s="417">
        <v>3</v>
      </c>
      <c r="G124" s="417"/>
      <c r="H124" s="417"/>
      <c r="I124" s="417"/>
      <c r="J124" s="417">
        <f t="shared" si="0"/>
        <v>0</v>
      </c>
      <c r="K124" s="417"/>
      <c r="L124" s="417"/>
      <c r="M124" s="417">
        <f t="shared" si="1"/>
        <v>0</v>
      </c>
    </row>
    <row r="125" spans="1:13" s="410" customFormat="1" ht="15.75">
      <c r="A125" s="46"/>
      <c r="B125" s="28"/>
      <c r="C125" s="28" t="s">
        <v>222</v>
      </c>
      <c r="D125" s="28" t="s">
        <v>51</v>
      </c>
      <c r="E125" s="514" t="s">
        <v>54</v>
      </c>
      <c r="F125" s="417">
        <v>3</v>
      </c>
      <c r="G125" s="417"/>
      <c r="H125" s="417"/>
      <c r="I125" s="417"/>
      <c r="J125" s="417">
        <f t="shared" si="0"/>
        <v>0</v>
      </c>
      <c r="K125" s="417"/>
      <c r="L125" s="417"/>
      <c r="M125" s="417">
        <f t="shared" si="1"/>
        <v>0</v>
      </c>
    </row>
    <row r="126" spans="1:13" s="410" customFormat="1" ht="15.75">
      <c r="A126" s="46"/>
      <c r="B126" s="28"/>
      <c r="C126" s="28" t="s">
        <v>223</v>
      </c>
      <c r="D126" s="28" t="s">
        <v>51</v>
      </c>
      <c r="E126" s="514" t="s">
        <v>54</v>
      </c>
      <c r="F126" s="417">
        <v>2</v>
      </c>
      <c r="G126" s="417"/>
      <c r="H126" s="417"/>
      <c r="I126" s="417"/>
      <c r="J126" s="417">
        <f t="shared" si="0"/>
        <v>0</v>
      </c>
      <c r="K126" s="417"/>
      <c r="L126" s="417"/>
      <c r="M126" s="417">
        <f t="shared" si="1"/>
        <v>0</v>
      </c>
    </row>
    <row r="127" spans="1:13" s="410" customFormat="1" ht="15.75">
      <c r="A127" s="46"/>
      <c r="B127" s="28"/>
      <c r="C127" s="28" t="s">
        <v>224</v>
      </c>
      <c r="D127" s="28" t="s">
        <v>51</v>
      </c>
      <c r="E127" s="514" t="s">
        <v>54</v>
      </c>
      <c r="F127" s="417">
        <v>1</v>
      </c>
      <c r="G127" s="417"/>
      <c r="H127" s="417"/>
      <c r="I127" s="417"/>
      <c r="J127" s="417">
        <f t="shared" si="0"/>
        <v>0</v>
      </c>
      <c r="K127" s="417"/>
      <c r="L127" s="417"/>
      <c r="M127" s="417">
        <f t="shared" si="1"/>
        <v>0</v>
      </c>
    </row>
    <row r="128" spans="1:13" s="410" customFormat="1" ht="15.75">
      <c r="A128" s="46"/>
      <c r="B128" s="28"/>
      <c r="C128" s="28" t="s">
        <v>225</v>
      </c>
      <c r="D128" s="28" t="s">
        <v>51</v>
      </c>
      <c r="E128" s="514" t="s">
        <v>54</v>
      </c>
      <c r="F128" s="417">
        <v>2</v>
      </c>
      <c r="G128" s="417"/>
      <c r="H128" s="417"/>
      <c r="I128" s="417"/>
      <c r="J128" s="417">
        <f t="shared" si="0"/>
        <v>0</v>
      </c>
      <c r="K128" s="417"/>
      <c r="L128" s="417"/>
      <c r="M128" s="417">
        <f t="shared" si="1"/>
        <v>0</v>
      </c>
    </row>
    <row r="129" spans="1:13" s="410" customFormat="1" ht="15.75">
      <c r="A129" s="46"/>
      <c r="B129" s="28"/>
      <c r="C129" s="28" t="s">
        <v>226</v>
      </c>
      <c r="D129" s="28" t="s">
        <v>51</v>
      </c>
      <c r="E129" s="514" t="s">
        <v>54</v>
      </c>
      <c r="F129" s="417">
        <v>4</v>
      </c>
      <c r="G129" s="417"/>
      <c r="H129" s="417"/>
      <c r="I129" s="417"/>
      <c r="J129" s="417">
        <f t="shared" si="0"/>
        <v>0</v>
      </c>
      <c r="K129" s="417"/>
      <c r="L129" s="417"/>
      <c r="M129" s="417">
        <f t="shared" si="1"/>
        <v>0</v>
      </c>
    </row>
    <row r="130" spans="1:13" s="410" customFormat="1" ht="15.75">
      <c r="A130" s="46"/>
      <c r="B130" s="28"/>
      <c r="C130" s="28" t="s">
        <v>227</v>
      </c>
      <c r="D130" s="28" t="s">
        <v>51</v>
      </c>
      <c r="E130" s="514" t="s">
        <v>54</v>
      </c>
      <c r="F130" s="417">
        <v>2</v>
      </c>
      <c r="G130" s="417"/>
      <c r="H130" s="417"/>
      <c r="I130" s="417"/>
      <c r="J130" s="417">
        <f t="shared" si="0"/>
        <v>0</v>
      </c>
      <c r="K130" s="417"/>
      <c r="L130" s="417"/>
      <c r="M130" s="417">
        <f t="shared" si="1"/>
        <v>0</v>
      </c>
    </row>
    <row r="131" spans="1:13" s="410" customFormat="1" ht="15.75">
      <c r="A131" s="46"/>
      <c r="B131" s="28"/>
      <c r="C131" s="28" t="s">
        <v>228</v>
      </c>
      <c r="D131" s="28" t="s">
        <v>51</v>
      </c>
      <c r="E131" s="514" t="s">
        <v>54</v>
      </c>
      <c r="F131" s="417">
        <v>42</v>
      </c>
      <c r="G131" s="417"/>
      <c r="H131" s="417"/>
      <c r="I131" s="417"/>
      <c r="J131" s="417">
        <f t="shared" si="0"/>
        <v>0</v>
      </c>
      <c r="K131" s="417"/>
      <c r="L131" s="417"/>
      <c r="M131" s="417">
        <f t="shared" si="1"/>
        <v>0</v>
      </c>
    </row>
    <row r="132" spans="1:13" s="410" customFormat="1" ht="15.75">
      <c r="A132" s="46"/>
      <c r="B132" s="28"/>
      <c r="C132" s="28" t="s">
        <v>218</v>
      </c>
      <c r="D132" s="28" t="s">
        <v>51</v>
      </c>
      <c r="E132" s="514" t="s">
        <v>54</v>
      </c>
      <c r="F132" s="417">
        <v>3</v>
      </c>
      <c r="G132" s="417"/>
      <c r="H132" s="417"/>
      <c r="I132" s="417"/>
      <c r="J132" s="417">
        <f t="shared" si="0"/>
        <v>0</v>
      </c>
      <c r="K132" s="417"/>
      <c r="L132" s="417"/>
      <c r="M132" s="417">
        <f t="shared" si="1"/>
        <v>0</v>
      </c>
    </row>
    <row r="133" spans="1:13" s="410" customFormat="1" ht="15.75">
      <c r="A133" s="46"/>
      <c r="B133" s="28"/>
      <c r="C133" s="28" t="s">
        <v>219</v>
      </c>
      <c r="D133" s="28" t="s">
        <v>51</v>
      </c>
      <c r="E133" s="514" t="s">
        <v>54</v>
      </c>
      <c r="F133" s="417">
        <v>6</v>
      </c>
      <c r="G133" s="417"/>
      <c r="H133" s="417"/>
      <c r="I133" s="417"/>
      <c r="J133" s="417">
        <f t="shared" si="0"/>
        <v>0</v>
      </c>
      <c r="K133" s="417"/>
      <c r="L133" s="417"/>
      <c r="M133" s="417">
        <f t="shared" si="1"/>
        <v>0</v>
      </c>
    </row>
    <row r="134" spans="1:13" s="410" customFormat="1" ht="15.75">
      <c r="A134" s="46"/>
      <c r="B134" s="28"/>
      <c r="C134" s="28" t="s">
        <v>220</v>
      </c>
      <c r="D134" s="28" t="s">
        <v>51</v>
      </c>
      <c r="E134" s="514" t="s">
        <v>54</v>
      </c>
      <c r="F134" s="417">
        <v>45</v>
      </c>
      <c r="G134" s="417"/>
      <c r="H134" s="417"/>
      <c r="I134" s="417"/>
      <c r="J134" s="417">
        <f t="shared" si="0"/>
        <v>0</v>
      </c>
      <c r="K134" s="417"/>
      <c r="L134" s="417"/>
      <c r="M134" s="417">
        <f t="shared" si="1"/>
        <v>0</v>
      </c>
    </row>
    <row r="135" spans="1:13" s="410" customFormat="1" ht="15.75">
      <c r="A135" s="46"/>
      <c r="B135" s="28"/>
      <c r="C135" s="28" t="s">
        <v>52</v>
      </c>
      <c r="D135" s="28" t="s">
        <v>45</v>
      </c>
      <c r="E135" s="433">
        <v>0.17</v>
      </c>
      <c r="F135" s="417">
        <f>F118*E135</f>
        <v>24.650000000000002</v>
      </c>
      <c r="G135" s="417"/>
      <c r="H135" s="417"/>
      <c r="I135" s="417"/>
      <c r="J135" s="417">
        <f t="shared" si="0"/>
        <v>0</v>
      </c>
      <c r="K135" s="417"/>
      <c r="L135" s="417"/>
      <c r="M135" s="417">
        <f t="shared" si="1"/>
        <v>0</v>
      </c>
    </row>
    <row r="136" spans="1:13" s="410" customFormat="1" ht="27">
      <c r="A136" s="140">
        <v>9</v>
      </c>
      <c r="B136" s="431" t="s">
        <v>396</v>
      </c>
      <c r="C136" s="135" t="s">
        <v>397</v>
      </c>
      <c r="D136" s="135" t="s">
        <v>51</v>
      </c>
      <c r="E136" s="435"/>
      <c r="F136" s="432">
        <v>18</v>
      </c>
      <c r="G136" s="432"/>
      <c r="H136" s="432"/>
      <c r="I136" s="432"/>
      <c r="J136" s="432"/>
      <c r="K136" s="432"/>
      <c r="L136" s="432"/>
      <c r="M136" s="432"/>
    </row>
    <row r="137" spans="1:13" s="410" customFormat="1" ht="15.75">
      <c r="A137" s="46"/>
      <c r="B137" s="28"/>
      <c r="C137" s="28" t="s">
        <v>43</v>
      </c>
      <c r="D137" s="28" t="s">
        <v>15</v>
      </c>
      <c r="E137" s="433">
        <v>2.38</v>
      </c>
      <c r="F137" s="26">
        <f>F136*E137</f>
        <v>42.839999999999996</v>
      </c>
      <c r="G137" s="417"/>
      <c r="H137" s="417">
        <f>F137*G137</f>
        <v>0</v>
      </c>
      <c r="I137" s="417"/>
      <c r="J137" s="417"/>
      <c r="K137" s="417"/>
      <c r="L137" s="417"/>
      <c r="M137" s="417">
        <f>H137</f>
        <v>0</v>
      </c>
    </row>
    <row r="138" spans="1:13" s="410" customFormat="1" ht="15.75">
      <c r="A138" s="46"/>
      <c r="B138" s="28"/>
      <c r="C138" s="28" t="s">
        <v>44</v>
      </c>
      <c r="D138" s="28" t="s">
        <v>45</v>
      </c>
      <c r="E138" s="433">
        <v>0.18</v>
      </c>
      <c r="F138" s="417">
        <f>F136*E138</f>
        <v>3.2399999999999998</v>
      </c>
      <c r="G138" s="417"/>
      <c r="H138" s="417"/>
      <c r="I138" s="417"/>
      <c r="J138" s="417"/>
      <c r="K138" s="417"/>
      <c r="L138" s="417">
        <f>F138*K138</f>
        <v>0</v>
      </c>
      <c r="M138" s="417">
        <f>L138</f>
        <v>0</v>
      </c>
    </row>
    <row r="139" spans="1:13" s="410" customFormat="1" ht="15.75">
      <c r="A139" s="46"/>
      <c r="B139" s="28"/>
      <c r="C139" s="28" t="s">
        <v>398</v>
      </c>
      <c r="D139" s="28" t="s">
        <v>51</v>
      </c>
      <c r="E139" s="433">
        <v>1</v>
      </c>
      <c r="F139" s="417">
        <f>F136*E139</f>
        <v>18</v>
      </c>
      <c r="G139" s="417"/>
      <c r="H139" s="417"/>
      <c r="I139" s="417"/>
      <c r="J139" s="417">
        <f>F139*I139</f>
        <v>0</v>
      </c>
      <c r="K139" s="417"/>
      <c r="L139" s="417"/>
      <c r="M139" s="417">
        <f>J139</f>
        <v>0</v>
      </c>
    </row>
    <row r="140" spans="1:13" s="410" customFormat="1" ht="15.75">
      <c r="A140" s="46"/>
      <c r="B140" s="28"/>
      <c r="C140" s="28" t="s">
        <v>81</v>
      </c>
      <c r="D140" s="28" t="s">
        <v>45</v>
      </c>
      <c r="E140" s="433">
        <v>1.36</v>
      </c>
      <c r="F140" s="417">
        <f>F136*E140</f>
        <v>24.48</v>
      </c>
      <c r="G140" s="417"/>
      <c r="H140" s="417"/>
      <c r="I140" s="417"/>
      <c r="J140" s="417">
        <f>F140*I140</f>
        <v>0</v>
      </c>
      <c r="K140" s="417"/>
      <c r="L140" s="417"/>
      <c r="M140" s="417">
        <f>J140</f>
        <v>0</v>
      </c>
    </row>
    <row r="141" spans="1:13" s="669" customFormat="1" ht="34.5" customHeight="1">
      <c r="A141" s="665">
        <v>10</v>
      </c>
      <c r="B141" s="666" t="s">
        <v>396</v>
      </c>
      <c r="C141" s="629" t="s">
        <v>397</v>
      </c>
      <c r="D141" s="629" t="s">
        <v>51</v>
      </c>
      <c r="E141" s="667"/>
      <c r="F141" s="668">
        <v>46</v>
      </c>
      <c r="G141" s="668"/>
      <c r="H141" s="668"/>
      <c r="I141" s="668"/>
      <c r="J141" s="668"/>
      <c r="K141" s="668"/>
      <c r="L141" s="668"/>
      <c r="M141" s="668"/>
    </row>
    <row r="142" spans="1:13" s="669" customFormat="1" ht="15.75">
      <c r="A142" s="670"/>
      <c r="B142" s="630"/>
      <c r="C142" s="630" t="s">
        <v>43</v>
      </c>
      <c r="D142" s="630" t="s">
        <v>15</v>
      </c>
      <c r="E142" s="671">
        <v>2.38</v>
      </c>
      <c r="F142" s="636">
        <f>F141*E142</f>
        <v>109.47999999999999</v>
      </c>
      <c r="G142" s="672"/>
      <c r="H142" s="672">
        <f>F142*G142</f>
        <v>0</v>
      </c>
      <c r="I142" s="672"/>
      <c r="J142" s="672"/>
      <c r="K142" s="672"/>
      <c r="L142" s="672"/>
      <c r="M142" s="672">
        <f>H142</f>
        <v>0</v>
      </c>
    </row>
    <row r="143" spans="1:13" s="669" customFormat="1" ht="15.75">
      <c r="A143" s="670"/>
      <c r="B143" s="630"/>
      <c r="C143" s="630" t="s">
        <v>44</v>
      </c>
      <c r="D143" s="630" t="s">
        <v>45</v>
      </c>
      <c r="E143" s="671">
        <v>0.18</v>
      </c>
      <c r="F143" s="672">
        <f>F141*E143</f>
        <v>8.28</v>
      </c>
      <c r="G143" s="672"/>
      <c r="H143" s="672"/>
      <c r="I143" s="672"/>
      <c r="J143" s="672"/>
      <c r="K143" s="672"/>
      <c r="L143" s="672">
        <f>F143*K143</f>
        <v>0</v>
      </c>
      <c r="M143" s="672">
        <f>L143</f>
        <v>0</v>
      </c>
    </row>
    <row r="144" spans="1:13" s="669" customFormat="1" ht="15.75">
      <c r="A144" s="670"/>
      <c r="B144" s="630"/>
      <c r="C144" s="630" t="s">
        <v>398</v>
      </c>
      <c r="D144" s="630" t="s">
        <v>51</v>
      </c>
      <c r="E144" s="671">
        <v>1</v>
      </c>
      <c r="F144" s="672">
        <f>F141*E144</f>
        <v>46</v>
      </c>
      <c r="G144" s="672"/>
      <c r="H144" s="672"/>
      <c r="I144" s="672"/>
      <c r="J144" s="672">
        <f>F144*I144</f>
        <v>0</v>
      </c>
      <c r="K144" s="672"/>
      <c r="L144" s="672"/>
      <c r="M144" s="672">
        <f>J144</f>
        <v>0</v>
      </c>
    </row>
    <row r="145" spans="1:13" s="669" customFormat="1" ht="15.75">
      <c r="A145" s="670"/>
      <c r="B145" s="630"/>
      <c r="C145" s="630" t="s">
        <v>81</v>
      </c>
      <c r="D145" s="630" t="s">
        <v>45</v>
      </c>
      <c r="E145" s="671">
        <v>1.36</v>
      </c>
      <c r="F145" s="672">
        <f>F141*E145</f>
        <v>62.56</v>
      </c>
      <c r="G145" s="672"/>
      <c r="H145" s="672"/>
      <c r="I145" s="672"/>
      <c r="J145" s="672">
        <f>F145*I145</f>
        <v>0</v>
      </c>
      <c r="K145" s="672"/>
      <c r="L145" s="672"/>
      <c r="M145" s="672">
        <f>J145</f>
        <v>0</v>
      </c>
    </row>
    <row r="146" spans="1:13" s="669" customFormat="1" ht="27">
      <c r="A146" s="665">
        <v>11</v>
      </c>
      <c r="B146" s="666" t="s">
        <v>396</v>
      </c>
      <c r="C146" s="629" t="s">
        <v>840</v>
      </c>
      <c r="D146" s="629" t="s">
        <v>51</v>
      </c>
      <c r="E146" s="667"/>
      <c r="F146" s="668">
        <v>3</v>
      </c>
      <c r="G146" s="668"/>
      <c r="H146" s="668"/>
      <c r="I146" s="668"/>
      <c r="J146" s="668"/>
      <c r="K146" s="668"/>
      <c r="L146" s="668"/>
      <c r="M146" s="668"/>
    </row>
    <row r="147" spans="1:13" s="410" customFormat="1" ht="15.75">
      <c r="A147" s="46"/>
      <c r="B147" s="28"/>
      <c r="C147" s="28" t="s">
        <v>43</v>
      </c>
      <c r="D147" s="28" t="s">
        <v>15</v>
      </c>
      <c r="E147" s="433">
        <v>2.38</v>
      </c>
      <c r="F147" s="26">
        <f>F146*E147</f>
        <v>7.14</v>
      </c>
      <c r="G147" s="417"/>
      <c r="H147" s="417">
        <f>F147*G147</f>
        <v>0</v>
      </c>
      <c r="I147" s="417"/>
      <c r="J147" s="417"/>
      <c r="K147" s="417"/>
      <c r="L147" s="417"/>
      <c r="M147" s="417">
        <f>H147</f>
        <v>0</v>
      </c>
    </row>
    <row r="148" spans="1:13" s="410" customFormat="1" ht="15.75">
      <c r="A148" s="46"/>
      <c r="B148" s="28"/>
      <c r="C148" s="28" t="s">
        <v>44</v>
      </c>
      <c r="D148" s="28" t="s">
        <v>45</v>
      </c>
      <c r="E148" s="433">
        <v>0.18</v>
      </c>
      <c r="F148" s="417">
        <f>F146*E148</f>
        <v>0.54</v>
      </c>
      <c r="G148" s="417"/>
      <c r="H148" s="417"/>
      <c r="I148" s="417"/>
      <c r="J148" s="417"/>
      <c r="K148" s="417"/>
      <c r="L148" s="417">
        <f>F148*K148</f>
        <v>0</v>
      </c>
      <c r="M148" s="417">
        <f>L148</f>
        <v>0</v>
      </c>
    </row>
    <row r="149" spans="1:13" s="410" customFormat="1" ht="15.75">
      <c r="A149" s="46"/>
      <c r="B149" s="28"/>
      <c r="C149" s="28" t="s">
        <v>398</v>
      </c>
      <c r="D149" s="28" t="s">
        <v>51</v>
      </c>
      <c r="E149" s="433">
        <v>1</v>
      </c>
      <c r="F149" s="417">
        <f>F146*E149</f>
        <v>3</v>
      </c>
      <c r="G149" s="417"/>
      <c r="H149" s="417"/>
      <c r="I149" s="417"/>
      <c r="J149" s="417">
        <f>F149*I149</f>
        <v>0</v>
      </c>
      <c r="K149" s="417"/>
      <c r="L149" s="417"/>
      <c r="M149" s="417">
        <f>J149</f>
        <v>0</v>
      </c>
    </row>
    <row r="150" spans="1:13" s="410" customFormat="1" ht="15.75">
      <c r="A150" s="46"/>
      <c r="B150" s="28"/>
      <c r="C150" s="28" t="s">
        <v>81</v>
      </c>
      <c r="D150" s="28" t="s">
        <v>45</v>
      </c>
      <c r="E150" s="433">
        <v>1.36</v>
      </c>
      <c r="F150" s="417">
        <f>F146*E150</f>
        <v>4.08</v>
      </c>
      <c r="G150" s="417"/>
      <c r="H150" s="417"/>
      <c r="I150" s="417"/>
      <c r="J150" s="417">
        <f>F150*I150</f>
        <v>0</v>
      </c>
      <c r="K150" s="417"/>
      <c r="L150" s="417"/>
      <c r="M150" s="417">
        <f>J150</f>
        <v>0</v>
      </c>
    </row>
    <row r="151" spans="1:13" s="410" customFormat="1" ht="15.75">
      <c r="A151" s="140">
        <v>12</v>
      </c>
      <c r="B151" s="431" t="s">
        <v>399</v>
      </c>
      <c r="C151" s="140" t="s">
        <v>608</v>
      </c>
      <c r="D151" s="135" t="s">
        <v>51</v>
      </c>
      <c r="E151" s="435"/>
      <c r="F151" s="432">
        <v>7</v>
      </c>
      <c r="G151" s="432"/>
      <c r="H151" s="432"/>
      <c r="I151" s="432"/>
      <c r="J151" s="432"/>
      <c r="K151" s="432"/>
      <c r="L151" s="432"/>
      <c r="M151" s="432"/>
    </row>
    <row r="152" spans="1:13" s="410" customFormat="1" ht="15.75">
      <c r="A152" s="46"/>
      <c r="B152" s="28"/>
      <c r="C152" s="46" t="s">
        <v>43</v>
      </c>
      <c r="D152" s="28" t="s">
        <v>15</v>
      </c>
      <c r="E152" s="585">
        <v>0.22</v>
      </c>
      <c r="F152" s="417">
        <f>F151*E152</f>
        <v>1.54</v>
      </c>
      <c r="G152" s="417"/>
      <c r="H152" s="417">
        <f>F152*G152</f>
        <v>0</v>
      </c>
      <c r="I152" s="417"/>
      <c r="J152" s="417"/>
      <c r="K152" s="417"/>
      <c r="L152" s="417"/>
      <c r="M152" s="417">
        <f>H152</f>
        <v>0</v>
      </c>
    </row>
    <row r="153" spans="1:13" s="410" customFormat="1" ht="15.75">
      <c r="A153" s="46"/>
      <c r="B153" s="28"/>
      <c r="C153" s="46" t="s">
        <v>44</v>
      </c>
      <c r="D153" s="28" t="s">
        <v>45</v>
      </c>
      <c r="E153" s="585">
        <v>0.01</v>
      </c>
      <c r="F153" s="417">
        <f>F151*E153</f>
        <v>0.07</v>
      </c>
      <c r="G153" s="417"/>
      <c r="H153" s="417"/>
      <c r="I153" s="417"/>
      <c r="J153" s="417"/>
      <c r="K153" s="417"/>
      <c r="L153" s="417">
        <f>F153*K153</f>
        <v>0</v>
      </c>
      <c r="M153" s="417">
        <f>L153</f>
        <v>0</v>
      </c>
    </row>
    <row r="154" spans="1:13" s="410" customFormat="1" ht="15.75">
      <c r="A154" s="46"/>
      <c r="B154" s="28"/>
      <c r="C154" s="46" t="s">
        <v>400</v>
      </c>
      <c r="D154" s="28" t="s">
        <v>51</v>
      </c>
      <c r="E154" s="585">
        <v>1</v>
      </c>
      <c r="F154" s="417">
        <f>F151*E154</f>
        <v>7</v>
      </c>
      <c r="G154" s="417"/>
      <c r="H154" s="417"/>
      <c r="I154" s="417"/>
      <c r="J154" s="417">
        <f>F154*I154</f>
        <v>0</v>
      </c>
      <c r="K154" s="417"/>
      <c r="L154" s="417"/>
      <c r="M154" s="417">
        <f>J154</f>
        <v>0</v>
      </c>
    </row>
    <row r="155" spans="1:13" s="410" customFormat="1" ht="15.75">
      <c r="A155" s="46"/>
      <c r="B155" s="28"/>
      <c r="C155" s="46" t="s">
        <v>52</v>
      </c>
      <c r="D155" s="28" t="s">
        <v>45</v>
      </c>
      <c r="E155" s="585">
        <v>0.02</v>
      </c>
      <c r="F155" s="417">
        <f>F151*E155</f>
        <v>0.14</v>
      </c>
      <c r="G155" s="417"/>
      <c r="H155" s="417"/>
      <c r="I155" s="417"/>
      <c r="J155" s="417">
        <f>F155*I155</f>
        <v>0</v>
      </c>
      <c r="K155" s="417"/>
      <c r="L155" s="417"/>
      <c r="M155" s="417">
        <f>J155</f>
        <v>0</v>
      </c>
    </row>
    <row r="156" spans="1:13" s="410" customFormat="1" ht="15.75">
      <c r="A156" s="496">
        <v>13</v>
      </c>
      <c r="B156" s="443" t="s">
        <v>401</v>
      </c>
      <c r="C156" s="496" t="s">
        <v>403</v>
      </c>
      <c r="D156" s="301" t="s">
        <v>51</v>
      </c>
      <c r="E156" s="435"/>
      <c r="F156" s="445">
        <v>3</v>
      </c>
      <c r="G156" s="445"/>
      <c r="H156" s="445"/>
      <c r="I156" s="445"/>
      <c r="J156" s="445"/>
      <c r="K156" s="445"/>
      <c r="L156" s="445"/>
      <c r="M156" s="445"/>
    </row>
    <row r="157" spans="1:13" s="410" customFormat="1" ht="15.75">
      <c r="A157" s="46"/>
      <c r="B157" s="28"/>
      <c r="C157" s="46" t="s">
        <v>43</v>
      </c>
      <c r="D157" s="28" t="s">
        <v>15</v>
      </c>
      <c r="E157" s="585">
        <v>2.67</v>
      </c>
      <c r="F157" s="417">
        <f>F156*E157</f>
        <v>8.01</v>
      </c>
      <c r="G157" s="417"/>
      <c r="H157" s="417">
        <f>F157*G157</f>
        <v>0</v>
      </c>
      <c r="I157" s="417"/>
      <c r="J157" s="417"/>
      <c r="K157" s="417"/>
      <c r="L157" s="417"/>
      <c r="M157" s="417">
        <f>H157</f>
        <v>0</v>
      </c>
    </row>
    <row r="158" spans="1:13" s="410" customFormat="1" ht="15.75">
      <c r="A158" s="46"/>
      <c r="B158" s="28"/>
      <c r="C158" s="46" t="s">
        <v>44</v>
      </c>
      <c r="D158" s="28" t="s">
        <v>45</v>
      </c>
      <c r="E158" s="585">
        <v>0.29</v>
      </c>
      <c r="F158" s="417">
        <f>F156*E158</f>
        <v>0.8699999999999999</v>
      </c>
      <c r="G158" s="417"/>
      <c r="H158" s="417"/>
      <c r="I158" s="417"/>
      <c r="J158" s="417"/>
      <c r="K158" s="417"/>
      <c r="L158" s="417">
        <f>F158*K158</f>
        <v>0</v>
      </c>
      <c r="M158" s="417">
        <f>L158</f>
        <v>0</v>
      </c>
    </row>
    <row r="159" spans="1:13" s="410" customFormat="1" ht="31.5">
      <c r="A159" s="46"/>
      <c r="B159" s="28"/>
      <c r="C159" s="133" t="s">
        <v>404</v>
      </c>
      <c r="D159" s="28" t="s">
        <v>51</v>
      </c>
      <c r="E159" s="585">
        <v>1</v>
      </c>
      <c r="F159" s="417">
        <f>F156*E159</f>
        <v>3</v>
      </c>
      <c r="G159" s="417"/>
      <c r="H159" s="417"/>
      <c r="I159" s="417"/>
      <c r="J159" s="417">
        <f>F159*I159</f>
        <v>0</v>
      </c>
      <c r="K159" s="417"/>
      <c r="L159" s="417"/>
      <c r="M159" s="417">
        <f>J159</f>
        <v>0</v>
      </c>
    </row>
    <row r="160" spans="1:13" s="410" customFormat="1" ht="15.75">
      <c r="A160" s="46"/>
      <c r="B160" s="28"/>
      <c r="C160" s="46" t="s">
        <v>402</v>
      </c>
      <c r="D160" s="28" t="s">
        <v>49</v>
      </c>
      <c r="E160" s="585">
        <v>2</v>
      </c>
      <c r="F160" s="417">
        <f>F156*E160</f>
        <v>6</v>
      </c>
      <c r="G160" s="417"/>
      <c r="H160" s="417"/>
      <c r="I160" s="417"/>
      <c r="J160" s="417">
        <f>F160*I160</f>
        <v>0</v>
      </c>
      <c r="K160" s="417"/>
      <c r="L160" s="417"/>
      <c r="M160" s="417">
        <f>J160</f>
        <v>0</v>
      </c>
    </row>
    <row r="161" spans="1:13" s="410" customFormat="1" ht="15.75">
      <c r="A161" s="46"/>
      <c r="B161" s="28"/>
      <c r="C161" s="46" t="s">
        <v>421</v>
      </c>
      <c r="D161" s="28" t="s">
        <v>51</v>
      </c>
      <c r="E161" s="585">
        <v>2</v>
      </c>
      <c r="F161" s="417">
        <f>F156*E161</f>
        <v>6</v>
      </c>
      <c r="G161" s="417"/>
      <c r="H161" s="417"/>
      <c r="I161" s="417"/>
      <c r="J161" s="417">
        <f>F161*I161</f>
        <v>0</v>
      </c>
      <c r="K161" s="417"/>
      <c r="L161" s="417"/>
      <c r="M161" s="417">
        <f>J161</f>
        <v>0</v>
      </c>
    </row>
    <row r="162" spans="1:13" s="410" customFormat="1" ht="15.75">
      <c r="A162" s="46"/>
      <c r="B162" s="28"/>
      <c r="C162" s="46" t="s">
        <v>52</v>
      </c>
      <c r="D162" s="28" t="s">
        <v>45</v>
      </c>
      <c r="E162" s="585">
        <v>0.2</v>
      </c>
      <c r="F162" s="417">
        <f>F156*E162</f>
        <v>0.6000000000000001</v>
      </c>
      <c r="G162" s="417"/>
      <c r="H162" s="417"/>
      <c r="I162" s="417"/>
      <c r="J162" s="417">
        <f>F162*I162</f>
        <v>0</v>
      </c>
      <c r="K162" s="417"/>
      <c r="L162" s="417"/>
      <c r="M162" s="417">
        <f>J162</f>
        <v>0</v>
      </c>
    </row>
    <row r="163" spans="1:13" s="410" customFormat="1" ht="15.75">
      <c r="A163" s="496">
        <v>14</v>
      </c>
      <c r="B163" s="443" t="s">
        <v>401</v>
      </c>
      <c r="C163" s="496" t="s">
        <v>405</v>
      </c>
      <c r="D163" s="301" t="s">
        <v>51</v>
      </c>
      <c r="E163" s="435"/>
      <c r="F163" s="445">
        <v>2</v>
      </c>
      <c r="G163" s="445"/>
      <c r="H163" s="445"/>
      <c r="I163" s="445"/>
      <c r="J163" s="445"/>
      <c r="K163" s="445"/>
      <c r="L163" s="445"/>
      <c r="M163" s="445"/>
    </row>
    <row r="164" spans="1:13" s="410" customFormat="1" ht="15.75">
      <c r="A164" s="46"/>
      <c r="B164" s="28"/>
      <c r="C164" s="46" t="s">
        <v>43</v>
      </c>
      <c r="D164" s="28" t="s">
        <v>15</v>
      </c>
      <c r="E164" s="585">
        <v>2.67</v>
      </c>
      <c r="F164" s="417">
        <f>F163*E164</f>
        <v>5.34</v>
      </c>
      <c r="G164" s="417"/>
      <c r="H164" s="417">
        <f>F164*G164</f>
        <v>0</v>
      </c>
      <c r="I164" s="417"/>
      <c r="J164" s="417"/>
      <c r="K164" s="417"/>
      <c r="L164" s="417"/>
      <c r="M164" s="417">
        <f>H164</f>
        <v>0</v>
      </c>
    </row>
    <row r="165" spans="1:13" s="410" customFormat="1" ht="15.75">
      <c r="A165" s="46"/>
      <c r="B165" s="28"/>
      <c r="C165" s="46" t="s">
        <v>44</v>
      </c>
      <c r="D165" s="28" t="s">
        <v>45</v>
      </c>
      <c r="E165" s="585">
        <v>0.29</v>
      </c>
      <c r="F165" s="417">
        <f>F163*E165</f>
        <v>0.58</v>
      </c>
      <c r="G165" s="417"/>
      <c r="H165" s="417"/>
      <c r="I165" s="417"/>
      <c r="J165" s="417"/>
      <c r="K165" s="417"/>
      <c r="L165" s="417">
        <f>F165*K165</f>
        <v>0</v>
      </c>
      <c r="M165" s="417">
        <f>L165</f>
        <v>0</v>
      </c>
    </row>
    <row r="166" spans="1:13" s="410" customFormat="1" ht="15.75">
      <c r="A166" s="46"/>
      <c r="B166" s="28"/>
      <c r="C166" s="46" t="s">
        <v>406</v>
      </c>
      <c r="D166" s="28" t="s">
        <v>51</v>
      </c>
      <c r="E166" s="585">
        <v>1</v>
      </c>
      <c r="F166" s="417">
        <f>F163*E166</f>
        <v>2</v>
      </c>
      <c r="G166" s="417"/>
      <c r="H166" s="417"/>
      <c r="I166" s="417"/>
      <c r="J166" s="417">
        <f>F166*I166</f>
        <v>0</v>
      </c>
      <c r="K166" s="417"/>
      <c r="L166" s="417"/>
      <c r="M166" s="417">
        <f>J166</f>
        <v>0</v>
      </c>
    </row>
    <row r="167" spans="1:13" s="410" customFormat="1" ht="15.75">
      <c r="A167" s="46"/>
      <c r="B167" s="28"/>
      <c r="C167" s="46" t="s">
        <v>402</v>
      </c>
      <c r="D167" s="28" t="s">
        <v>49</v>
      </c>
      <c r="E167" s="585">
        <v>2</v>
      </c>
      <c r="F167" s="417">
        <f>F163*E167</f>
        <v>4</v>
      </c>
      <c r="G167" s="417"/>
      <c r="H167" s="417"/>
      <c r="I167" s="417"/>
      <c r="J167" s="417">
        <f>F167*I167</f>
        <v>0</v>
      </c>
      <c r="K167" s="417"/>
      <c r="L167" s="417"/>
      <c r="M167" s="417">
        <f>J167</f>
        <v>0</v>
      </c>
    </row>
    <row r="168" spans="1:13" s="410" customFormat="1" ht="15.75">
      <c r="A168" s="46"/>
      <c r="B168" s="28"/>
      <c r="C168" s="46" t="s">
        <v>407</v>
      </c>
      <c r="D168" s="28" t="s">
        <v>51</v>
      </c>
      <c r="E168" s="585">
        <v>2</v>
      </c>
      <c r="F168" s="417">
        <f>F163*E168</f>
        <v>4</v>
      </c>
      <c r="G168" s="417"/>
      <c r="H168" s="417"/>
      <c r="I168" s="417"/>
      <c r="J168" s="417">
        <f>F168*I168</f>
        <v>0</v>
      </c>
      <c r="K168" s="417"/>
      <c r="L168" s="417"/>
      <c r="M168" s="417">
        <f>J168</f>
        <v>0</v>
      </c>
    </row>
    <row r="169" spans="1:13" s="410" customFormat="1" ht="15.75">
      <c r="A169" s="46"/>
      <c r="B169" s="28"/>
      <c r="C169" s="46" t="s">
        <v>52</v>
      </c>
      <c r="D169" s="28" t="s">
        <v>45</v>
      </c>
      <c r="E169" s="585">
        <v>0.2</v>
      </c>
      <c r="F169" s="417">
        <f>F163*E169</f>
        <v>0.4</v>
      </c>
      <c r="G169" s="417"/>
      <c r="H169" s="417"/>
      <c r="I169" s="417"/>
      <c r="J169" s="417">
        <f>F169*I169</f>
        <v>0</v>
      </c>
      <c r="K169" s="417"/>
      <c r="L169" s="417"/>
      <c r="M169" s="417">
        <f>J169</f>
        <v>0</v>
      </c>
    </row>
    <row r="170" spans="1:13" s="410" customFormat="1" ht="27">
      <c r="A170" s="140">
        <v>15</v>
      </c>
      <c r="B170" s="431" t="s">
        <v>408</v>
      </c>
      <c r="C170" s="140" t="s">
        <v>409</v>
      </c>
      <c r="D170" s="135" t="s">
        <v>51</v>
      </c>
      <c r="E170" s="435"/>
      <c r="F170" s="432">
        <v>2</v>
      </c>
      <c r="G170" s="432"/>
      <c r="H170" s="432"/>
      <c r="I170" s="432"/>
      <c r="J170" s="432"/>
      <c r="K170" s="432"/>
      <c r="L170" s="432"/>
      <c r="M170" s="432"/>
    </row>
    <row r="171" spans="1:13" s="410" customFormat="1" ht="15.75">
      <c r="A171" s="46"/>
      <c r="B171" s="559"/>
      <c r="C171" s="46" t="s">
        <v>43</v>
      </c>
      <c r="D171" s="28" t="s">
        <v>15</v>
      </c>
      <c r="E171" s="585">
        <v>1</v>
      </c>
      <c r="F171" s="417">
        <f>F170*E171</f>
        <v>2</v>
      </c>
      <c r="G171" s="417"/>
      <c r="H171" s="417">
        <f>F171*G171</f>
        <v>0</v>
      </c>
      <c r="I171" s="417"/>
      <c r="J171" s="417"/>
      <c r="K171" s="417"/>
      <c r="L171" s="417"/>
      <c r="M171" s="417">
        <f>H171</f>
        <v>0</v>
      </c>
    </row>
    <row r="172" spans="1:13" s="410" customFormat="1" ht="15.75">
      <c r="A172" s="46"/>
      <c r="B172" s="28"/>
      <c r="C172" s="46" t="s">
        <v>44</v>
      </c>
      <c r="D172" s="28" t="s">
        <v>45</v>
      </c>
      <c r="E172" s="585">
        <v>0.12</v>
      </c>
      <c r="F172" s="417">
        <f>F170*E172</f>
        <v>0.24</v>
      </c>
      <c r="G172" s="417"/>
      <c r="H172" s="417"/>
      <c r="I172" s="417"/>
      <c r="J172" s="417"/>
      <c r="K172" s="417"/>
      <c r="L172" s="417">
        <f>F172*K172</f>
        <v>0</v>
      </c>
      <c r="M172" s="417">
        <f>L172</f>
        <v>0</v>
      </c>
    </row>
    <row r="173" spans="1:13" s="410" customFormat="1" ht="15.75">
      <c r="A173" s="46"/>
      <c r="B173" s="28"/>
      <c r="C173" s="46" t="s">
        <v>81</v>
      </c>
      <c r="D173" s="28" t="s">
        <v>45</v>
      </c>
      <c r="E173" s="585">
        <v>4.69</v>
      </c>
      <c r="F173" s="417">
        <f>F170*E173</f>
        <v>9.38</v>
      </c>
      <c r="G173" s="417"/>
      <c r="H173" s="417"/>
      <c r="I173" s="417"/>
      <c r="J173" s="417">
        <f>F173*I173</f>
        <v>0</v>
      </c>
      <c r="K173" s="417"/>
      <c r="L173" s="417"/>
      <c r="M173" s="417">
        <f>J173</f>
        <v>0</v>
      </c>
    </row>
    <row r="174" spans="1:13" s="410" customFormat="1" ht="15.75">
      <c r="A174" s="133"/>
      <c r="B174" s="33"/>
      <c r="C174" s="133" t="s">
        <v>410</v>
      </c>
      <c r="D174" s="33" t="s">
        <v>51</v>
      </c>
      <c r="E174" s="585">
        <v>1</v>
      </c>
      <c r="F174" s="589">
        <f>F170</f>
        <v>2</v>
      </c>
      <c r="G174" s="589"/>
      <c r="H174" s="589"/>
      <c r="I174" s="589"/>
      <c r="J174" s="589">
        <f>F174*I174</f>
        <v>0</v>
      </c>
      <c r="K174" s="589"/>
      <c r="L174" s="589"/>
      <c r="M174" s="589">
        <f>J174</f>
        <v>0</v>
      </c>
    </row>
    <row r="175" spans="1:13" s="410" customFormat="1" ht="13.5">
      <c r="A175" s="411"/>
      <c r="B175" s="302"/>
      <c r="C175" s="135"/>
      <c r="D175" s="405"/>
      <c r="E175" s="406"/>
      <c r="F175" s="406"/>
      <c r="G175" s="802"/>
      <c r="H175" s="803"/>
      <c r="I175" s="803"/>
      <c r="J175" s="803"/>
      <c r="K175" s="802"/>
      <c r="L175" s="803"/>
      <c r="M175" s="803"/>
    </row>
    <row r="176" spans="1:13" s="410" customFormat="1" ht="13.5">
      <c r="A176" s="301">
        <v>16</v>
      </c>
      <c r="B176" s="443" t="s">
        <v>148</v>
      </c>
      <c r="C176" s="301" t="s">
        <v>412</v>
      </c>
      <c r="D176" s="301" t="s">
        <v>51</v>
      </c>
      <c r="E176" s="444"/>
      <c r="F176" s="445">
        <f>SUM(F179:F179)</f>
        <v>2</v>
      </c>
      <c r="G176" s="445"/>
      <c r="H176" s="445"/>
      <c r="I176" s="445"/>
      <c r="J176" s="445"/>
      <c r="K176" s="445"/>
      <c r="L176" s="445"/>
      <c r="M176" s="445"/>
    </row>
    <row r="177" spans="1:13" s="410" customFormat="1" ht="13.5">
      <c r="A177" s="28"/>
      <c r="B177" s="28"/>
      <c r="C177" s="28" t="s">
        <v>43</v>
      </c>
      <c r="D177" s="28" t="s">
        <v>15</v>
      </c>
      <c r="E177" s="433">
        <v>1.51</v>
      </c>
      <c r="F177" s="417">
        <f>F176*E177</f>
        <v>3.02</v>
      </c>
      <c r="G177" s="417"/>
      <c r="H177" s="417">
        <f>F177*G177</f>
        <v>0</v>
      </c>
      <c r="I177" s="417"/>
      <c r="J177" s="417"/>
      <c r="K177" s="417"/>
      <c r="L177" s="417"/>
      <c r="M177" s="417">
        <f>H177</f>
        <v>0</v>
      </c>
    </row>
    <row r="178" spans="1:13" s="410" customFormat="1" ht="13.5">
      <c r="A178" s="28"/>
      <c r="B178" s="28"/>
      <c r="C178" s="28" t="s">
        <v>44</v>
      </c>
      <c r="D178" s="28" t="s">
        <v>45</v>
      </c>
      <c r="E178" s="433">
        <v>0.13</v>
      </c>
      <c r="F178" s="417">
        <f>F176*E178</f>
        <v>0.26</v>
      </c>
      <c r="G178" s="417"/>
      <c r="H178" s="417"/>
      <c r="I178" s="417"/>
      <c r="J178" s="417"/>
      <c r="K178" s="417"/>
      <c r="L178" s="417">
        <f>F178*K178</f>
        <v>0</v>
      </c>
      <c r="M178" s="417">
        <f>L178</f>
        <v>0</v>
      </c>
    </row>
    <row r="179" spans="1:13" s="410" customFormat="1" ht="13.5">
      <c r="A179" s="28"/>
      <c r="B179" s="28"/>
      <c r="C179" s="28" t="s">
        <v>411</v>
      </c>
      <c r="D179" s="28" t="s">
        <v>51</v>
      </c>
      <c r="E179" s="446" t="s">
        <v>54</v>
      </c>
      <c r="F179" s="417">
        <v>2</v>
      </c>
      <c r="G179" s="417"/>
      <c r="H179" s="417"/>
      <c r="I179" s="417"/>
      <c r="J179" s="417">
        <f>F179*I179</f>
        <v>0</v>
      </c>
      <c r="K179" s="417"/>
      <c r="L179" s="417"/>
      <c r="M179" s="417">
        <f>J179</f>
        <v>0</v>
      </c>
    </row>
    <row r="180" spans="1:13" s="410" customFormat="1" ht="13.5">
      <c r="A180" s="28"/>
      <c r="B180" s="28"/>
      <c r="C180" s="28" t="s">
        <v>52</v>
      </c>
      <c r="D180" s="28" t="s">
        <v>45</v>
      </c>
      <c r="E180" s="433">
        <v>0.07</v>
      </c>
      <c r="F180" s="417">
        <f>F176*E180</f>
        <v>0.14</v>
      </c>
      <c r="G180" s="417"/>
      <c r="H180" s="417"/>
      <c r="I180" s="417"/>
      <c r="J180" s="417">
        <f>F180*I180</f>
        <v>0</v>
      </c>
      <c r="K180" s="417"/>
      <c r="L180" s="417"/>
      <c r="M180" s="417">
        <f>J180</f>
        <v>0</v>
      </c>
    </row>
    <row r="181" spans="1:13" s="410" customFormat="1" ht="15.75">
      <c r="A181" s="560"/>
      <c r="B181" s="31"/>
      <c r="C181" s="251"/>
      <c r="D181" s="252"/>
      <c r="E181" s="562"/>
      <c r="F181" s="563"/>
      <c r="G181" s="564"/>
      <c r="H181" s="563"/>
      <c r="I181" s="564"/>
      <c r="J181" s="563"/>
      <c r="K181" s="564"/>
      <c r="L181" s="563"/>
      <c r="M181" s="564"/>
    </row>
    <row r="182" spans="1:13" s="410" customFormat="1" ht="16.5">
      <c r="A182" s="560"/>
      <c r="B182" s="31"/>
      <c r="C182" s="590" t="s">
        <v>413</v>
      </c>
      <c r="D182" s="252"/>
      <c r="E182" s="562"/>
      <c r="F182" s="563"/>
      <c r="G182" s="564"/>
      <c r="H182" s="563"/>
      <c r="I182" s="564"/>
      <c r="J182" s="563"/>
      <c r="K182" s="564"/>
      <c r="L182" s="563"/>
      <c r="M182" s="564"/>
    </row>
    <row r="183" spans="1:13" s="569" customFormat="1" ht="26.25">
      <c r="A183" s="157">
        <v>1</v>
      </c>
      <c r="B183" s="434" t="s">
        <v>208</v>
      </c>
      <c r="C183" s="135" t="s">
        <v>835</v>
      </c>
      <c r="D183" s="322" t="s">
        <v>50</v>
      </c>
      <c r="E183" s="435"/>
      <c r="F183" s="432">
        <v>30</v>
      </c>
      <c r="G183" s="432"/>
      <c r="H183" s="432"/>
      <c r="I183" s="432"/>
      <c r="J183" s="432"/>
      <c r="K183" s="432"/>
      <c r="L183" s="432"/>
      <c r="M183" s="432"/>
    </row>
    <row r="184" spans="1:13" s="569" customFormat="1" ht="16.5">
      <c r="A184" s="46"/>
      <c r="B184" s="559"/>
      <c r="C184" s="150" t="s">
        <v>43</v>
      </c>
      <c r="D184" s="28" t="s">
        <v>15</v>
      </c>
      <c r="E184" s="433">
        <v>0.663</v>
      </c>
      <c r="F184" s="417">
        <f>F183*E184</f>
        <v>19.89</v>
      </c>
      <c r="G184" s="417"/>
      <c r="H184" s="417">
        <f>F184*G184</f>
        <v>0</v>
      </c>
      <c r="I184" s="417"/>
      <c r="J184" s="417"/>
      <c r="K184" s="417"/>
      <c r="L184" s="417"/>
      <c r="M184" s="417">
        <f>H184</f>
        <v>0</v>
      </c>
    </row>
    <row r="185" spans="1:13" s="569" customFormat="1" ht="16.5">
      <c r="A185" s="46"/>
      <c r="B185" s="28"/>
      <c r="C185" s="150" t="s">
        <v>44</v>
      </c>
      <c r="D185" s="28" t="s">
        <v>45</v>
      </c>
      <c r="E185" s="433">
        <v>0.046</v>
      </c>
      <c r="F185" s="417">
        <f>F183*E185</f>
        <v>1.38</v>
      </c>
      <c r="G185" s="417"/>
      <c r="H185" s="417"/>
      <c r="I185" s="417"/>
      <c r="J185" s="417"/>
      <c r="K185" s="417"/>
      <c r="L185" s="417">
        <f>F185*K185</f>
        <v>0</v>
      </c>
      <c r="M185" s="417">
        <f>L185</f>
        <v>0</v>
      </c>
    </row>
    <row r="186" spans="1:13" s="569" customFormat="1" ht="26.25">
      <c r="A186" s="46"/>
      <c r="B186" s="28"/>
      <c r="C186" s="33" t="s">
        <v>838</v>
      </c>
      <c r="D186" s="28" t="s">
        <v>50</v>
      </c>
      <c r="E186" s="433">
        <v>1</v>
      </c>
      <c r="F186" s="417">
        <f>F183*E186</f>
        <v>30</v>
      </c>
      <c r="G186" s="417"/>
      <c r="H186" s="417"/>
      <c r="I186" s="417"/>
      <c r="J186" s="417">
        <f>F186*I186</f>
        <v>0</v>
      </c>
      <c r="K186" s="417"/>
      <c r="L186" s="417"/>
      <c r="M186" s="417">
        <f>J186</f>
        <v>0</v>
      </c>
    </row>
    <row r="187" spans="1:13" s="569" customFormat="1" ht="16.5">
      <c r="A187" s="46"/>
      <c r="B187" s="28"/>
      <c r="C187" s="150" t="s">
        <v>52</v>
      </c>
      <c r="D187" s="28" t="s">
        <v>45</v>
      </c>
      <c r="E187" s="433">
        <v>0.028</v>
      </c>
      <c r="F187" s="417">
        <f>F183*E187</f>
        <v>0.84</v>
      </c>
      <c r="G187" s="417"/>
      <c r="H187" s="417"/>
      <c r="I187" s="417"/>
      <c r="J187" s="417">
        <f>F187*I187</f>
        <v>0</v>
      </c>
      <c r="K187" s="417"/>
      <c r="L187" s="417"/>
      <c r="M187" s="417">
        <f>J187</f>
        <v>0</v>
      </c>
    </row>
    <row r="188" spans="1:13" s="410" customFormat="1" ht="15.75">
      <c r="A188" s="239">
        <v>2</v>
      </c>
      <c r="B188" s="600" t="s">
        <v>414</v>
      </c>
      <c r="C188" s="287" t="s">
        <v>416</v>
      </c>
      <c r="D188" s="239" t="s">
        <v>82</v>
      </c>
      <c r="E188" s="425"/>
      <c r="F188" s="426">
        <v>2</v>
      </c>
      <c r="G188" s="795"/>
      <c r="H188" s="795"/>
      <c r="I188" s="795"/>
      <c r="J188" s="796"/>
      <c r="K188" s="797"/>
      <c r="L188" s="797"/>
      <c r="M188" s="795"/>
    </row>
    <row r="189" spans="1:13" s="410" customFormat="1" ht="16.5">
      <c r="A189" s="239"/>
      <c r="B189" s="424"/>
      <c r="C189" s="239" t="s">
        <v>43</v>
      </c>
      <c r="D189" s="324" t="s">
        <v>15</v>
      </c>
      <c r="E189" s="425">
        <v>3.14</v>
      </c>
      <c r="F189" s="426">
        <f>F188*E189</f>
        <v>6.28</v>
      </c>
      <c r="G189" s="795"/>
      <c r="H189" s="795">
        <f>F189*G189</f>
        <v>0</v>
      </c>
      <c r="I189" s="795"/>
      <c r="J189" s="796"/>
      <c r="K189" s="795"/>
      <c r="L189" s="796"/>
      <c r="M189" s="795">
        <f>H189</f>
        <v>0</v>
      </c>
    </row>
    <row r="190" spans="1:13" s="410" customFormat="1" ht="15.75">
      <c r="A190" s="239"/>
      <c r="B190" s="324"/>
      <c r="C190" s="239" t="s">
        <v>44</v>
      </c>
      <c r="D190" s="324" t="s">
        <v>45</v>
      </c>
      <c r="E190" s="425">
        <v>0.08</v>
      </c>
      <c r="F190" s="426">
        <f>F188*E190</f>
        <v>0.16</v>
      </c>
      <c r="G190" s="795"/>
      <c r="H190" s="795"/>
      <c r="I190" s="795"/>
      <c r="J190" s="796"/>
      <c r="K190" s="795"/>
      <c r="L190" s="795">
        <f>F190*K190</f>
        <v>0</v>
      </c>
      <c r="M190" s="795">
        <f>L190</f>
        <v>0</v>
      </c>
    </row>
    <row r="191" spans="1:13" s="410" customFormat="1" ht="15.75">
      <c r="A191" s="239"/>
      <c r="B191" s="246"/>
      <c r="C191" s="239" t="s">
        <v>415</v>
      </c>
      <c r="D191" s="246" t="s">
        <v>51</v>
      </c>
      <c r="E191" s="425">
        <v>1</v>
      </c>
      <c r="F191" s="426">
        <f>F188*E191</f>
        <v>2</v>
      </c>
      <c r="G191" s="795"/>
      <c r="H191" s="795"/>
      <c r="I191" s="795"/>
      <c r="J191" s="796">
        <f>F191*I191</f>
        <v>0</v>
      </c>
      <c r="K191" s="797"/>
      <c r="L191" s="797"/>
      <c r="M191" s="795">
        <f>J191</f>
        <v>0</v>
      </c>
    </row>
    <row r="192" spans="1:13" s="410" customFormat="1" ht="31.5">
      <c r="A192" s="372"/>
      <c r="B192" s="372"/>
      <c r="C192" s="372" t="s">
        <v>417</v>
      </c>
      <c r="D192" s="372" t="s">
        <v>82</v>
      </c>
      <c r="E192" s="591" t="s">
        <v>54</v>
      </c>
      <c r="F192" s="373">
        <v>12</v>
      </c>
      <c r="G192" s="753"/>
      <c r="H192" s="753"/>
      <c r="I192" s="753"/>
      <c r="J192" s="794">
        <f>F192*I192</f>
        <v>0</v>
      </c>
      <c r="K192" s="752"/>
      <c r="L192" s="752"/>
      <c r="M192" s="753">
        <f>J192</f>
        <v>0</v>
      </c>
    </row>
    <row r="193" spans="1:13" s="410" customFormat="1" ht="15.75">
      <c r="A193" s="242"/>
      <c r="B193" s="243"/>
      <c r="C193" s="242" t="s">
        <v>52</v>
      </c>
      <c r="D193" s="243" t="s">
        <v>45</v>
      </c>
      <c r="E193" s="427">
        <v>0.72</v>
      </c>
      <c r="F193" s="428">
        <f>F188*E193</f>
        <v>1.44</v>
      </c>
      <c r="G193" s="800"/>
      <c r="H193" s="800"/>
      <c r="I193" s="800"/>
      <c r="J193" s="801">
        <f>F193*I193</f>
        <v>0</v>
      </c>
      <c r="K193" s="804"/>
      <c r="L193" s="804"/>
      <c r="M193" s="800">
        <f>J193</f>
        <v>0</v>
      </c>
    </row>
    <row r="194" spans="1:13" s="410" customFormat="1" ht="16.5">
      <c r="A194" s="560"/>
      <c r="B194" s="31"/>
      <c r="C194" s="561" t="s">
        <v>419</v>
      </c>
      <c r="D194" s="252"/>
      <c r="E194" s="562"/>
      <c r="F194" s="563"/>
      <c r="G194" s="564"/>
      <c r="H194" s="563"/>
      <c r="I194" s="564"/>
      <c r="J194" s="563"/>
      <c r="K194" s="564"/>
      <c r="L194" s="563"/>
      <c r="M194" s="564"/>
    </row>
    <row r="195" spans="1:13" s="410" customFormat="1" ht="15.75">
      <c r="A195" s="560"/>
      <c r="B195" s="31"/>
      <c r="C195" s="251"/>
      <c r="D195" s="252"/>
      <c r="E195" s="562"/>
      <c r="F195" s="563"/>
      <c r="G195" s="564"/>
      <c r="H195" s="563"/>
      <c r="I195" s="564"/>
      <c r="J195" s="563"/>
      <c r="K195" s="564"/>
      <c r="L195" s="563"/>
      <c r="M195" s="564"/>
    </row>
    <row r="196" spans="1:13" s="569" customFormat="1" ht="27">
      <c r="A196" s="157">
        <v>1</v>
      </c>
      <c r="B196" s="434" t="s">
        <v>205</v>
      </c>
      <c r="C196" s="135" t="s">
        <v>839</v>
      </c>
      <c r="D196" s="322" t="s">
        <v>50</v>
      </c>
      <c r="E196" s="435"/>
      <c r="F196" s="432">
        <v>41</v>
      </c>
      <c r="G196" s="432"/>
      <c r="H196" s="432"/>
      <c r="I196" s="432"/>
      <c r="J196" s="432"/>
      <c r="K196" s="432"/>
      <c r="L196" s="432"/>
      <c r="M196" s="432"/>
    </row>
    <row r="197" spans="1:13" s="569" customFormat="1" ht="16.5">
      <c r="A197" s="46"/>
      <c r="B197" s="28"/>
      <c r="C197" s="150" t="s">
        <v>43</v>
      </c>
      <c r="D197" s="28" t="s">
        <v>15</v>
      </c>
      <c r="E197" s="433">
        <v>0.863</v>
      </c>
      <c r="F197" s="417">
        <f>F196*E197</f>
        <v>35.383</v>
      </c>
      <c r="G197" s="417"/>
      <c r="H197" s="417">
        <f>F197*G197</f>
        <v>0</v>
      </c>
      <c r="I197" s="417"/>
      <c r="J197" s="417"/>
      <c r="K197" s="417"/>
      <c r="L197" s="417"/>
      <c r="M197" s="417">
        <f>H197</f>
        <v>0</v>
      </c>
    </row>
    <row r="198" spans="1:13" s="569" customFormat="1" ht="16.5">
      <c r="A198" s="46"/>
      <c r="B198" s="28"/>
      <c r="C198" s="150" t="s">
        <v>44</v>
      </c>
      <c r="D198" s="28" t="s">
        <v>45</v>
      </c>
      <c r="E198" s="433">
        <v>0.0678</v>
      </c>
      <c r="F198" s="417">
        <f>F196*E198</f>
        <v>2.7798</v>
      </c>
      <c r="G198" s="417"/>
      <c r="H198" s="417"/>
      <c r="I198" s="417"/>
      <c r="J198" s="417"/>
      <c r="K198" s="417"/>
      <c r="L198" s="417">
        <f>F198*K198</f>
        <v>0</v>
      </c>
      <c r="M198" s="417">
        <f>L198</f>
        <v>0</v>
      </c>
    </row>
    <row r="199" spans="1:13" s="569" customFormat="1" ht="31.5" customHeight="1">
      <c r="A199" s="46"/>
      <c r="B199" s="28"/>
      <c r="C199" s="33" t="s">
        <v>841</v>
      </c>
      <c r="D199" s="28" t="s">
        <v>50</v>
      </c>
      <c r="E199" s="433">
        <v>1</v>
      </c>
      <c r="F199" s="417">
        <f>F196*E199</f>
        <v>41</v>
      </c>
      <c r="G199" s="417"/>
      <c r="H199" s="417"/>
      <c r="I199" s="417"/>
      <c r="J199" s="417">
        <f>F199*I199</f>
        <v>0</v>
      </c>
      <c r="K199" s="417"/>
      <c r="L199" s="417"/>
      <c r="M199" s="417">
        <f>J199</f>
        <v>0</v>
      </c>
    </row>
    <row r="200" spans="1:13" s="569" customFormat="1" ht="16.5">
      <c r="A200" s="46"/>
      <c r="B200" s="28"/>
      <c r="C200" s="150" t="s">
        <v>52</v>
      </c>
      <c r="D200" s="28" t="s">
        <v>45</v>
      </c>
      <c r="E200" s="433">
        <v>0.0424</v>
      </c>
      <c r="F200" s="417">
        <f>F196*E200</f>
        <v>1.7384</v>
      </c>
      <c r="G200" s="417"/>
      <c r="H200" s="417"/>
      <c r="I200" s="417"/>
      <c r="J200" s="417">
        <f>F200*I200</f>
        <v>0</v>
      </c>
      <c r="K200" s="417"/>
      <c r="L200" s="417"/>
      <c r="M200" s="417">
        <f>J200</f>
        <v>0</v>
      </c>
    </row>
    <row r="201" spans="1:13" s="410" customFormat="1" ht="31.5">
      <c r="A201" s="496">
        <v>2</v>
      </c>
      <c r="B201" s="443" t="s">
        <v>401</v>
      </c>
      <c r="C201" s="568" t="s">
        <v>420</v>
      </c>
      <c r="D201" s="322" t="s">
        <v>51</v>
      </c>
      <c r="E201" s="435"/>
      <c r="F201" s="432">
        <v>2</v>
      </c>
      <c r="G201" s="445"/>
      <c r="H201" s="445"/>
      <c r="I201" s="445"/>
      <c r="J201" s="445"/>
      <c r="K201" s="445"/>
      <c r="L201" s="445"/>
      <c r="M201" s="445"/>
    </row>
    <row r="202" spans="1:13" s="410" customFormat="1" ht="15.75">
      <c r="A202" s="46"/>
      <c r="B202" s="28"/>
      <c r="C202" s="46" t="s">
        <v>43</v>
      </c>
      <c r="D202" s="28" t="s">
        <v>15</v>
      </c>
      <c r="E202" s="585">
        <v>2.67</v>
      </c>
      <c r="F202" s="417">
        <f>F201*E202</f>
        <v>5.34</v>
      </c>
      <c r="G202" s="417"/>
      <c r="H202" s="417">
        <f>F202*G202</f>
        <v>0</v>
      </c>
      <c r="I202" s="417"/>
      <c r="J202" s="417"/>
      <c r="K202" s="417"/>
      <c r="L202" s="417"/>
      <c r="M202" s="417">
        <f>H202</f>
        <v>0</v>
      </c>
    </row>
    <row r="203" spans="1:13" s="410" customFormat="1" ht="15.75">
      <c r="A203" s="46"/>
      <c r="B203" s="28"/>
      <c r="C203" s="46" t="s">
        <v>44</v>
      </c>
      <c r="D203" s="28" t="s">
        <v>45</v>
      </c>
      <c r="E203" s="585">
        <v>0.29</v>
      </c>
      <c r="F203" s="417">
        <f>F201*E203</f>
        <v>0.58</v>
      </c>
      <c r="G203" s="417"/>
      <c r="H203" s="417"/>
      <c r="I203" s="417"/>
      <c r="J203" s="417"/>
      <c r="K203" s="417"/>
      <c r="L203" s="417">
        <f>F203*K203</f>
        <v>0</v>
      </c>
      <c r="M203" s="417">
        <f>L203</f>
        <v>0</v>
      </c>
    </row>
    <row r="204" spans="1:13" s="410" customFormat="1" ht="31.5">
      <c r="A204" s="46"/>
      <c r="B204" s="28"/>
      <c r="C204" s="133" t="s">
        <v>404</v>
      </c>
      <c r="D204" s="28" t="s">
        <v>51</v>
      </c>
      <c r="E204" s="585">
        <v>1</v>
      </c>
      <c r="F204" s="417">
        <f>F201*E204</f>
        <v>2</v>
      </c>
      <c r="G204" s="417"/>
      <c r="H204" s="417"/>
      <c r="I204" s="417"/>
      <c r="J204" s="417">
        <f>F204*I204</f>
        <v>0</v>
      </c>
      <c r="K204" s="417"/>
      <c r="L204" s="417"/>
      <c r="M204" s="417">
        <f>J204</f>
        <v>0</v>
      </c>
    </row>
    <row r="205" spans="1:13" s="410" customFormat="1" ht="15.75">
      <c r="A205" s="46"/>
      <c r="B205" s="28"/>
      <c r="C205" s="46" t="s">
        <v>402</v>
      </c>
      <c r="D205" s="28" t="s">
        <v>49</v>
      </c>
      <c r="E205" s="585">
        <v>2</v>
      </c>
      <c r="F205" s="417">
        <f>F201*E205</f>
        <v>4</v>
      </c>
      <c r="G205" s="417"/>
      <c r="H205" s="417"/>
      <c r="I205" s="417"/>
      <c r="J205" s="417">
        <f>F205*I205</f>
        <v>0</v>
      </c>
      <c r="K205" s="417"/>
      <c r="L205" s="417"/>
      <c r="M205" s="417">
        <f>J205</f>
        <v>0</v>
      </c>
    </row>
    <row r="206" spans="1:13" s="410" customFormat="1" ht="15.75">
      <c r="A206" s="46"/>
      <c r="B206" s="28"/>
      <c r="C206" s="46" t="s">
        <v>421</v>
      </c>
      <c r="D206" s="28" t="s">
        <v>51</v>
      </c>
      <c r="E206" s="585">
        <v>2</v>
      </c>
      <c r="F206" s="417">
        <f>F201*E206</f>
        <v>4</v>
      </c>
      <c r="G206" s="417"/>
      <c r="H206" s="417"/>
      <c r="I206" s="417"/>
      <c r="J206" s="417">
        <f>F206*I206</f>
        <v>0</v>
      </c>
      <c r="K206" s="417"/>
      <c r="L206" s="417"/>
      <c r="M206" s="417">
        <f>J206</f>
        <v>0</v>
      </c>
    </row>
    <row r="207" spans="1:13" s="410" customFormat="1" ht="15.75">
      <c r="A207" s="46"/>
      <c r="B207" s="28"/>
      <c r="C207" s="46" t="s">
        <v>52</v>
      </c>
      <c r="D207" s="28" t="s">
        <v>45</v>
      </c>
      <c r="E207" s="585">
        <v>0.2</v>
      </c>
      <c r="F207" s="417">
        <f>F201*E207</f>
        <v>0.4</v>
      </c>
      <c r="G207" s="417"/>
      <c r="H207" s="417"/>
      <c r="I207" s="417"/>
      <c r="J207" s="417">
        <f>F207*I207</f>
        <v>0</v>
      </c>
      <c r="K207" s="417"/>
      <c r="L207" s="417"/>
      <c r="M207" s="417">
        <f>J207</f>
        <v>0</v>
      </c>
    </row>
    <row r="208" spans="1:13" s="410" customFormat="1" ht="31.5">
      <c r="A208" s="496">
        <v>3</v>
      </c>
      <c r="B208" s="443" t="s">
        <v>401</v>
      </c>
      <c r="C208" s="568" t="s">
        <v>422</v>
      </c>
      <c r="D208" s="322" t="s">
        <v>51</v>
      </c>
      <c r="E208" s="435"/>
      <c r="F208" s="432">
        <v>1</v>
      </c>
      <c r="G208" s="445"/>
      <c r="H208" s="445"/>
      <c r="I208" s="445"/>
      <c r="J208" s="445"/>
      <c r="K208" s="445"/>
      <c r="L208" s="445"/>
      <c r="M208" s="445"/>
    </row>
    <row r="209" spans="1:13" s="410" customFormat="1" ht="15.75">
      <c r="A209" s="46"/>
      <c r="B209" s="28"/>
      <c r="C209" s="46" t="s">
        <v>43</v>
      </c>
      <c r="D209" s="28" t="s">
        <v>15</v>
      </c>
      <c r="E209" s="585">
        <v>2.67</v>
      </c>
      <c r="F209" s="417">
        <f>F208*E209</f>
        <v>2.67</v>
      </c>
      <c r="G209" s="417"/>
      <c r="H209" s="417">
        <f>F209*G209</f>
        <v>0</v>
      </c>
      <c r="I209" s="417"/>
      <c r="J209" s="417"/>
      <c r="K209" s="417"/>
      <c r="L209" s="417"/>
      <c r="M209" s="417">
        <f>H209</f>
        <v>0</v>
      </c>
    </row>
    <row r="210" spans="1:13" s="410" customFormat="1" ht="15.75">
      <c r="A210" s="46"/>
      <c r="B210" s="28"/>
      <c r="C210" s="46" t="s">
        <v>44</v>
      </c>
      <c r="D210" s="28" t="s">
        <v>45</v>
      </c>
      <c r="E210" s="585">
        <v>0.29</v>
      </c>
      <c r="F210" s="417">
        <f>F208*E210</f>
        <v>0.29</v>
      </c>
      <c r="G210" s="417"/>
      <c r="H210" s="417"/>
      <c r="I210" s="417"/>
      <c r="J210" s="417"/>
      <c r="K210" s="417"/>
      <c r="L210" s="417">
        <f>F210*K210</f>
        <v>0</v>
      </c>
      <c r="M210" s="417">
        <f>L210</f>
        <v>0</v>
      </c>
    </row>
    <row r="211" spans="1:13" s="410" customFormat="1" ht="15.75">
      <c r="A211" s="46"/>
      <c r="B211" s="28"/>
      <c r="C211" s="133" t="s">
        <v>423</v>
      </c>
      <c r="D211" s="28" t="s">
        <v>51</v>
      </c>
      <c r="E211" s="585">
        <v>1</v>
      </c>
      <c r="F211" s="417">
        <f>F208*E211</f>
        <v>1</v>
      </c>
      <c r="G211" s="417"/>
      <c r="H211" s="417"/>
      <c r="I211" s="417"/>
      <c r="J211" s="417">
        <f>F211*I211</f>
        <v>0</v>
      </c>
      <c r="K211" s="417"/>
      <c r="L211" s="417"/>
      <c r="M211" s="417">
        <f>J211</f>
        <v>0</v>
      </c>
    </row>
    <row r="212" spans="1:13" s="410" customFormat="1" ht="15.75">
      <c r="A212" s="46"/>
      <c r="B212" s="28"/>
      <c r="C212" s="46" t="s">
        <v>402</v>
      </c>
      <c r="D212" s="28" t="s">
        <v>49</v>
      </c>
      <c r="E212" s="585">
        <v>2</v>
      </c>
      <c r="F212" s="417">
        <f>F208*E212</f>
        <v>2</v>
      </c>
      <c r="G212" s="417"/>
      <c r="H212" s="417"/>
      <c r="I212" s="417"/>
      <c r="J212" s="417">
        <f>F212*I212</f>
        <v>0</v>
      </c>
      <c r="K212" s="417"/>
      <c r="L212" s="417"/>
      <c r="M212" s="417">
        <f>J212</f>
        <v>0</v>
      </c>
    </row>
    <row r="213" spans="1:13" s="410" customFormat="1" ht="15.75">
      <c r="A213" s="46"/>
      <c r="B213" s="28"/>
      <c r="C213" s="46" t="s">
        <v>421</v>
      </c>
      <c r="D213" s="28" t="s">
        <v>51</v>
      </c>
      <c r="E213" s="585">
        <v>2</v>
      </c>
      <c r="F213" s="417">
        <f>F208*E213</f>
        <v>2</v>
      </c>
      <c r="G213" s="417"/>
      <c r="H213" s="417"/>
      <c r="I213" s="417"/>
      <c r="J213" s="417">
        <f>F213*I213</f>
        <v>0</v>
      </c>
      <c r="K213" s="417"/>
      <c r="L213" s="417"/>
      <c r="M213" s="417">
        <f>J213</f>
        <v>0</v>
      </c>
    </row>
    <row r="214" spans="1:13" s="410" customFormat="1" ht="15.75">
      <c r="A214" s="46"/>
      <c r="B214" s="28"/>
      <c r="C214" s="46" t="s">
        <v>52</v>
      </c>
      <c r="D214" s="28" t="s">
        <v>45</v>
      </c>
      <c r="E214" s="585">
        <v>0.2</v>
      </c>
      <c r="F214" s="417">
        <f>F208*E214</f>
        <v>0.2</v>
      </c>
      <c r="G214" s="417"/>
      <c r="H214" s="417"/>
      <c r="I214" s="417"/>
      <c r="J214" s="417">
        <f>F214*I214</f>
        <v>0</v>
      </c>
      <c r="K214" s="417"/>
      <c r="L214" s="417"/>
      <c r="M214" s="417">
        <f>J214</f>
        <v>0</v>
      </c>
    </row>
    <row r="215" spans="1:13" s="410" customFormat="1" ht="31.5">
      <c r="A215" s="560"/>
      <c r="B215" s="31"/>
      <c r="C215" s="489" t="s">
        <v>424</v>
      </c>
      <c r="D215" s="252"/>
      <c r="E215" s="562"/>
      <c r="F215" s="563"/>
      <c r="G215" s="564"/>
      <c r="H215" s="563"/>
      <c r="I215" s="564"/>
      <c r="J215" s="563"/>
      <c r="K215" s="564"/>
      <c r="L215" s="563"/>
      <c r="M215" s="564"/>
    </row>
    <row r="216" spans="1:13" s="569" customFormat="1" ht="27">
      <c r="A216" s="157">
        <v>1</v>
      </c>
      <c r="B216" s="434" t="s">
        <v>205</v>
      </c>
      <c r="C216" s="135" t="s">
        <v>828</v>
      </c>
      <c r="D216" s="322" t="s">
        <v>50</v>
      </c>
      <c r="E216" s="435"/>
      <c r="F216" s="432">
        <v>10</v>
      </c>
      <c r="G216" s="432"/>
      <c r="H216" s="432"/>
      <c r="I216" s="432"/>
      <c r="J216" s="432"/>
      <c r="K216" s="432"/>
      <c r="L216" s="432"/>
      <c r="M216" s="432"/>
    </row>
    <row r="217" spans="1:13" s="569" customFormat="1" ht="16.5">
      <c r="A217" s="46"/>
      <c r="B217" s="28"/>
      <c r="C217" s="150" t="s">
        <v>43</v>
      </c>
      <c r="D217" s="28" t="s">
        <v>15</v>
      </c>
      <c r="E217" s="433">
        <v>0.863</v>
      </c>
      <c r="F217" s="417">
        <f>F216*E217</f>
        <v>8.629999999999999</v>
      </c>
      <c r="G217" s="417"/>
      <c r="H217" s="417">
        <f>F217*G217</f>
        <v>0</v>
      </c>
      <c r="I217" s="417"/>
      <c r="J217" s="417"/>
      <c r="K217" s="417"/>
      <c r="L217" s="417"/>
      <c r="M217" s="417">
        <f>H217</f>
        <v>0</v>
      </c>
    </row>
    <row r="218" spans="1:13" s="569" customFormat="1" ht="16.5">
      <c r="A218" s="46"/>
      <c r="B218" s="28"/>
      <c r="C218" s="150" t="s">
        <v>44</v>
      </c>
      <c r="D218" s="28" t="s">
        <v>45</v>
      </c>
      <c r="E218" s="433">
        <v>0.0678</v>
      </c>
      <c r="F218" s="417">
        <f>F216*E218</f>
        <v>0.6779999999999999</v>
      </c>
      <c r="G218" s="417"/>
      <c r="H218" s="417"/>
      <c r="I218" s="417"/>
      <c r="J218" s="417"/>
      <c r="K218" s="417"/>
      <c r="L218" s="417">
        <f>F218*K218</f>
        <v>0</v>
      </c>
      <c r="M218" s="417">
        <f>L218</f>
        <v>0</v>
      </c>
    </row>
    <row r="219" spans="1:13" s="569" customFormat="1" ht="31.5" customHeight="1">
      <c r="A219" s="46"/>
      <c r="B219" s="28"/>
      <c r="C219" s="33" t="s">
        <v>212</v>
      </c>
      <c r="D219" s="28" t="s">
        <v>50</v>
      </c>
      <c r="E219" s="433">
        <v>1</v>
      </c>
      <c r="F219" s="417">
        <f>F216*E219</f>
        <v>10</v>
      </c>
      <c r="G219" s="417"/>
      <c r="H219" s="417"/>
      <c r="I219" s="417"/>
      <c r="J219" s="417">
        <f>F219*I219</f>
        <v>0</v>
      </c>
      <c r="K219" s="417"/>
      <c r="L219" s="417"/>
      <c r="M219" s="417">
        <f>J219</f>
        <v>0</v>
      </c>
    </row>
    <row r="220" spans="1:13" s="569" customFormat="1" ht="16.5">
      <c r="A220" s="46"/>
      <c r="B220" s="28"/>
      <c r="C220" s="150" t="s">
        <v>52</v>
      </c>
      <c r="D220" s="28" t="s">
        <v>45</v>
      </c>
      <c r="E220" s="433">
        <v>0.0424</v>
      </c>
      <c r="F220" s="417">
        <f>F216*E220</f>
        <v>0.424</v>
      </c>
      <c r="G220" s="417"/>
      <c r="H220" s="417"/>
      <c r="I220" s="417"/>
      <c r="J220" s="417">
        <f>F220*I220</f>
        <v>0</v>
      </c>
      <c r="K220" s="417"/>
      <c r="L220" s="417"/>
      <c r="M220" s="417">
        <f>J220</f>
        <v>0</v>
      </c>
    </row>
    <row r="221" spans="1:13" s="410" customFormat="1" ht="31.5">
      <c r="A221" s="496">
        <v>2</v>
      </c>
      <c r="B221" s="443" t="s">
        <v>401</v>
      </c>
      <c r="C221" s="568" t="s">
        <v>426</v>
      </c>
      <c r="D221" s="301" t="s">
        <v>51</v>
      </c>
      <c r="E221" s="435"/>
      <c r="F221" s="445">
        <v>2</v>
      </c>
      <c r="G221" s="445"/>
      <c r="H221" s="445"/>
      <c r="I221" s="445"/>
      <c r="J221" s="445"/>
      <c r="K221" s="445"/>
      <c r="L221" s="445"/>
      <c r="M221" s="445"/>
    </row>
    <row r="222" spans="1:13" s="410" customFormat="1" ht="15.75">
      <c r="A222" s="46"/>
      <c r="B222" s="28"/>
      <c r="C222" s="46" t="s">
        <v>43</v>
      </c>
      <c r="D222" s="28" t="s">
        <v>15</v>
      </c>
      <c r="E222" s="585">
        <v>2.67</v>
      </c>
      <c r="F222" s="417">
        <f>F221*E222</f>
        <v>5.34</v>
      </c>
      <c r="G222" s="417"/>
      <c r="H222" s="417">
        <f>F222*G222</f>
        <v>0</v>
      </c>
      <c r="I222" s="417"/>
      <c r="J222" s="417"/>
      <c r="K222" s="417"/>
      <c r="L222" s="417"/>
      <c r="M222" s="417">
        <f>H222</f>
        <v>0</v>
      </c>
    </row>
    <row r="223" spans="1:13" s="410" customFormat="1" ht="15.75">
      <c r="A223" s="46"/>
      <c r="B223" s="28"/>
      <c r="C223" s="46" t="s">
        <v>44</v>
      </c>
      <c r="D223" s="28" t="s">
        <v>45</v>
      </c>
      <c r="E223" s="585">
        <v>0.29</v>
      </c>
      <c r="F223" s="417">
        <f>F221*E223</f>
        <v>0.58</v>
      </c>
      <c r="G223" s="417"/>
      <c r="H223" s="417"/>
      <c r="I223" s="417"/>
      <c r="J223" s="417"/>
      <c r="K223" s="417"/>
      <c r="L223" s="417">
        <f>F223*K223</f>
        <v>0</v>
      </c>
      <c r="M223" s="417">
        <f>L223</f>
        <v>0</v>
      </c>
    </row>
    <row r="224" spans="1:13" s="410" customFormat="1" ht="31.5">
      <c r="A224" s="46"/>
      <c r="B224" s="28"/>
      <c r="C224" s="133" t="s">
        <v>427</v>
      </c>
      <c r="D224" s="28" t="s">
        <v>51</v>
      </c>
      <c r="E224" s="585">
        <v>1</v>
      </c>
      <c r="F224" s="417">
        <f>F221*E224</f>
        <v>2</v>
      </c>
      <c r="G224" s="417"/>
      <c r="H224" s="417"/>
      <c r="I224" s="417"/>
      <c r="J224" s="417">
        <f>F224*I224</f>
        <v>0</v>
      </c>
      <c r="K224" s="417"/>
      <c r="L224" s="417"/>
      <c r="M224" s="417">
        <f>J224</f>
        <v>0</v>
      </c>
    </row>
    <row r="225" spans="1:13" s="410" customFormat="1" ht="15.75">
      <c r="A225" s="46"/>
      <c r="B225" s="28"/>
      <c r="C225" s="46" t="s">
        <v>52</v>
      </c>
      <c r="D225" s="28" t="s">
        <v>45</v>
      </c>
      <c r="E225" s="585">
        <v>0.2</v>
      </c>
      <c r="F225" s="417">
        <f>F221*E225</f>
        <v>0.4</v>
      </c>
      <c r="G225" s="417"/>
      <c r="H225" s="417"/>
      <c r="I225" s="417"/>
      <c r="J225" s="417">
        <f>F225*I225</f>
        <v>0</v>
      </c>
      <c r="K225" s="417"/>
      <c r="L225" s="417"/>
      <c r="M225" s="417">
        <f>J225</f>
        <v>0</v>
      </c>
    </row>
    <row r="226" spans="1:13" s="410" customFormat="1" ht="31.5">
      <c r="A226" s="496">
        <v>3</v>
      </c>
      <c r="B226" s="443" t="s">
        <v>401</v>
      </c>
      <c r="C226" s="568" t="s">
        <v>793</v>
      </c>
      <c r="D226" s="301" t="s">
        <v>51</v>
      </c>
      <c r="E226" s="435"/>
      <c r="F226" s="445">
        <v>1</v>
      </c>
      <c r="G226" s="445"/>
      <c r="H226" s="445"/>
      <c r="I226" s="445"/>
      <c r="J226" s="445"/>
      <c r="K226" s="445"/>
      <c r="L226" s="445"/>
      <c r="M226" s="445"/>
    </row>
    <row r="227" spans="1:13" s="410" customFormat="1" ht="15.75">
      <c r="A227" s="46"/>
      <c r="B227" s="28"/>
      <c r="C227" s="46" t="s">
        <v>43</v>
      </c>
      <c r="D227" s="28" t="s">
        <v>15</v>
      </c>
      <c r="E227" s="585">
        <v>2.67</v>
      </c>
      <c r="F227" s="417">
        <f>F226*E227</f>
        <v>2.67</v>
      </c>
      <c r="G227" s="417"/>
      <c r="H227" s="417">
        <f>F227*G227</f>
        <v>0</v>
      </c>
      <c r="I227" s="417"/>
      <c r="J227" s="417"/>
      <c r="K227" s="417"/>
      <c r="L227" s="417"/>
      <c r="M227" s="417">
        <f>H227</f>
        <v>0</v>
      </c>
    </row>
    <row r="228" spans="1:13" s="410" customFormat="1" ht="15.75">
      <c r="A228" s="46"/>
      <c r="B228" s="28"/>
      <c r="C228" s="46" t="s">
        <v>44</v>
      </c>
      <c r="D228" s="28" t="s">
        <v>45</v>
      </c>
      <c r="E228" s="585">
        <v>0.29</v>
      </c>
      <c r="F228" s="417">
        <f>F226*E228</f>
        <v>0.29</v>
      </c>
      <c r="G228" s="417"/>
      <c r="H228" s="417"/>
      <c r="I228" s="417"/>
      <c r="J228" s="417"/>
      <c r="K228" s="417"/>
      <c r="L228" s="417">
        <f>F228*K228</f>
        <v>0</v>
      </c>
      <c r="M228" s="417">
        <f>L228</f>
        <v>0</v>
      </c>
    </row>
    <row r="229" spans="1:13" s="410" customFormat="1" ht="15.75">
      <c r="A229" s="46"/>
      <c r="B229" s="28"/>
      <c r="C229" s="133" t="s">
        <v>425</v>
      </c>
      <c r="D229" s="28" t="s">
        <v>51</v>
      </c>
      <c r="E229" s="585">
        <v>1</v>
      </c>
      <c r="F229" s="417">
        <f>F226*E229</f>
        <v>1</v>
      </c>
      <c r="G229" s="417"/>
      <c r="H229" s="417"/>
      <c r="I229" s="417"/>
      <c r="J229" s="417">
        <f>F229*I229</f>
        <v>0</v>
      </c>
      <c r="K229" s="417"/>
      <c r="L229" s="417"/>
      <c r="M229" s="417">
        <f>J229</f>
        <v>0</v>
      </c>
    </row>
    <row r="230" spans="1:13" s="410" customFormat="1" ht="15.75">
      <c r="A230" s="46"/>
      <c r="B230" s="28"/>
      <c r="C230" s="46" t="s">
        <v>402</v>
      </c>
      <c r="D230" s="28" t="s">
        <v>49</v>
      </c>
      <c r="E230" s="585">
        <v>2</v>
      </c>
      <c r="F230" s="417">
        <f>F226*E230</f>
        <v>2</v>
      </c>
      <c r="G230" s="417"/>
      <c r="H230" s="417"/>
      <c r="I230" s="417"/>
      <c r="J230" s="417">
        <f>F230*I230</f>
        <v>0</v>
      </c>
      <c r="K230" s="417"/>
      <c r="L230" s="417"/>
      <c r="M230" s="417">
        <f>J230</f>
        <v>0</v>
      </c>
    </row>
    <row r="231" spans="1:13" s="410" customFormat="1" ht="15.75">
      <c r="A231" s="46"/>
      <c r="B231" s="28"/>
      <c r="C231" s="46" t="s">
        <v>421</v>
      </c>
      <c r="D231" s="28" t="s">
        <v>51</v>
      </c>
      <c r="E231" s="585">
        <v>2</v>
      </c>
      <c r="F231" s="417">
        <f>F226*E231</f>
        <v>2</v>
      </c>
      <c r="G231" s="417"/>
      <c r="H231" s="417"/>
      <c r="I231" s="417"/>
      <c r="J231" s="417">
        <f>F231*I231</f>
        <v>0</v>
      </c>
      <c r="K231" s="417"/>
      <c r="L231" s="417"/>
      <c r="M231" s="417">
        <f>J231</f>
        <v>0</v>
      </c>
    </row>
    <row r="232" spans="1:13" s="410" customFormat="1" ht="15.75">
      <c r="A232" s="46"/>
      <c r="B232" s="28"/>
      <c r="C232" s="46" t="s">
        <v>52</v>
      </c>
      <c r="D232" s="28" t="s">
        <v>45</v>
      </c>
      <c r="E232" s="585">
        <v>0.2</v>
      </c>
      <c r="F232" s="417">
        <f>F226*E232</f>
        <v>0.2</v>
      </c>
      <c r="G232" s="417"/>
      <c r="H232" s="417"/>
      <c r="I232" s="417"/>
      <c r="J232" s="417">
        <f>F232*I232</f>
        <v>0</v>
      </c>
      <c r="K232" s="417"/>
      <c r="L232" s="417"/>
      <c r="M232" s="417">
        <f>J232</f>
        <v>0</v>
      </c>
    </row>
    <row r="233" spans="1:17" s="397" customFormat="1" ht="21" customHeight="1">
      <c r="A233" s="258"/>
      <c r="B233" s="258"/>
      <c r="C233" s="270" t="s">
        <v>24</v>
      </c>
      <c r="D233" s="259"/>
      <c r="E233" s="260"/>
      <c r="F233" s="458"/>
      <c r="G233" s="747"/>
      <c r="H233" s="432">
        <f>SUM(H81:H232)</f>
        <v>0</v>
      </c>
      <c r="I233" s="749"/>
      <c r="J233" s="432">
        <f>SUM(J81:J232)</f>
        <v>0</v>
      </c>
      <c r="K233" s="749"/>
      <c r="L233" s="432">
        <f>SUM(L81:L232)</f>
        <v>0</v>
      </c>
      <c r="M233" s="432">
        <f>L233+J233+H233</f>
        <v>0</v>
      </c>
      <c r="N233" s="395"/>
      <c r="O233" s="395"/>
      <c r="P233" s="395"/>
      <c r="Q233" s="395"/>
    </row>
    <row r="234" spans="1:17" s="397" customFormat="1" ht="18" customHeight="1">
      <c r="A234" s="264"/>
      <c r="B234" s="264"/>
      <c r="C234" s="270" t="s">
        <v>30</v>
      </c>
      <c r="D234" s="265">
        <v>0</v>
      </c>
      <c r="E234" s="260"/>
      <c r="F234" s="461"/>
      <c r="G234" s="747"/>
      <c r="H234" s="749"/>
      <c r="I234" s="749"/>
      <c r="J234" s="749"/>
      <c r="K234" s="749"/>
      <c r="L234" s="432"/>
      <c r="M234" s="432">
        <f>M233*D234</f>
        <v>0</v>
      </c>
      <c r="N234" s="395"/>
      <c r="O234" s="395"/>
      <c r="P234" s="395"/>
      <c r="Q234" s="395"/>
    </row>
    <row r="235" spans="1:17" s="397" customFormat="1" ht="18" customHeight="1">
      <c r="A235" s="264"/>
      <c r="B235" s="264"/>
      <c r="C235" s="270" t="s">
        <v>0</v>
      </c>
      <c r="D235" s="265"/>
      <c r="E235" s="462"/>
      <c r="F235" s="461"/>
      <c r="G235" s="747"/>
      <c r="H235" s="749"/>
      <c r="I235" s="749"/>
      <c r="J235" s="749"/>
      <c r="K235" s="749"/>
      <c r="L235" s="432"/>
      <c r="M235" s="432">
        <f>M233+M234</f>
        <v>0</v>
      </c>
      <c r="N235" s="395"/>
      <c r="O235" s="395"/>
      <c r="P235" s="395"/>
      <c r="Q235" s="395"/>
    </row>
    <row r="236" spans="1:17" s="397" customFormat="1" ht="18" customHeight="1">
      <c r="A236" s="264"/>
      <c r="B236" s="264"/>
      <c r="C236" s="270" t="s">
        <v>17</v>
      </c>
      <c r="D236" s="265">
        <v>0</v>
      </c>
      <c r="E236" s="260"/>
      <c r="F236" s="461"/>
      <c r="G236" s="747"/>
      <c r="H236" s="749"/>
      <c r="I236" s="749"/>
      <c r="J236" s="749"/>
      <c r="K236" s="749"/>
      <c r="L236" s="432"/>
      <c r="M236" s="432">
        <f>M235*D236</f>
        <v>0</v>
      </c>
      <c r="N236" s="395"/>
      <c r="O236" s="395"/>
      <c r="P236" s="395"/>
      <c r="Q236" s="395"/>
    </row>
    <row r="237" spans="1:17" s="397" customFormat="1" ht="18" customHeight="1">
      <c r="A237" s="264"/>
      <c r="B237" s="264"/>
      <c r="C237" s="270" t="s">
        <v>18</v>
      </c>
      <c r="D237" s="259"/>
      <c r="E237" s="260"/>
      <c r="F237" s="461"/>
      <c r="G237" s="747"/>
      <c r="H237" s="749"/>
      <c r="I237" s="749"/>
      <c r="J237" s="749"/>
      <c r="K237" s="749"/>
      <c r="L237" s="432"/>
      <c r="M237" s="432">
        <f>M235+M236</f>
        <v>0</v>
      </c>
      <c r="N237" s="395"/>
      <c r="O237" s="395"/>
      <c r="P237" s="395"/>
      <c r="Q237" s="395"/>
    </row>
    <row r="238" spans="1:17" s="397" customFormat="1" ht="18" customHeight="1">
      <c r="A238" s="592"/>
      <c r="B238" s="267"/>
      <c r="C238" s="270" t="s">
        <v>440</v>
      </c>
      <c r="D238" s="515"/>
      <c r="E238" s="462"/>
      <c r="F238" s="462"/>
      <c r="G238" s="805"/>
      <c r="H238" s="805"/>
      <c r="I238" s="805"/>
      <c r="J238" s="805"/>
      <c r="K238" s="805"/>
      <c r="L238" s="805"/>
      <c r="M238" s="432">
        <f>M80+M237</f>
        <v>0</v>
      </c>
      <c r="N238" s="395"/>
      <c r="O238" s="395"/>
      <c r="P238" s="395"/>
      <c r="Q238" s="395"/>
    </row>
  </sheetData>
  <sheetProtection/>
  <mergeCells count="11">
    <mergeCell ref="A4:A5"/>
    <mergeCell ref="B4:B5"/>
    <mergeCell ref="C4:C5"/>
    <mergeCell ref="D4:F4"/>
    <mergeCell ref="G4:H4"/>
    <mergeCell ref="M4:M5"/>
    <mergeCell ref="B1:Q1"/>
    <mergeCell ref="B2:O2"/>
    <mergeCell ref="B3:M3"/>
    <mergeCell ref="I4:J4"/>
    <mergeCell ref="K4:L4"/>
  </mergeCells>
  <printOptions/>
  <pageMargins left="0.7" right="0.7" top="0.75" bottom="0.75" header="0.3" footer="0.3"/>
  <pageSetup horizontalDpi="600" verticalDpi="600" orientation="landscape" scale="76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75"/>
  <sheetViews>
    <sheetView view="pageBreakPreview" zoomScaleNormal="90" zoomScaleSheetLayoutView="100" zoomScalePageLayoutView="0" workbookViewId="0" topLeftCell="A355">
      <selection activeCell="Q268" sqref="Q268"/>
    </sheetView>
  </sheetViews>
  <sheetFormatPr defaultColWidth="9.140625" defaultRowHeight="15"/>
  <cols>
    <col min="1" max="1" width="4.57421875" style="207" customWidth="1"/>
    <col min="2" max="2" width="7.00390625" style="177" customWidth="1"/>
    <col min="3" max="3" width="40.7109375" style="207" customWidth="1"/>
    <col min="4" max="4" width="9.28125" style="207" bestFit="1" customWidth="1"/>
    <col min="5" max="5" width="11.57421875" style="177" bestFit="1" customWidth="1"/>
    <col min="6" max="6" width="12.57421875" style="315" bestFit="1" customWidth="1"/>
    <col min="7" max="7" width="9.421875" style="207" customWidth="1"/>
    <col min="8" max="8" width="11.57421875" style="177" bestFit="1" customWidth="1"/>
    <col min="9" max="9" width="9.421875" style="207" customWidth="1"/>
    <col min="10" max="10" width="12.00390625" style="177" bestFit="1" customWidth="1"/>
    <col min="11" max="11" width="9.421875" style="177" bestFit="1" customWidth="1"/>
    <col min="12" max="12" width="11.140625" style="177" bestFit="1" customWidth="1"/>
    <col min="13" max="13" width="12.57421875" style="177" customWidth="1"/>
    <col min="14" max="16384" width="9.140625" style="177" customWidth="1"/>
  </cols>
  <sheetData>
    <row r="1" spans="1:13" ht="24.75" customHeight="1">
      <c r="A1" s="1064" t="s">
        <v>1216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</row>
    <row r="2" spans="1:13" ht="15.75">
      <c r="A2" s="203"/>
      <c r="B2" s="204"/>
      <c r="C2" s="204"/>
      <c r="D2" s="1082"/>
      <c r="E2" s="1082"/>
      <c r="F2" s="1082"/>
      <c r="G2" s="1082"/>
      <c r="H2" s="1082"/>
      <c r="I2" s="1082"/>
      <c r="J2" s="1082"/>
      <c r="K2" s="204"/>
      <c r="L2" s="204"/>
      <c r="M2" s="205"/>
    </row>
    <row r="3" spans="1:13" ht="25.5" customHeight="1">
      <c r="A3" s="1096" t="s">
        <v>609</v>
      </c>
      <c r="B3" s="1080"/>
      <c r="C3" s="1080"/>
      <c r="D3" s="1080"/>
      <c r="E3" s="1080"/>
      <c r="F3" s="1080"/>
      <c r="G3" s="1080"/>
      <c r="H3" s="1080"/>
      <c r="I3" s="1080"/>
      <c r="J3" s="1080"/>
      <c r="K3" s="1080"/>
      <c r="L3" s="1080"/>
      <c r="M3" s="1080"/>
    </row>
    <row r="4" spans="1:13" ht="26.25" customHeight="1">
      <c r="A4" s="1096" t="s">
        <v>585</v>
      </c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8"/>
    </row>
    <row r="5" spans="1:13" ht="54.75" customHeight="1">
      <c r="A5" s="209"/>
      <c r="B5" s="674"/>
      <c r="C5" s="1074" t="s">
        <v>59</v>
      </c>
      <c r="D5" s="1099" t="s">
        <v>612</v>
      </c>
      <c r="E5" s="1106"/>
      <c r="F5" s="1100"/>
      <c r="G5" s="1099" t="s">
        <v>74</v>
      </c>
      <c r="H5" s="1100"/>
      <c r="I5" s="1099" t="s">
        <v>75</v>
      </c>
      <c r="J5" s="1100"/>
      <c r="K5" s="1067" t="s">
        <v>613</v>
      </c>
      <c r="L5" s="1069"/>
      <c r="M5" s="673"/>
    </row>
    <row r="6" spans="1:13" ht="15" customHeight="1">
      <c r="A6" s="211"/>
      <c r="B6" s="674"/>
      <c r="C6" s="1075"/>
      <c r="D6" s="1074" t="s">
        <v>77</v>
      </c>
      <c r="E6" s="1072" t="s">
        <v>78</v>
      </c>
      <c r="F6" s="1073" t="s">
        <v>37</v>
      </c>
      <c r="G6" s="1074" t="s">
        <v>38</v>
      </c>
      <c r="H6" s="1073" t="s">
        <v>37</v>
      </c>
      <c r="I6" s="1072" t="s">
        <v>38</v>
      </c>
      <c r="J6" s="1073" t="s">
        <v>37</v>
      </c>
      <c r="K6" s="1072" t="s">
        <v>38</v>
      </c>
      <c r="L6" s="1073" t="s">
        <v>37</v>
      </c>
      <c r="M6" s="1101" t="s">
        <v>36</v>
      </c>
    </row>
    <row r="7" spans="1:13" ht="13.5">
      <c r="A7" s="211" t="s">
        <v>1</v>
      </c>
      <c r="B7" s="212" t="s">
        <v>35</v>
      </c>
      <c r="C7" s="1075"/>
      <c r="D7" s="1075"/>
      <c r="E7" s="1104"/>
      <c r="F7" s="1093"/>
      <c r="G7" s="1075"/>
      <c r="H7" s="1093"/>
      <c r="I7" s="1104"/>
      <c r="J7" s="1093"/>
      <c r="K7" s="1104"/>
      <c r="L7" s="1093"/>
      <c r="M7" s="1102"/>
    </row>
    <row r="8" spans="1:13" ht="13.5">
      <c r="A8" s="213"/>
      <c r="B8" s="675"/>
      <c r="C8" s="1076"/>
      <c r="D8" s="1076"/>
      <c r="E8" s="1105"/>
      <c r="F8" s="1094"/>
      <c r="G8" s="1076"/>
      <c r="H8" s="1094"/>
      <c r="I8" s="1105"/>
      <c r="J8" s="1094"/>
      <c r="K8" s="1105"/>
      <c r="L8" s="1094"/>
      <c r="M8" s="1103"/>
    </row>
    <row r="9" spans="1:13" s="220" customFormat="1" ht="13.5">
      <c r="A9" s="215" t="s">
        <v>2</v>
      </c>
      <c r="B9" s="216" t="s">
        <v>3</v>
      </c>
      <c r="C9" s="217" t="s">
        <v>4</v>
      </c>
      <c r="D9" s="215" t="s">
        <v>5</v>
      </c>
      <c r="E9" s="216" t="s">
        <v>6</v>
      </c>
      <c r="F9" s="218" t="s">
        <v>7</v>
      </c>
      <c r="G9" s="217" t="s">
        <v>8</v>
      </c>
      <c r="H9" s="215" t="s">
        <v>9</v>
      </c>
      <c r="I9" s="216" t="s">
        <v>10</v>
      </c>
      <c r="J9" s="217" t="s">
        <v>11</v>
      </c>
      <c r="K9" s="216" t="s">
        <v>12</v>
      </c>
      <c r="L9" s="215" t="s">
        <v>13</v>
      </c>
      <c r="M9" s="216" t="s">
        <v>14</v>
      </c>
    </row>
    <row r="10" spans="1:13" ht="14.25" thickBot="1">
      <c r="A10" s="221"/>
      <c r="B10" s="222"/>
      <c r="C10" s="223" t="s">
        <v>335</v>
      </c>
      <c r="D10" s="224"/>
      <c r="E10" s="225"/>
      <c r="F10" s="226"/>
      <c r="G10" s="674"/>
      <c r="H10" s="674"/>
      <c r="I10" s="674"/>
      <c r="J10" s="674"/>
      <c r="K10" s="674"/>
      <c r="L10" s="227"/>
      <c r="M10" s="227"/>
    </row>
    <row r="11" spans="1:13" ht="33.75" customHeight="1">
      <c r="A11" s="228"/>
      <c r="B11" s="229"/>
      <c r="C11" s="230" t="s">
        <v>586</v>
      </c>
      <c r="D11" s="231"/>
      <c r="E11" s="232"/>
      <c r="F11" s="233"/>
      <c r="G11" s="234"/>
      <c r="H11" s="234"/>
      <c r="I11" s="234"/>
      <c r="J11" s="234"/>
      <c r="K11" s="234"/>
      <c r="L11" s="235"/>
      <c r="M11" s="235"/>
    </row>
    <row r="12" spans="1:13" s="19" customFormat="1" ht="51" customHeight="1">
      <c r="A12" s="236">
        <v>1</v>
      </c>
      <c r="B12" s="237" t="s">
        <v>243</v>
      </c>
      <c r="C12" s="604" t="s">
        <v>854</v>
      </c>
      <c r="D12" s="33" t="s">
        <v>185</v>
      </c>
      <c r="E12" s="33"/>
      <c r="F12" s="238">
        <v>0.0493</v>
      </c>
      <c r="G12" s="881"/>
      <c r="H12" s="881"/>
      <c r="I12" s="881"/>
      <c r="J12" s="881"/>
      <c r="K12" s="34"/>
      <c r="L12" s="34"/>
      <c r="M12" s="882"/>
    </row>
    <row r="13" spans="1:13" s="20" customFormat="1" ht="16.5">
      <c r="A13" s="239"/>
      <c r="B13" s="115"/>
      <c r="C13" s="196" t="s">
        <v>43</v>
      </c>
      <c r="D13" s="28" t="s">
        <v>15</v>
      </c>
      <c r="E13" s="26">
        <v>53.8</v>
      </c>
      <c r="F13" s="26">
        <f>F12*E13</f>
        <v>2.6523399999999997</v>
      </c>
      <c r="G13" s="27"/>
      <c r="H13" s="27">
        <f>G13*F13</f>
        <v>0</v>
      </c>
      <c r="I13" s="883"/>
      <c r="J13" s="883"/>
      <c r="K13" s="883"/>
      <c r="L13" s="883"/>
      <c r="M13" s="27">
        <f>L13+J13+H13</f>
        <v>0</v>
      </c>
    </row>
    <row r="14" spans="1:13" s="20" customFormat="1" ht="16.5">
      <c r="A14" s="239"/>
      <c r="B14" s="31"/>
      <c r="C14" s="196" t="s">
        <v>44</v>
      </c>
      <c r="D14" s="28" t="s">
        <v>45</v>
      </c>
      <c r="E14" s="26">
        <v>18.4</v>
      </c>
      <c r="F14" s="26">
        <f>F12*E14</f>
        <v>0.9071199999999998</v>
      </c>
      <c r="G14" s="883"/>
      <c r="H14" s="883"/>
      <c r="I14" s="883"/>
      <c r="J14" s="883"/>
      <c r="K14" s="884"/>
      <c r="L14" s="884">
        <f>K14*F14</f>
        <v>0</v>
      </c>
      <c r="M14" s="27">
        <f>L14+J14+H14</f>
        <v>0</v>
      </c>
    </row>
    <row r="15" spans="1:13" s="20" customFormat="1" ht="16.5">
      <c r="A15" s="240"/>
      <c r="B15" s="240"/>
      <c r="C15" s="196" t="s">
        <v>245</v>
      </c>
      <c r="D15" s="28" t="s">
        <v>185</v>
      </c>
      <c r="E15" s="27">
        <v>1</v>
      </c>
      <c r="F15" s="26">
        <f>F12</f>
        <v>0.0493</v>
      </c>
      <c r="G15" s="883"/>
      <c r="H15" s="883"/>
      <c r="I15" s="27"/>
      <c r="J15" s="27">
        <f>I15*F15</f>
        <v>0</v>
      </c>
      <c r="K15" s="883"/>
      <c r="L15" s="883"/>
      <c r="M15" s="27">
        <f>L15+J15+H15</f>
        <v>0</v>
      </c>
    </row>
    <row r="16" spans="1:13" s="20" customFormat="1" ht="16.5">
      <c r="A16" s="240"/>
      <c r="B16" s="240"/>
      <c r="C16" s="196" t="s">
        <v>246</v>
      </c>
      <c r="D16" s="28" t="s">
        <v>49</v>
      </c>
      <c r="E16" s="28">
        <v>24.4</v>
      </c>
      <c r="F16" s="26">
        <f>F12*E16</f>
        <v>1.2029199999999998</v>
      </c>
      <c r="G16" s="883"/>
      <c r="H16" s="883"/>
      <c r="I16" s="27"/>
      <c r="J16" s="27">
        <f>I16*F16</f>
        <v>0</v>
      </c>
      <c r="K16" s="883"/>
      <c r="L16" s="883"/>
      <c r="M16" s="27">
        <f>L16+J16+H16</f>
        <v>0</v>
      </c>
    </row>
    <row r="17" spans="1:13" s="20" customFormat="1" ht="16.5">
      <c r="A17" s="242"/>
      <c r="B17" s="243"/>
      <c r="C17" s="196" t="s">
        <v>47</v>
      </c>
      <c r="D17" s="28" t="s">
        <v>45</v>
      </c>
      <c r="E17" s="26">
        <v>2.78</v>
      </c>
      <c r="F17" s="26">
        <f>F12*E17</f>
        <v>0.13705399999999998</v>
      </c>
      <c r="G17" s="883"/>
      <c r="H17" s="883"/>
      <c r="I17" s="27"/>
      <c r="J17" s="27">
        <f>I17*F17</f>
        <v>0</v>
      </c>
      <c r="K17" s="883"/>
      <c r="L17" s="883"/>
      <c r="M17" s="27">
        <f>L17+J17+H17</f>
        <v>0</v>
      </c>
    </row>
    <row r="18" spans="1:13" s="19" customFormat="1" ht="51" customHeight="1">
      <c r="A18" s="236">
        <v>2</v>
      </c>
      <c r="B18" s="237" t="s">
        <v>243</v>
      </c>
      <c r="C18" s="604" t="s">
        <v>855</v>
      </c>
      <c r="D18" s="33" t="s">
        <v>185</v>
      </c>
      <c r="E18" s="33"/>
      <c r="F18" s="238">
        <f>0.113+0.0493</f>
        <v>0.1623</v>
      </c>
      <c r="G18" s="881"/>
      <c r="H18" s="881"/>
      <c r="I18" s="881"/>
      <c r="J18" s="881"/>
      <c r="K18" s="34"/>
      <c r="L18" s="34"/>
      <c r="M18" s="882"/>
    </row>
    <row r="19" spans="1:13" s="20" customFormat="1" ht="16.5">
      <c r="A19" s="239"/>
      <c r="B19" s="115"/>
      <c r="C19" s="196" t="s">
        <v>43</v>
      </c>
      <c r="D19" s="28" t="s">
        <v>15</v>
      </c>
      <c r="E19" s="26">
        <v>53.8</v>
      </c>
      <c r="F19" s="26">
        <f>F18*E19</f>
        <v>8.73174</v>
      </c>
      <c r="G19" s="27"/>
      <c r="H19" s="27">
        <f>G19*F19</f>
        <v>0</v>
      </c>
      <c r="I19" s="883"/>
      <c r="J19" s="883"/>
      <c r="K19" s="883"/>
      <c r="L19" s="883"/>
      <c r="M19" s="27">
        <f>L19+J19+H19</f>
        <v>0</v>
      </c>
    </row>
    <row r="20" spans="1:13" s="20" customFormat="1" ht="16.5">
      <c r="A20" s="239"/>
      <c r="B20" s="31"/>
      <c r="C20" s="196" t="s">
        <v>44</v>
      </c>
      <c r="D20" s="28" t="s">
        <v>45</v>
      </c>
      <c r="E20" s="26">
        <v>18.4</v>
      </c>
      <c r="F20" s="26">
        <f>F18*E20</f>
        <v>2.9863199999999996</v>
      </c>
      <c r="G20" s="883"/>
      <c r="H20" s="883"/>
      <c r="I20" s="883"/>
      <c r="J20" s="883"/>
      <c r="K20" s="884"/>
      <c r="L20" s="884">
        <f>K20*F20</f>
        <v>0</v>
      </c>
      <c r="M20" s="27">
        <f>L20+J20+H20</f>
        <v>0</v>
      </c>
    </row>
    <row r="21" spans="1:13" s="20" customFormat="1" ht="16.5">
      <c r="A21" s="240"/>
      <c r="B21" s="240"/>
      <c r="C21" s="196" t="s">
        <v>245</v>
      </c>
      <c r="D21" s="28" t="s">
        <v>185</v>
      </c>
      <c r="E21" s="27">
        <v>1</v>
      </c>
      <c r="F21" s="26">
        <f>F18</f>
        <v>0.1623</v>
      </c>
      <c r="G21" s="883"/>
      <c r="H21" s="883"/>
      <c r="I21" s="27"/>
      <c r="J21" s="27">
        <f>I21*F21</f>
        <v>0</v>
      </c>
      <c r="K21" s="883"/>
      <c r="L21" s="883"/>
      <c r="M21" s="27">
        <f>L21+J21+H21</f>
        <v>0</v>
      </c>
    </row>
    <row r="22" spans="1:13" s="20" customFormat="1" ht="16.5">
      <c r="A22" s="240"/>
      <c r="B22" s="240"/>
      <c r="C22" s="196" t="s">
        <v>246</v>
      </c>
      <c r="D22" s="28" t="s">
        <v>49</v>
      </c>
      <c r="E22" s="28">
        <v>24.4</v>
      </c>
      <c r="F22" s="26">
        <f>F18*E22</f>
        <v>3.96012</v>
      </c>
      <c r="G22" s="883"/>
      <c r="H22" s="883"/>
      <c r="I22" s="27"/>
      <c r="J22" s="27">
        <f>I22*F22</f>
        <v>0</v>
      </c>
      <c r="K22" s="883"/>
      <c r="L22" s="883"/>
      <c r="M22" s="27">
        <f>L22+J22+H22</f>
        <v>0</v>
      </c>
    </row>
    <row r="23" spans="1:13" s="20" customFormat="1" ht="16.5">
      <c r="A23" s="242"/>
      <c r="B23" s="243"/>
      <c r="C23" s="196" t="s">
        <v>47</v>
      </c>
      <c r="D23" s="28" t="s">
        <v>45</v>
      </c>
      <c r="E23" s="26">
        <v>2.78</v>
      </c>
      <c r="F23" s="26">
        <f>F18*E23</f>
        <v>0.451194</v>
      </c>
      <c r="G23" s="883"/>
      <c r="H23" s="883"/>
      <c r="I23" s="27"/>
      <c r="J23" s="27">
        <f>I23*F23</f>
        <v>0</v>
      </c>
      <c r="K23" s="883"/>
      <c r="L23" s="883"/>
      <c r="M23" s="27">
        <f>L23+J23+H23</f>
        <v>0</v>
      </c>
    </row>
    <row r="24" spans="1:13" s="19" customFormat="1" ht="51" customHeight="1">
      <c r="A24" s="236">
        <v>3</v>
      </c>
      <c r="B24" s="237" t="s">
        <v>243</v>
      </c>
      <c r="C24" s="604" t="s">
        <v>856</v>
      </c>
      <c r="D24" s="33" t="s">
        <v>185</v>
      </c>
      <c r="E24" s="33"/>
      <c r="F24" s="238">
        <f>(1214.23+18.15+9.55+23.54+16.08+26.46+9.87)/1000</f>
        <v>1.31788</v>
      </c>
      <c r="G24" s="881"/>
      <c r="H24" s="881"/>
      <c r="I24" s="881"/>
      <c r="J24" s="881"/>
      <c r="K24" s="34"/>
      <c r="L24" s="34"/>
      <c r="M24" s="882"/>
    </row>
    <row r="25" spans="1:13" s="20" customFormat="1" ht="16.5">
      <c r="A25" s="239"/>
      <c r="B25" s="115"/>
      <c r="C25" s="196" t="s">
        <v>43</v>
      </c>
      <c r="D25" s="28" t="s">
        <v>15</v>
      </c>
      <c r="E25" s="26">
        <v>53.8</v>
      </c>
      <c r="F25" s="26">
        <f>F24*E25</f>
        <v>70.90194399999999</v>
      </c>
      <c r="G25" s="27"/>
      <c r="H25" s="27">
        <f>G25*F25</f>
        <v>0</v>
      </c>
      <c r="I25" s="883"/>
      <c r="J25" s="883"/>
      <c r="K25" s="883"/>
      <c r="L25" s="883"/>
      <c r="M25" s="27">
        <f aca="true" t="shared" si="0" ref="M25:M106">L25+J25+H25</f>
        <v>0</v>
      </c>
    </row>
    <row r="26" spans="1:13" s="20" customFormat="1" ht="16.5">
      <c r="A26" s="239"/>
      <c r="B26" s="31"/>
      <c r="C26" s="196" t="s">
        <v>44</v>
      </c>
      <c r="D26" s="28" t="s">
        <v>45</v>
      </c>
      <c r="E26" s="26">
        <v>18.4</v>
      </c>
      <c r="F26" s="26">
        <f>F24*E26</f>
        <v>24.248991999999998</v>
      </c>
      <c r="G26" s="883"/>
      <c r="H26" s="883"/>
      <c r="I26" s="883"/>
      <c r="J26" s="883"/>
      <c r="K26" s="884"/>
      <c r="L26" s="884">
        <f>K26*F26</f>
        <v>0</v>
      </c>
      <c r="M26" s="27">
        <f t="shared" si="0"/>
        <v>0</v>
      </c>
    </row>
    <row r="27" spans="1:13" s="20" customFormat="1" ht="16.5">
      <c r="A27" s="240"/>
      <c r="B27" s="241"/>
      <c r="C27" s="196" t="s">
        <v>244</v>
      </c>
      <c r="D27" s="28" t="s">
        <v>70</v>
      </c>
      <c r="E27" s="28">
        <v>0.35</v>
      </c>
      <c r="F27" s="26">
        <f>F24*E27</f>
        <v>0.46125799999999995</v>
      </c>
      <c r="G27" s="883"/>
      <c r="H27" s="883"/>
      <c r="I27" s="27"/>
      <c r="J27" s="27"/>
      <c r="K27" s="883"/>
      <c r="L27" s="884">
        <f>K27*F27</f>
        <v>0</v>
      </c>
      <c r="M27" s="27">
        <f t="shared" si="0"/>
        <v>0</v>
      </c>
    </row>
    <row r="28" spans="1:13" s="20" customFormat="1" ht="16.5">
      <c r="A28" s="240"/>
      <c r="B28" s="240"/>
      <c r="C28" s="196" t="s">
        <v>245</v>
      </c>
      <c r="D28" s="28" t="s">
        <v>185</v>
      </c>
      <c r="E28" s="27">
        <v>1</v>
      </c>
      <c r="F28" s="26">
        <f>F24</f>
        <v>1.31788</v>
      </c>
      <c r="G28" s="883"/>
      <c r="H28" s="883"/>
      <c r="I28" s="27"/>
      <c r="J28" s="27">
        <f>I28*F28</f>
        <v>0</v>
      </c>
      <c r="K28" s="883"/>
      <c r="L28" s="883"/>
      <c r="M28" s="27">
        <f t="shared" si="0"/>
        <v>0</v>
      </c>
    </row>
    <row r="29" spans="1:13" s="20" customFormat="1" ht="16.5">
      <c r="A29" s="240"/>
      <c r="B29" s="240"/>
      <c r="C29" s="196" t="s">
        <v>246</v>
      </c>
      <c r="D29" s="28" t="s">
        <v>49</v>
      </c>
      <c r="E29" s="28">
        <v>24.4</v>
      </c>
      <c r="F29" s="26">
        <f>F24*E29</f>
        <v>32.156271999999994</v>
      </c>
      <c r="G29" s="883"/>
      <c r="H29" s="883"/>
      <c r="I29" s="27"/>
      <c r="J29" s="27">
        <f>I29*F29</f>
        <v>0</v>
      </c>
      <c r="K29" s="883"/>
      <c r="L29" s="883"/>
      <c r="M29" s="27">
        <f t="shared" si="0"/>
        <v>0</v>
      </c>
    </row>
    <row r="30" spans="1:13" s="20" customFormat="1" ht="16.5">
      <c r="A30" s="242"/>
      <c r="B30" s="243"/>
      <c r="C30" s="196" t="s">
        <v>47</v>
      </c>
      <c r="D30" s="28" t="s">
        <v>45</v>
      </c>
      <c r="E30" s="26">
        <v>2.78</v>
      </c>
      <c r="F30" s="26">
        <f>F24*E30</f>
        <v>3.6637063999999997</v>
      </c>
      <c r="G30" s="883"/>
      <c r="H30" s="883"/>
      <c r="I30" s="27"/>
      <c r="J30" s="27">
        <f>I30*F30</f>
        <v>0</v>
      </c>
      <c r="K30" s="883"/>
      <c r="L30" s="883"/>
      <c r="M30" s="27">
        <f t="shared" si="0"/>
        <v>0</v>
      </c>
    </row>
    <row r="31" spans="1:13" s="19" customFormat="1" ht="51" customHeight="1">
      <c r="A31" s="236">
        <v>2</v>
      </c>
      <c r="B31" s="237" t="s">
        <v>243</v>
      </c>
      <c r="C31" s="604" t="s">
        <v>860</v>
      </c>
      <c r="D31" s="33" t="s">
        <v>185</v>
      </c>
      <c r="E31" s="33"/>
      <c r="F31" s="238">
        <f>(3980.92)/1000</f>
        <v>3.9809200000000002</v>
      </c>
      <c r="G31" s="881"/>
      <c r="H31" s="881"/>
      <c r="I31" s="881"/>
      <c r="J31" s="881"/>
      <c r="K31" s="34"/>
      <c r="L31" s="34"/>
      <c r="M31" s="27">
        <f t="shared" si="0"/>
        <v>0</v>
      </c>
    </row>
    <row r="32" spans="1:13" s="20" customFormat="1" ht="16.5">
      <c r="A32" s="239"/>
      <c r="B32" s="115"/>
      <c r="C32" s="196" t="s">
        <v>43</v>
      </c>
      <c r="D32" s="28" t="s">
        <v>15</v>
      </c>
      <c r="E32" s="26">
        <v>53.8</v>
      </c>
      <c r="F32" s="26">
        <f>F31*E32</f>
        <v>214.173496</v>
      </c>
      <c r="G32" s="27"/>
      <c r="H32" s="27">
        <f>G32*F32</f>
        <v>0</v>
      </c>
      <c r="I32" s="883"/>
      <c r="J32" s="883"/>
      <c r="K32" s="883"/>
      <c r="L32" s="883"/>
      <c r="M32" s="27">
        <f t="shared" si="0"/>
        <v>0</v>
      </c>
    </row>
    <row r="33" spans="1:13" s="20" customFormat="1" ht="16.5">
      <c r="A33" s="239"/>
      <c r="B33" s="31"/>
      <c r="C33" s="196" t="s">
        <v>44</v>
      </c>
      <c r="D33" s="28" t="s">
        <v>45</v>
      </c>
      <c r="E33" s="26">
        <v>18.4</v>
      </c>
      <c r="F33" s="26">
        <f>F31*E33</f>
        <v>73.24892799999999</v>
      </c>
      <c r="G33" s="883"/>
      <c r="H33" s="883"/>
      <c r="I33" s="883"/>
      <c r="J33" s="883"/>
      <c r="K33" s="884"/>
      <c r="L33" s="884">
        <f>K33*F33</f>
        <v>0</v>
      </c>
      <c r="M33" s="27">
        <f t="shared" si="0"/>
        <v>0</v>
      </c>
    </row>
    <row r="34" spans="1:13" s="20" customFormat="1" ht="16.5">
      <c r="A34" s="240"/>
      <c r="B34" s="241"/>
      <c r="C34" s="196" t="s">
        <v>244</v>
      </c>
      <c r="D34" s="28" t="s">
        <v>70</v>
      </c>
      <c r="E34" s="28">
        <v>0.35</v>
      </c>
      <c r="F34" s="26">
        <f>F31*E34</f>
        <v>1.393322</v>
      </c>
      <c r="G34" s="883"/>
      <c r="H34" s="883"/>
      <c r="I34" s="27"/>
      <c r="J34" s="27"/>
      <c r="K34" s="883"/>
      <c r="L34" s="884">
        <f>K34*F34</f>
        <v>0</v>
      </c>
      <c r="M34" s="27">
        <f t="shared" si="0"/>
        <v>0</v>
      </c>
    </row>
    <row r="35" spans="1:13" s="20" customFormat="1" ht="16.5">
      <c r="A35" s="240"/>
      <c r="B35" s="240"/>
      <c r="C35" s="196" t="s">
        <v>245</v>
      </c>
      <c r="D35" s="28" t="s">
        <v>185</v>
      </c>
      <c r="E35" s="27">
        <v>1</v>
      </c>
      <c r="F35" s="26">
        <f>F31</f>
        <v>3.9809200000000002</v>
      </c>
      <c r="G35" s="883"/>
      <c r="H35" s="883"/>
      <c r="I35" s="27"/>
      <c r="J35" s="27">
        <f>I35*F35</f>
        <v>0</v>
      </c>
      <c r="K35" s="883"/>
      <c r="L35" s="883"/>
      <c r="M35" s="27">
        <f t="shared" si="0"/>
        <v>0</v>
      </c>
    </row>
    <row r="36" spans="1:13" s="20" customFormat="1" ht="16.5">
      <c r="A36" s="240"/>
      <c r="B36" s="240"/>
      <c r="C36" s="196" t="s">
        <v>246</v>
      </c>
      <c r="D36" s="28" t="s">
        <v>49</v>
      </c>
      <c r="E36" s="28">
        <v>24.4</v>
      </c>
      <c r="F36" s="26">
        <f>F31*E36</f>
        <v>97.134448</v>
      </c>
      <c r="G36" s="883"/>
      <c r="H36" s="883"/>
      <c r="I36" s="27"/>
      <c r="J36" s="27">
        <f>I36*F36</f>
        <v>0</v>
      </c>
      <c r="K36" s="883"/>
      <c r="L36" s="883"/>
      <c r="M36" s="27">
        <f t="shared" si="0"/>
        <v>0</v>
      </c>
    </row>
    <row r="37" spans="1:13" s="20" customFormat="1" ht="16.5">
      <c r="A37" s="242"/>
      <c r="B37" s="243"/>
      <c r="C37" s="196" t="s">
        <v>47</v>
      </c>
      <c r="D37" s="28" t="s">
        <v>45</v>
      </c>
      <c r="E37" s="26">
        <v>2.78</v>
      </c>
      <c r="F37" s="26">
        <f>F31*E37</f>
        <v>11.0669576</v>
      </c>
      <c r="G37" s="883"/>
      <c r="H37" s="883"/>
      <c r="I37" s="27"/>
      <c r="J37" s="27">
        <f>I37*F37</f>
        <v>0</v>
      </c>
      <c r="K37" s="883"/>
      <c r="L37" s="883"/>
      <c r="M37" s="27">
        <f t="shared" si="0"/>
        <v>0</v>
      </c>
    </row>
    <row r="38" spans="1:13" s="19" customFormat="1" ht="35.25" customHeight="1">
      <c r="A38" s="236">
        <v>3</v>
      </c>
      <c r="B38" s="237" t="s">
        <v>243</v>
      </c>
      <c r="C38" s="604" t="s">
        <v>862</v>
      </c>
      <c r="D38" s="33" t="s">
        <v>185</v>
      </c>
      <c r="E38" s="33"/>
      <c r="F38" s="238">
        <f>(1587.59)/1000</f>
        <v>1.5875899999999998</v>
      </c>
      <c r="G38" s="881"/>
      <c r="H38" s="881"/>
      <c r="I38" s="881"/>
      <c r="J38" s="881"/>
      <c r="K38" s="34"/>
      <c r="L38" s="34"/>
      <c r="M38" s="27">
        <f t="shared" si="0"/>
        <v>0</v>
      </c>
    </row>
    <row r="39" spans="1:13" s="20" customFormat="1" ht="16.5">
      <c r="A39" s="239"/>
      <c r="B39" s="115"/>
      <c r="C39" s="196" t="s">
        <v>43</v>
      </c>
      <c r="D39" s="28" t="s">
        <v>15</v>
      </c>
      <c r="E39" s="26">
        <v>53.8</v>
      </c>
      <c r="F39" s="26">
        <f>F38*E39</f>
        <v>85.41234199999998</v>
      </c>
      <c r="G39" s="27"/>
      <c r="H39" s="27">
        <f>G39*F39</f>
        <v>0</v>
      </c>
      <c r="I39" s="883"/>
      <c r="J39" s="883"/>
      <c r="K39" s="883"/>
      <c r="L39" s="883"/>
      <c r="M39" s="27">
        <f t="shared" si="0"/>
        <v>0</v>
      </c>
    </row>
    <row r="40" spans="1:13" s="20" customFormat="1" ht="16.5">
      <c r="A40" s="239"/>
      <c r="B40" s="31"/>
      <c r="C40" s="196" t="s">
        <v>44</v>
      </c>
      <c r="D40" s="28" t="s">
        <v>45</v>
      </c>
      <c r="E40" s="26">
        <v>18.4</v>
      </c>
      <c r="F40" s="26">
        <f>F38*E40</f>
        <v>29.211655999999994</v>
      </c>
      <c r="G40" s="883"/>
      <c r="H40" s="883"/>
      <c r="I40" s="883"/>
      <c r="J40" s="883"/>
      <c r="K40" s="884"/>
      <c r="L40" s="884">
        <f>K40*F40</f>
        <v>0</v>
      </c>
      <c r="M40" s="27">
        <f t="shared" si="0"/>
        <v>0</v>
      </c>
    </row>
    <row r="41" spans="1:13" s="20" customFormat="1" ht="16.5">
      <c r="A41" s="240"/>
      <c r="B41" s="241"/>
      <c r="C41" s="196" t="s">
        <v>244</v>
      </c>
      <c r="D41" s="28" t="s">
        <v>70</v>
      </c>
      <c r="E41" s="28">
        <v>0.35</v>
      </c>
      <c r="F41" s="26">
        <f>F38*E41</f>
        <v>0.5556564999999999</v>
      </c>
      <c r="G41" s="883"/>
      <c r="H41" s="883"/>
      <c r="I41" s="27"/>
      <c r="J41" s="27"/>
      <c r="K41" s="883"/>
      <c r="L41" s="884">
        <f>K41*F41</f>
        <v>0</v>
      </c>
      <c r="M41" s="27">
        <f t="shared" si="0"/>
        <v>0</v>
      </c>
    </row>
    <row r="42" spans="1:13" s="20" customFormat="1" ht="16.5">
      <c r="A42" s="240"/>
      <c r="B42" s="240"/>
      <c r="C42" s="196" t="s">
        <v>245</v>
      </c>
      <c r="D42" s="28" t="s">
        <v>185</v>
      </c>
      <c r="E42" s="27">
        <v>1</v>
      </c>
      <c r="F42" s="26">
        <f>F38</f>
        <v>1.5875899999999998</v>
      </c>
      <c r="G42" s="883"/>
      <c r="H42" s="883"/>
      <c r="I42" s="27"/>
      <c r="J42" s="27">
        <f>I42*F42</f>
        <v>0</v>
      </c>
      <c r="K42" s="883"/>
      <c r="L42" s="883"/>
      <c r="M42" s="27">
        <f t="shared" si="0"/>
        <v>0</v>
      </c>
    </row>
    <row r="43" spans="1:13" s="20" customFormat="1" ht="16.5">
      <c r="A43" s="240"/>
      <c r="B43" s="240"/>
      <c r="C43" s="196" t="s">
        <v>246</v>
      </c>
      <c r="D43" s="28" t="s">
        <v>49</v>
      </c>
      <c r="E43" s="28">
        <v>24.4</v>
      </c>
      <c r="F43" s="26">
        <f>F38*E43</f>
        <v>38.73719599999999</v>
      </c>
      <c r="G43" s="883"/>
      <c r="H43" s="883"/>
      <c r="I43" s="27"/>
      <c r="J43" s="27">
        <f>I43*F43</f>
        <v>0</v>
      </c>
      <c r="K43" s="883"/>
      <c r="L43" s="883"/>
      <c r="M43" s="27">
        <f t="shared" si="0"/>
        <v>0</v>
      </c>
    </row>
    <row r="44" spans="1:13" s="20" customFormat="1" ht="16.5">
      <c r="A44" s="242"/>
      <c r="B44" s="243"/>
      <c r="C44" s="196" t="s">
        <v>47</v>
      </c>
      <c r="D44" s="28" t="s">
        <v>45</v>
      </c>
      <c r="E44" s="26">
        <v>2.78</v>
      </c>
      <c r="F44" s="26">
        <f>F38*E44</f>
        <v>4.4135002</v>
      </c>
      <c r="G44" s="883"/>
      <c r="H44" s="883"/>
      <c r="I44" s="27"/>
      <c r="J44" s="27">
        <f>I44*F44</f>
        <v>0</v>
      </c>
      <c r="K44" s="883"/>
      <c r="L44" s="883"/>
      <c r="M44" s="27">
        <f t="shared" si="0"/>
        <v>0</v>
      </c>
    </row>
    <row r="45" spans="1:13" s="19" customFormat="1" ht="51" customHeight="1">
      <c r="A45" s="236">
        <v>4</v>
      </c>
      <c r="B45" s="237" t="s">
        <v>243</v>
      </c>
      <c r="C45" s="604" t="s">
        <v>857</v>
      </c>
      <c r="D45" s="33" t="s">
        <v>185</v>
      </c>
      <c r="E45" s="33"/>
      <c r="F45" s="238">
        <f>(4040.66)/1000</f>
        <v>4.04066</v>
      </c>
      <c r="G45" s="881"/>
      <c r="H45" s="881"/>
      <c r="I45" s="881"/>
      <c r="J45" s="881"/>
      <c r="K45" s="34"/>
      <c r="L45" s="34"/>
      <c r="M45" s="27">
        <f t="shared" si="0"/>
        <v>0</v>
      </c>
    </row>
    <row r="46" spans="1:13" s="20" customFormat="1" ht="16.5">
      <c r="A46" s="239"/>
      <c r="B46" s="115"/>
      <c r="C46" s="196" t="s">
        <v>43</v>
      </c>
      <c r="D46" s="28" t="s">
        <v>15</v>
      </c>
      <c r="E46" s="26">
        <v>53.8</v>
      </c>
      <c r="F46" s="26">
        <f>F45*E46</f>
        <v>217.387508</v>
      </c>
      <c r="G46" s="27"/>
      <c r="H46" s="27">
        <f>G46*F46</f>
        <v>0</v>
      </c>
      <c r="I46" s="883"/>
      <c r="J46" s="883"/>
      <c r="K46" s="883"/>
      <c r="L46" s="883"/>
      <c r="M46" s="27">
        <f t="shared" si="0"/>
        <v>0</v>
      </c>
    </row>
    <row r="47" spans="1:13" s="20" customFormat="1" ht="16.5">
      <c r="A47" s="239"/>
      <c r="B47" s="31"/>
      <c r="C47" s="196" t="s">
        <v>44</v>
      </c>
      <c r="D47" s="28" t="s">
        <v>45</v>
      </c>
      <c r="E47" s="26">
        <v>18.4</v>
      </c>
      <c r="F47" s="26">
        <f>F45*E47</f>
        <v>74.34814399999999</v>
      </c>
      <c r="G47" s="883"/>
      <c r="H47" s="883"/>
      <c r="I47" s="883"/>
      <c r="J47" s="883"/>
      <c r="K47" s="884"/>
      <c r="L47" s="884">
        <f>K47*F47</f>
        <v>0</v>
      </c>
      <c r="M47" s="27">
        <f t="shared" si="0"/>
        <v>0</v>
      </c>
    </row>
    <row r="48" spans="1:13" s="20" customFormat="1" ht="16.5">
      <c r="A48" s="240"/>
      <c r="B48" s="241"/>
      <c r="C48" s="196" t="s">
        <v>244</v>
      </c>
      <c r="D48" s="28" t="s">
        <v>70</v>
      </c>
      <c r="E48" s="28">
        <v>0.35</v>
      </c>
      <c r="F48" s="26">
        <f>F45*E48</f>
        <v>1.4142309999999998</v>
      </c>
      <c r="G48" s="883"/>
      <c r="H48" s="883"/>
      <c r="I48" s="27"/>
      <c r="J48" s="27"/>
      <c r="K48" s="883"/>
      <c r="L48" s="884">
        <f>K48*F48</f>
        <v>0</v>
      </c>
      <c r="M48" s="27">
        <f t="shared" si="0"/>
        <v>0</v>
      </c>
    </row>
    <row r="49" spans="1:13" s="20" customFormat="1" ht="16.5">
      <c r="A49" s="240"/>
      <c r="B49" s="240"/>
      <c r="C49" s="196" t="s">
        <v>245</v>
      </c>
      <c r="D49" s="28" t="s">
        <v>185</v>
      </c>
      <c r="E49" s="27">
        <v>1</v>
      </c>
      <c r="F49" s="26">
        <f>F45</f>
        <v>4.04066</v>
      </c>
      <c r="G49" s="883"/>
      <c r="H49" s="883"/>
      <c r="I49" s="27"/>
      <c r="J49" s="27">
        <f>I49*F49</f>
        <v>0</v>
      </c>
      <c r="K49" s="883"/>
      <c r="L49" s="883"/>
      <c r="M49" s="27">
        <f t="shared" si="0"/>
        <v>0</v>
      </c>
    </row>
    <row r="50" spans="1:13" s="20" customFormat="1" ht="16.5">
      <c r="A50" s="240"/>
      <c r="B50" s="240"/>
      <c r="C50" s="196" t="s">
        <v>246</v>
      </c>
      <c r="D50" s="28" t="s">
        <v>49</v>
      </c>
      <c r="E50" s="28">
        <v>24.4</v>
      </c>
      <c r="F50" s="26">
        <f>F45*E50</f>
        <v>98.59210399999999</v>
      </c>
      <c r="G50" s="883"/>
      <c r="H50" s="883"/>
      <c r="I50" s="27"/>
      <c r="J50" s="27">
        <f>I50*F50</f>
        <v>0</v>
      </c>
      <c r="K50" s="883"/>
      <c r="L50" s="883"/>
      <c r="M50" s="27">
        <f t="shared" si="0"/>
        <v>0</v>
      </c>
    </row>
    <row r="51" spans="1:13" s="20" customFormat="1" ht="16.5">
      <c r="A51" s="242"/>
      <c r="B51" s="243"/>
      <c r="C51" s="196" t="s">
        <v>47</v>
      </c>
      <c r="D51" s="28" t="s">
        <v>45</v>
      </c>
      <c r="E51" s="26">
        <v>2.78</v>
      </c>
      <c r="F51" s="26">
        <f>F45*E51</f>
        <v>11.233034799999999</v>
      </c>
      <c r="G51" s="883"/>
      <c r="H51" s="883"/>
      <c r="I51" s="27"/>
      <c r="J51" s="27">
        <f>I51*F51</f>
        <v>0</v>
      </c>
      <c r="K51" s="883"/>
      <c r="L51" s="883"/>
      <c r="M51" s="27">
        <f t="shared" si="0"/>
        <v>0</v>
      </c>
    </row>
    <row r="52" spans="1:13" s="19" customFormat="1" ht="51" customHeight="1">
      <c r="A52" s="236">
        <v>5</v>
      </c>
      <c r="B52" s="237" t="s">
        <v>243</v>
      </c>
      <c r="C52" s="604" t="s">
        <v>861</v>
      </c>
      <c r="D52" s="33" t="s">
        <v>185</v>
      </c>
      <c r="E52" s="33"/>
      <c r="F52" s="238">
        <f>(810.69)/1000</f>
        <v>0.81069</v>
      </c>
      <c r="G52" s="881"/>
      <c r="H52" s="881"/>
      <c r="I52" s="881"/>
      <c r="J52" s="881"/>
      <c r="K52" s="34"/>
      <c r="L52" s="34"/>
      <c r="M52" s="27">
        <f t="shared" si="0"/>
        <v>0</v>
      </c>
    </row>
    <row r="53" spans="1:13" s="20" customFormat="1" ht="16.5">
      <c r="A53" s="239"/>
      <c r="B53" s="115"/>
      <c r="C53" s="196" t="s">
        <v>43</v>
      </c>
      <c r="D53" s="28" t="s">
        <v>15</v>
      </c>
      <c r="E53" s="26">
        <v>53.8</v>
      </c>
      <c r="F53" s="26">
        <f>F52*E53</f>
        <v>43.615122</v>
      </c>
      <c r="G53" s="27"/>
      <c r="H53" s="27">
        <f>G53*F53</f>
        <v>0</v>
      </c>
      <c r="I53" s="883"/>
      <c r="J53" s="883"/>
      <c r="K53" s="883"/>
      <c r="L53" s="883"/>
      <c r="M53" s="27">
        <f t="shared" si="0"/>
        <v>0</v>
      </c>
    </row>
    <row r="54" spans="1:13" s="20" customFormat="1" ht="16.5">
      <c r="A54" s="239"/>
      <c r="B54" s="31"/>
      <c r="C54" s="196" t="s">
        <v>44</v>
      </c>
      <c r="D54" s="28" t="s">
        <v>45</v>
      </c>
      <c r="E54" s="26">
        <v>18.4</v>
      </c>
      <c r="F54" s="26">
        <f>F52*E54</f>
        <v>14.916696</v>
      </c>
      <c r="G54" s="883"/>
      <c r="H54" s="883"/>
      <c r="I54" s="883"/>
      <c r="J54" s="883"/>
      <c r="K54" s="884"/>
      <c r="L54" s="884">
        <f>K54*F54</f>
        <v>0</v>
      </c>
      <c r="M54" s="27">
        <f t="shared" si="0"/>
        <v>0</v>
      </c>
    </row>
    <row r="55" spans="1:13" s="20" customFormat="1" ht="16.5">
      <c r="A55" s="240"/>
      <c r="B55" s="241"/>
      <c r="C55" s="196" t="s">
        <v>244</v>
      </c>
      <c r="D55" s="28" t="s">
        <v>70</v>
      </c>
      <c r="E55" s="28">
        <v>0.35</v>
      </c>
      <c r="F55" s="26">
        <f>F52*E55</f>
        <v>0.2837415</v>
      </c>
      <c r="G55" s="883"/>
      <c r="H55" s="883"/>
      <c r="I55" s="27"/>
      <c r="J55" s="27"/>
      <c r="K55" s="883"/>
      <c r="L55" s="884">
        <f>K55*F55</f>
        <v>0</v>
      </c>
      <c r="M55" s="27">
        <f t="shared" si="0"/>
        <v>0</v>
      </c>
    </row>
    <row r="56" spans="1:13" s="20" customFormat="1" ht="16.5">
      <c r="A56" s="240"/>
      <c r="B56" s="240"/>
      <c r="C56" s="196" t="s">
        <v>245</v>
      </c>
      <c r="D56" s="28" t="s">
        <v>185</v>
      </c>
      <c r="E56" s="27">
        <v>1</v>
      </c>
      <c r="F56" s="26">
        <f>F52</f>
        <v>0.81069</v>
      </c>
      <c r="G56" s="883"/>
      <c r="H56" s="883"/>
      <c r="I56" s="27"/>
      <c r="J56" s="27">
        <f>I56*F56</f>
        <v>0</v>
      </c>
      <c r="K56" s="883"/>
      <c r="L56" s="883"/>
      <c r="M56" s="27">
        <f t="shared" si="0"/>
        <v>0</v>
      </c>
    </row>
    <row r="57" spans="1:13" s="20" customFormat="1" ht="16.5">
      <c r="A57" s="240"/>
      <c r="B57" s="240"/>
      <c r="C57" s="196" t="s">
        <v>246</v>
      </c>
      <c r="D57" s="28" t="s">
        <v>49</v>
      </c>
      <c r="E57" s="28">
        <v>24.4</v>
      </c>
      <c r="F57" s="26">
        <f>F52*E57</f>
        <v>19.780836</v>
      </c>
      <c r="G57" s="883"/>
      <c r="H57" s="883"/>
      <c r="I57" s="27"/>
      <c r="J57" s="27">
        <f>I57*F57</f>
        <v>0</v>
      </c>
      <c r="K57" s="883"/>
      <c r="L57" s="883"/>
      <c r="M57" s="27">
        <f t="shared" si="0"/>
        <v>0</v>
      </c>
    </row>
    <row r="58" spans="1:13" s="20" customFormat="1" ht="16.5">
      <c r="A58" s="242"/>
      <c r="B58" s="243"/>
      <c r="C58" s="196" t="s">
        <v>47</v>
      </c>
      <c r="D58" s="28" t="s">
        <v>45</v>
      </c>
      <c r="E58" s="26">
        <v>2.78</v>
      </c>
      <c r="F58" s="26">
        <f>F52*E58</f>
        <v>2.2537182</v>
      </c>
      <c r="G58" s="883"/>
      <c r="H58" s="883"/>
      <c r="I58" s="27"/>
      <c r="J58" s="27">
        <f>I58*F58</f>
        <v>0</v>
      </c>
      <c r="K58" s="883"/>
      <c r="L58" s="883"/>
      <c r="M58" s="27">
        <f t="shared" si="0"/>
        <v>0</v>
      </c>
    </row>
    <row r="59" spans="1:13" s="19" customFormat="1" ht="51" customHeight="1">
      <c r="A59" s="236">
        <v>6</v>
      </c>
      <c r="B59" s="237" t="s">
        <v>243</v>
      </c>
      <c r="C59" s="604" t="s">
        <v>858</v>
      </c>
      <c r="D59" s="33" t="s">
        <v>185</v>
      </c>
      <c r="E59" s="33"/>
      <c r="F59" s="238">
        <f>(1366.54)/1000</f>
        <v>1.3665399999999999</v>
      </c>
      <c r="G59" s="881"/>
      <c r="H59" s="881"/>
      <c r="I59" s="881"/>
      <c r="J59" s="881"/>
      <c r="K59" s="34"/>
      <c r="L59" s="34"/>
      <c r="M59" s="27">
        <f t="shared" si="0"/>
        <v>0</v>
      </c>
    </row>
    <row r="60" spans="1:13" s="20" customFormat="1" ht="16.5">
      <c r="A60" s="239"/>
      <c r="B60" s="115"/>
      <c r="C60" s="196" t="s">
        <v>43</v>
      </c>
      <c r="D60" s="28" t="s">
        <v>15</v>
      </c>
      <c r="E60" s="26">
        <v>53.8</v>
      </c>
      <c r="F60" s="26">
        <f>F59*E60</f>
        <v>73.51985199999999</v>
      </c>
      <c r="G60" s="27"/>
      <c r="H60" s="27">
        <f>G60*F60</f>
        <v>0</v>
      </c>
      <c r="I60" s="883"/>
      <c r="J60" s="883"/>
      <c r="K60" s="883"/>
      <c r="L60" s="883"/>
      <c r="M60" s="27">
        <f t="shared" si="0"/>
        <v>0</v>
      </c>
    </row>
    <row r="61" spans="1:13" s="20" customFormat="1" ht="16.5">
      <c r="A61" s="239"/>
      <c r="B61" s="31"/>
      <c r="C61" s="196" t="s">
        <v>44</v>
      </c>
      <c r="D61" s="28" t="s">
        <v>45</v>
      </c>
      <c r="E61" s="26">
        <v>18.4</v>
      </c>
      <c r="F61" s="26">
        <f>F59*E61</f>
        <v>25.144335999999996</v>
      </c>
      <c r="G61" s="883"/>
      <c r="H61" s="883"/>
      <c r="I61" s="883"/>
      <c r="J61" s="883"/>
      <c r="K61" s="884"/>
      <c r="L61" s="884">
        <f>K61*F61</f>
        <v>0</v>
      </c>
      <c r="M61" s="27">
        <f t="shared" si="0"/>
        <v>0</v>
      </c>
    </row>
    <row r="62" spans="1:13" s="20" customFormat="1" ht="16.5">
      <c r="A62" s="240"/>
      <c r="B62" s="241"/>
      <c r="C62" s="196" t="s">
        <v>244</v>
      </c>
      <c r="D62" s="28" t="s">
        <v>70</v>
      </c>
      <c r="E62" s="28">
        <v>0.35</v>
      </c>
      <c r="F62" s="26">
        <f>F59*E62</f>
        <v>0.4782889999999999</v>
      </c>
      <c r="G62" s="883"/>
      <c r="H62" s="883"/>
      <c r="I62" s="27"/>
      <c r="J62" s="27"/>
      <c r="K62" s="883"/>
      <c r="L62" s="884">
        <f>K62*F62</f>
        <v>0</v>
      </c>
      <c r="M62" s="27">
        <f t="shared" si="0"/>
        <v>0</v>
      </c>
    </row>
    <row r="63" spans="1:13" s="20" customFormat="1" ht="16.5">
      <c r="A63" s="240"/>
      <c r="B63" s="240"/>
      <c r="C63" s="196" t="s">
        <v>245</v>
      </c>
      <c r="D63" s="28" t="s">
        <v>185</v>
      </c>
      <c r="E63" s="27">
        <v>1</v>
      </c>
      <c r="F63" s="26">
        <f>F59</f>
        <v>1.3665399999999999</v>
      </c>
      <c r="G63" s="883"/>
      <c r="H63" s="883"/>
      <c r="I63" s="27"/>
      <c r="J63" s="27">
        <f>I63*F63</f>
        <v>0</v>
      </c>
      <c r="K63" s="883"/>
      <c r="L63" s="883"/>
      <c r="M63" s="27">
        <f t="shared" si="0"/>
        <v>0</v>
      </c>
    </row>
    <row r="64" spans="1:13" s="20" customFormat="1" ht="16.5">
      <c r="A64" s="240"/>
      <c r="B64" s="240"/>
      <c r="C64" s="196" t="s">
        <v>246</v>
      </c>
      <c r="D64" s="28" t="s">
        <v>49</v>
      </c>
      <c r="E64" s="28">
        <v>24.4</v>
      </c>
      <c r="F64" s="26">
        <f>F59*E64</f>
        <v>33.34357599999999</v>
      </c>
      <c r="G64" s="883"/>
      <c r="H64" s="883"/>
      <c r="I64" s="27"/>
      <c r="J64" s="27">
        <f>I64*F64</f>
        <v>0</v>
      </c>
      <c r="K64" s="883"/>
      <c r="L64" s="883"/>
      <c r="M64" s="27">
        <f t="shared" si="0"/>
        <v>0</v>
      </c>
    </row>
    <row r="65" spans="1:13" s="20" customFormat="1" ht="16.5">
      <c r="A65" s="242"/>
      <c r="B65" s="243"/>
      <c r="C65" s="196" t="s">
        <v>47</v>
      </c>
      <c r="D65" s="28" t="s">
        <v>45</v>
      </c>
      <c r="E65" s="26">
        <v>2.78</v>
      </c>
      <c r="F65" s="26">
        <f>F59*E65</f>
        <v>3.798981199999999</v>
      </c>
      <c r="G65" s="883"/>
      <c r="H65" s="883"/>
      <c r="I65" s="27"/>
      <c r="J65" s="27">
        <f>I65*F65</f>
        <v>0</v>
      </c>
      <c r="K65" s="883"/>
      <c r="L65" s="883"/>
      <c r="M65" s="27">
        <f t="shared" si="0"/>
        <v>0</v>
      </c>
    </row>
    <row r="66" spans="1:13" s="19" customFormat="1" ht="51" customHeight="1">
      <c r="A66" s="236">
        <v>6</v>
      </c>
      <c r="B66" s="237" t="s">
        <v>243</v>
      </c>
      <c r="C66" s="604" t="s">
        <v>859</v>
      </c>
      <c r="D66" s="33" t="s">
        <v>185</v>
      </c>
      <c r="E66" s="33"/>
      <c r="F66" s="238">
        <f>(2749.93)/1000</f>
        <v>2.74993</v>
      </c>
      <c r="G66" s="881"/>
      <c r="H66" s="881"/>
      <c r="I66" s="881"/>
      <c r="J66" s="881"/>
      <c r="K66" s="34"/>
      <c r="L66" s="34"/>
      <c r="M66" s="27">
        <f aca="true" t="shared" si="1" ref="M66:M79">L66+J66+H66</f>
        <v>0</v>
      </c>
    </row>
    <row r="67" spans="1:13" s="20" customFormat="1" ht="16.5">
      <c r="A67" s="239"/>
      <c r="B67" s="115"/>
      <c r="C67" s="196" t="s">
        <v>43</v>
      </c>
      <c r="D67" s="28" t="s">
        <v>15</v>
      </c>
      <c r="E67" s="26">
        <v>53.8</v>
      </c>
      <c r="F67" s="26">
        <f>F66*E67</f>
        <v>147.946234</v>
      </c>
      <c r="G67" s="27"/>
      <c r="H67" s="27">
        <f>G67*F67</f>
        <v>0</v>
      </c>
      <c r="I67" s="883"/>
      <c r="J67" s="883"/>
      <c r="K67" s="883"/>
      <c r="L67" s="883"/>
      <c r="M67" s="27">
        <f t="shared" si="1"/>
        <v>0</v>
      </c>
    </row>
    <row r="68" spans="1:13" s="20" customFormat="1" ht="16.5">
      <c r="A68" s="239"/>
      <c r="B68" s="31"/>
      <c r="C68" s="196" t="s">
        <v>44</v>
      </c>
      <c r="D68" s="28" t="s">
        <v>45</v>
      </c>
      <c r="E68" s="26">
        <v>18.4</v>
      </c>
      <c r="F68" s="26">
        <f>F66*E68</f>
        <v>50.598712</v>
      </c>
      <c r="G68" s="883"/>
      <c r="H68" s="883"/>
      <c r="I68" s="883"/>
      <c r="J68" s="883"/>
      <c r="K68" s="884"/>
      <c r="L68" s="884">
        <f>K68*F68</f>
        <v>0</v>
      </c>
      <c r="M68" s="27">
        <f t="shared" si="1"/>
        <v>0</v>
      </c>
    </row>
    <row r="69" spans="1:13" s="20" customFormat="1" ht="16.5">
      <c r="A69" s="240"/>
      <c r="B69" s="241"/>
      <c r="C69" s="196" t="s">
        <v>244</v>
      </c>
      <c r="D69" s="28" t="s">
        <v>70</v>
      </c>
      <c r="E69" s="28">
        <v>0.35</v>
      </c>
      <c r="F69" s="26">
        <f>F66*E69</f>
        <v>0.9624754999999999</v>
      </c>
      <c r="G69" s="883"/>
      <c r="H69" s="883"/>
      <c r="I69" s="27"/>
      <c r="J69" s="27"/>
      <c r="K69" s="883"/>
      <c r="L69" s="884">
        <f>K69*F69</f>
        <v>0</v>
      </c>
      <c r="M69" s="27">
        <f t="shared" si="1"/>
        <v>0</v>
      </c>
    </row>
    <row r="70" spans="1:13" s="20" customFormat="1" ht="16.5">
      <c r="A70" s="240"/>
      <c r="B70" s="240"/>
      <c r="C70" s="196" t="s">
        <v>245</v>
      </c>
      <c r="D70" s="28" t="s">
        <v>185</v>
      </c>
      <c r="E70" s="27">
        <v>1</v>
      </c>
      <c r="F70" s="26">
        <f>F66</f>
        <v>2.74993</v>
      </c>
      <c r="G70" s="883"/>
      <c r="H70" s="883"/>
      <c r="I70" s="27"/>
      <c r="J70" s="27">
        <f>I70*F70</f>
        <v>0</v>
      </c>
      <c r="K70" s="883"/>
      <c r="L70" s="883"/>
      <c r="M70" s="27">
        <f t="shared" si="1"/>
        <v>0</v>
      </c>
    </row>
    <row r="71" spans="1:13" s="20" customFormat="1" ht="16.5">
      <c r="A71" s="240"/>
      <c r="B71" s="240"/>
      <c r="C71" s="196" t="s">
        <v>246</v>
      </c>
      <c r="D71" s="28" t="s">
        <v>49</v>
      </c>
      <c r="E71" s="28">
        <v>24.4</v>
      </c>
      <c r="F71" s="26">
        <f>F66*E71</f>
        <v>67.098292</v>
      </c>
      <c r="G71" s="883"/>
      <c r="H71" s="883"/>
      <c r="I71" s="27"/>
      <c r="J71" s="27">
        <f>I71*F71</f>
        <v>0</v>
      </c>
      <c r="K71" s="883"/>
      <c r="L71" s="883"/>
      <c r="M71" s="27">
        <f t="shared" si="1"/>
        <v>0</v>
      </c>
    </row>
    <row r="72" spans="1:13" s="20" customFormat="1" ht="16.5">
      <c r="A72" s="242"/>
      <c r="B72" s="243"/>
      <c r="C72" s="196" t="s">
        <v>47</v>
      </c>
      <c r="D72" s="28" t="s">
        <v>45</v>
      </c>
      <c r="E72" s="26">
        <v>2.78</v>
      </c>
      <c r="F72" s="26">
        <f>F66*E72</f>
        <v>7.644805399999999</v>
      </c>
      <c r="G72" s="883"/>
      <c r="H72" s="883"/>
      <c r="I72" s="27"/>
      <c r="J72" s="27">
        <f>I72*F72</f>
        <v>0</v>
      </c>
      <c r="K72" s="883"/>
      <c r="L72" s="883"/>
      <c r="M72" s="27">
        <f t="shared" si="1"/>
        <v>0</v>
      </c>
    </row>
    <row r="73" spans="1:13" s="19" customFormat="1" ht="35.25" customHeight="1">
      <c r="A73" s="236">
        <v>3</v>
      </c>
      <c r="B73" s="237" t="s">
        <v>243</v>
      </c>
      <c r="C73" s="604" t="s">
        <v>883</v>
      </c>
      <c r="D73" s="33" t="s">
        <v>185</v>
      </c>
      <c r="E73" s="33"/>
      <c r="F73" s="238">
        <f>(1587.59)/1000</f>
        <v>1.5875899999999998</v>
      </c>
      <c r="G73" s="881"/>
      <c r="H73" s="881"/>
      <c r="I73" s="881"/>
      <c r="J73" s="881"/>
      <c r="K73" s="34"/>
      <c r="L73" s="34"/>
      <c r="M73" s="27">
        <f t="shared" si="1"/>
        <v>0</v>
      </c>
    </row>
    <row r="74" spans="1:13" s="20" customFormat="1" ht="16.5">
      <c r="A74" s="239"/>
      <c r="B74" s="115"/>
      <c r="C74" s="196" t="s">
        <v>43</v>
      </c>
      <c r="D74" s="28" t="s">
        <v>15</v>
      </c>
      <c r="E74" s="26">
        <v>53.8</v>
      </c>
      <c r="F74" s="26">
        <f>F73*E74</f>
        <v>85.41234199999998</v>
      </c>
      <c r="G74" s="27"/>
      <c r="H74" s="27">
        <f>G74*F74</f>
        <v>0</v>
      </c>
      <c r="I74" s="883"/>
      <c r="J74" s="883"/>
      <c r="K74" s="883"/>
      <c r="L74" s="883"/>
      <c r="M74" s="27">
        <f t="shared" si="1"/>
        <v>0</v>
      </c>
    </row>
    <row r="75" spans="1:13" s="20" customFormat="1" ht="16.5">
      <c r="A75" s="239"/>
      <c r="B75" s="31"/>
      <c r="C75" s="196" t="s">
        <v>44</v>
      </c>
      <c r="D75" s="28" t="s">
        <v>45</v>
      </c>
      <c r="E75" s="26">
        <v>18.4</v>
      </c>
      <c r="F75" s="26">
        <f>F73*E75</f>
        <v>29.211655999999994</v>
      </c>
      <c r="G75" s="883"/>
      <c r="H75" s="883"/>
      <c r="I75" s="883"/>
      <c r="J75" s="883"/>
      <c r="K75" s="884"/>
      <c r="L75" s="884">
        <f>K75*F75</f>
        <v>0</v>
      </c>
      <c r="M75" s="27">
        <f t="shared" si="1"/>
        <v>0</v>
      </c>
    </row>
    <row r="76" spans="1:13" s="20" customFormat="1" ht="16.5">
      <c r="A76" s="240"/>
      <c r="B76" s="241"/>
      <c r="C76" s="196" t="s">
        <v>244</v>
      </c>
      <c r="D76" s="28" t="s">
        <v>70</v>
      </c>
      <c r="E76" s="28">
        <v>0.35</v>
      </c>
      <c r="F76" s="26">
        <f>F73*E76</f>
        <v>0.5556564999999999</v>
      </c>
      <c r="G76" s="883"/>
      <c r="H76" s="883"/>
      <c r="I76" s="27"/>
      <c r="J76" s="27"/>
      <c r="K76" s="883"/>
      <c r="L76" s="884">
        <f>K76*F76</f>
        <v>0</v>
      </c>
      <c r="M76" s="27">
        <f t="shared" si="1"/>
        <v>0</v>
      </c>
    </row>
    <row r="77" spans="1:13" s="20" customFormat="1" ht="16.5">
      <c r="A77" s="240"/>
      <c r="B77" s="240"/>
      <c r="C77" s="196" t="s">
        <v>245</v>
      </c>
      <c r="D77" s="28" t="s">
        <v>185</v>
      </c>
      <c r="E77" s="27">
        <v>1</v>
      </c>
      <c r="F77" s="26">
        <f>F73</f>
        <v>1.5875899999999998</v>
      </c>
      <c r="G77" s="883"/>
      <c r="H77" s="883"/>
      <c r="I77" s="27"/>
      <c r="J77" s="27">
        <f>I77*F77</f>
        <v>0</v>
      </c>
      <c r="K77" s="883"/>
      <c r="L77" s="883"/>
      <c r="M77" s="27">
        <f t="shared" si="1"/>
        <v>0</v>
      </c>
    </row>
    <row r="78" spans="1:13" s="20" customFormat="1" ht="16.5">
      <c r="A78" s="240"/>
      <c r="B78" s="240"/>
      <c r="C78" s="196" t="s">
        <v>246</v>
      </c>
      <c r="D78" s="28" t="s">
        <v>49</v>
      </c>
      <c r="E78" s="28">
        <v>24.4</v>
      </c>
      <c r="F78" s="26">
        <f>F73*E78</f>
        <v>38.73719599999999</v>
      </c>
      <c r="G78" s="883"/>
      <c r="H78" s="883"/>
      <c r="I78" s="27"/>
      <c r="J78" s="27">
        <f>I78*F78</f>
        <v>0</v>
      </c>
      <c r="K78" s="883"/>
      <c r="L78" s="883"/>
      <c r="M78" s="27">
        <f t="shared" si="1"/>
        <v>0</v>
      </c>
    </row>
    <row r="79" spans="1:13" s="20" customFormat="1" ht="16.5">
      <c r="A79" s="242"/>
      <c r="B79" s="243"/>
      <c r="C79" s="196" t="s">
        <v>47</v>
      </c>
      <c r="D79" s="28" t="s">
        <v>45</v>
      </c>
      <c r="E79" s="26">
        <v>2.78</v>
      </c>
      <c r="F79" s="26">
        <f>F73*E79</f>
        <v>4.4135002</v>
      </c>
      <c r="G79" s="883"/>
      <c r="H79" s="883"/>
      <c r="I79" s="27"/>
      <c r="J79" s="27">
        <f>I79*F79</f>
        <v>0</v>
      </c>
      <c r="K79" s="883"/>
      <c r="L79" s="883"/>
      <c r="M79" s="27">
        <f t="shared" si="1"/>
        <v>0</v>
      </c>
    </row>
    <row r="80" spans="1:13" s="48" customFormat="1" ht="27">
      <c r="A80" s="244">
        <v>7</v>
      </c>
      <c r="B80" s="245" t="s">
        <v>247</v>
      </c>
      <c r="C80" s="135" t="s">
        <v>863</v>
      </c>
      <c r="D80" s="28" t="s">
        <v>185</v>
      </c>
      <c r="E80" s="26"/>
      <c r="F80" s="26">
        <f>SUM(F85:F92)</f>
        <v>19.60614</v>
      </c>
      <c r="G80" s="884"/>
      <c r="H80" s="884"/>
      <c r="I80" s="884"/>
      <c r="J80" s="884"/>
      <c r="K80" s="884"/>
      <c r="L80" s="884"/>
      <c r="M80" s="27">
        <f t="shared" si="0"/>
        <v>0</v>
      </c>
    </row>
    <row r="81" spans="1:13" s="48" customFormat="1" ht="15.75">
      <c r="A81" s="239"/>
      <c r="B81" s="29"/>
      <c r="C81" s="196" t="s">
        <v>43</v>
      </c>
      <c r="D81" s="28" t="s">
        <v>15</v>
      </c>
      <c r="E81" s="26">
        <v>13.5</v>
      </c>
      <c r="F81" s="26">
        <f>F80*E81</f>
        <v>264.68289</v>
      </c>
      <c r="G81" s="27"/>
      <c r="H81" s="27">
        <f>F81*G81</f>
        <v>0</v>
      </c>
      <c r="I81" s="884"/>
      <c r="J81" s="884"/>
      <c r="K81" s="884"/>
      <c r="L81" s="884"/>
      <c r="M81" s="27">
        <f t="shared" si="0"/>
        <v>0</v>
      </c>
    </row>
    <row r="82" spans="1:13" s="48" customFormat="1" ht="15.75">
      <c r="A82" s="239"/>
      <c r="B82" s="246"/>
      <c r="C82" s="196" t="s">
        <v>44</v>
      </c>
      <c r="D82" s="28" t="s">
        <v>45</v>
      </c>
      <c r="E82" s="26">
        <v>2.26</v>
      </c>
      <c r="F82" s="26">
        <f>F80*E82</f>
        <v>44.30987639999999</v>
      </c>
      <c r="G82" s="884"/>
      <c r="H82" s="884"/>
      <c r="I82" s="884"/>
      <c r="J82" s="884"/>
      <c r="K82" s="27"/>
      <c r="L82" s="27">
        <f>F82*K82</f>
        <v>0</v>
      </c>
      <c r="M82" s="27">
        <f t="shared" si="0"/>
        <v>0</v>
      </c>
    </row>
    <row r="83" spans="1:13" s="48" customFormat="1" ht="15.75">
      <c r="A83" s="239"/>
      <c r="B83" s="31" t="s">
        <v>248</v>
      </c>
      <c r="C83" s="196" t="s">
        <v>249</v>
      </c>
      <c r="D83" s="28" t="s">
        <v>70</v>
      </c>
      <c r="E83" s="26">
        <v>0.74</v>
      </c>
      <c r="F83" s="26">
        <f>F80*E83</f>
        <v>14.5085436</v>
      </c>
      <c r="G83" s="884"/>
      <c r="H83" s="884"/>
      <c r="I83" s="884"/>
      <c r="J83" s="884"/>
      <c r="K83" s="27"/>
      <c r="L83" s="27">
        <f>F83*K83</f>
        <v>0</v>
      </c>
      <c r="M83" s="27">
        <f t="shared" si="0"/>
        <v>0</v>
      </c>
    </row>
    <row r="84" spans="1:13" s="48" customFormat="1" ht="15.75">
      <c r="A84" s="239"/>
      <c r="B84" s="31" t="s">
        <v>250</v>
      </c>
      <c r="C84" s="196" t="s">
        <v>251</v>
      </c>
      <c r="D84" s="28" t="s">
        <v>70</v>
      </c>
      <c r="E84" s="26">
        <v>0.89</v>
      </c>
      <c r="F84" s="26">
        <f>F80*E84</f>
        <v>17.4494646</v>
      </c>
      <c r="G84" s="884"/>
      <c r="H84" s="884"/>
      <c r="I84" s="884"/>
      <c r="J84" s="884"/>
      <c r="K84" s="27"/>
      <c r="L84" s="27">
        <f>F84*K84</f>
        <v>0</v>
      </c>
      <c r="M84" s="27">
        <f t="shared" si="0"/>
        <v>0</v>
      </c>
    </row>
    <row r="85" spans="1:13" s="247" customFormat="1" ht="15.75">
      <c r="A85" s="239"/>
      <c r="B85" s="246"/>
      <c r="C85" s="196" t="s">
        <v>292</v>
      </c>
      <c r="D85" s="28" t="s">
        <v>185</v>
      </c>
      <c r="E85" s="26" t="s">
        <v>252</v>
      </c>
      <c r="F85" s="26">
        <v>14.5638</v>
      </c>
      <c r="G85" s="884"/>
      <c r="H85" s="884"/>
      <c r="I85" s="27"/>
      <c r="J85" s="27">
        <f aca="true" t="shared" si="2" ref="J85:J95">F85*I85</f>
        <v>0</v>
      </c>
      <c r="K85" s="884"/>
      <c r="L85" s="884"/>
      <c r="M85" s="27">
        <f t="shared" si="0"/>
        <v>0</v>
      </c>
    </row>
    <row r="86" spans="1:13" s="247" customFormat="1" ht="15.75">
      <c r="A86" s="239"/>
      <c r="B86" s="246"/>
      <c r="C86" s="196" t="s">
        <v>293</v>
      </c>
      <c r="D86" s="28" t="s">
        <v>185</v>
      </c>
      <c r="E86" s="26" t="s">
        <v>252</v>
      </c>
      <c r="F86" s="26">
        <v>1.902</v>
      </c>
      <c r="G86" s="884"/>
      <c r="H86" s="884"/>
      <c r="I86" s="27"/>
      <c r="J86" s="27">
        <f t="shared" si="2"/>
        <v>0</v>
      </c>
      <c r="K86" s="884"/>
      <c r="L86" s="884"/>
      <c r="M86" s="27">
        <f t="shared" si="0"/>
        <v>0</v>
      </c>
    </row>
    <row r="87" spans="1:13" s="247" customFormat="1" ht="15.75">
      <c r="A87" s="239"/>
      <c r="B87" s="246"/>
      <c r="C87" s="196" t="s">
        <v>253</v>
      </c>
      <c r="D87" s="28" t="s">
        <v>185</v>
      </c>
      <c r="E87" s="26" t="s">
        <v>252</v>
      </c>
      <c r="F87" s="26">
        <v>1.927</v>
      </c>
      <c r="G87" s="884"/>
      <c r="H87" s="884"/>
      <c r="I87" s="27"/>
      <c r="J87" s="27">
        <f t="shared" si="2"/>
        <v>0</v>
      </c>
      <c r="K87" s="884"/>
      <c r="L87" s="884"/>
      <c r="M87" s="27">
        <f t="shared" si="0"/>
        <v>0</v>
      </c>
    </row>
    <row r="88" spans="1:13" s="247" customFormat="1" ht="15.75">
      <c r="A88" s="239"/>
      <c r="B88" s="246"/>
      <c r="C88" s="196" t="s">
        <v>295</v>
      </c>
      <c r="D88" s="28" t="s">
        <v>185</v>
      </c>
      <c r="E88" s="26" t="s">
        <v>252</v>
      </c>
      <c r="F88" s="26">
        <f>538.3/1000</f>
        <v>0.5383</v>
      </c>
      <c r="G88" s="884"/>
      <c r="H88" s="884"/>
      <c r="I88" s="27"/>
      <c r="J88" s="27">
        <f>F88*I88</f>
        <v>0</v>
      </c>
      <c r="K88" s="884"/>
      <c r="L88" s="884"/>
      <c r="M88" s="27">
        <f>L88+J88+H88</f>
        <v>0</v>
      </c>
    </row>
    <row r="89" spans="1:13" s="247" customFormat="1" ht="15.75">
      <c r="A89" s="239"/>
      <c r="B89" s="246"/>
      <c r="C89" s="196" t="s">
        <v>864</v>
      </c>
      <c r="D89" s="28" t="s">
        <v>185</v>
      </c>
      <c r="E89" s="26" t="s">
        <v>252</v>
      </c>
      <c r="F89" s="26">
        <v>0.338</v>
      </c>
      <c r="G89" s="884"/>
      <c r="H89" s="884"/>
      <c r="I89" s="27"/>
      <c r="J89" s="27">
        <f t="shared" si="2"/>
        <v>0</v>
      </c>
      <c r="K89" s="884"/>
      <c r="L89" s="884"/>
      <c r="M89" s="27">
        <f t="shared" si="0"/>
        <v>0</v>
      </c>
    </row>
    <row r="90" spans="1:13" s="247" customFormat="1" ht="15.75">
      <c r="A90" s="239"/>
      <c r="B90" s="246"/>
      <c r="C90" s="196" t="s">
        <v>865</v>
      </c>
      <c r="D90" s="28" t="s">
        <v>185</v>
      </c>
      <c r="E90" s="26" t="s">
        <v>252</v>
      </c>
      <c r="F90" s="26">
        <f>(258.9+63.5)/1000</f>
        <v>0.32239999999999996</v>
      </c>
      <c r="G90" s="884"/>
      <c r="H90" s="884"/>
      <c r="I90" s="27"/>
      <c r="J90" s="27">
        <f>F90*I90</f>
        <v>0</v>
      </c>
      <c r="K90" s="884"/>
      <c r="L90" s="884"/>
      <c r="M90" s="27">
        <f>L90+J90+H90</f>
        <v>0</v>
      </c>
    </row>
    <row r="91" spans="1:13" s="247" customFormat="1" ht="15.75">
      <c r="A91" s="239"/>
      <c r="B91" s="246"/>
      <c r="C91" s="196" t="s">
        <v>866</v>
      </c>
      <c r="D91" s="28" t="s">
        <v>185</v>
      </c>
      <c r="E91" s="26" t="s">
        <v>252</v>
      </c>
      <c r="F91" s="26">
        <f>(9.7)/1000</f>
        <v>0.009699999999999999</v>
      </c>
      <c r="G91" s="884"/>
      <c r="H91" s="884"/>
      <c r="I91" s="27"/>
      <c r="J91" s="27">
        <f>F91*I91</f>
        <v>0</v>
      </c>
      <c r="K91" s="884"/>
      <c r="L91" s="884"/>
      <c r="M91" s="27">
        <f>L91+J91+H91</f>
        <v>0</v>
      </c>
    </row>
    <row r="92" spans="1:13" s="247" customFormat="1" ht="15.75">
      <c r="A92" s="239"/>
      <c r="B92" s="246"/>
      <c r="C92" s="196" t="s">
        <v>255</v>
      </c>
      <c r="D92" s="28" t="s">
        <v>185</v>
      </c>
      <c r="E92" s="26" t="s">
        <v>252</v>
      </c>
      <c r="F92" s="26">
        <f>4.94/1000</f>
        <v>0.004940000000000001</v>
      </c>
      <c r="G92" s="884"/>
      <c r="H92" s="884"/>
      <c r="I92" s="27"/>
      <c r="J92" s="27">
        <f>F92*I92</f>
        <v>0</v>
      </c>
      <c r="K92" s="884"/>
      <c r="L92" s="884"/>
      <c r="M92" s="27">
        <f>L92+J92+H92</f>
        <v>0</v>
      </c>
    </row>
    <row r="93" spans="1:13" s="48" customFormat="1" ht="15.75">
      <c r="A93" s="239"/>
      <c r="B93" s="246"/>
      <c r="C93" s="196" t="s">
        <v>241</v>
      </c>
      <c r="D93" s="28" t="s">
        <v>49</v>
      </c>
      <c r="E93" s="26">
        <v>0.1</v>
      </c>
      <c r="F93" s="26">
        <f>F80*E93</f>
        <v>1.960614</v>
      </c>
      <c r="G93" s="884"/>
      <c r="H93" s="884"/>
      <c r="I93" s="27"/>
      <c r="J93" s="27">
        <f t="shared" si="2"/>
        <v>0</v>
      </c>
      <c r="K93" s="884"/>
      <c r="L93" s="884"/>
      <c r="M93" s="27">
        <f t="shared" si="0"/>
        <v>0</v>
      </c>
    </row>
    <row r="94" spans="1:13" s="48" customFormat="1" ht="15.75">
      <c r="A94" s="239"/>
      <c r="B94" s="246"/>
      <c r="C94" s="196" t="s">
        <v>246</v>
      </c>
      <c r="D94" s="28" t="s">
        <v>49</v>
      </c>
      <c r="E94" s="26">
        <v>2.5</v>
      </c>
      <c r="F94" s="26">
        <f>F80*E94</f>
        <v>49.01535</v>
      </c>
      <c r="G94" s="884"/>
      <c r="H94" s="884"/>
      <c r="I94" s="27"/>
      <c r="J94" s="27">
        <f t="shared" si="2"/>
        <v>0</v>
      </c>
      <c r="K94" s="884"/>
      <c r="L94" s="884"/>
      <c r="M94" s="27">
        <f t="shared" si="0"/>
        <v>0</v>
      </c>
    </row>
    <row r="95" spans="1:13" s="48" customFormat="1" ht="15.75">
      <c r="A95" s="242"/>
      <c r="B95" s="243"/>
      <c r="C95" s="196" t="s">
        <v>47</v>
      </c>
      <c r="D95" s="28" t="s">
        <v>45</v>
      </c>
      <c r="E95" s="26">
        <v>2.78</v>
      </c>
      <c r="F95" s="26">
        <f>F80*E95</f>
        <v>54.505069199999994</v>
      </c>
      <c r="G95" s="884"/>
      <c r="H95" s="884"/>
      <c r="I95" s="27"/>
      <c r="J95" s="27">
        <f t="shared" si="2"/>
        <v>0</v>
      </c>
      <c r="K95" s="884"/>
      <c r="L95" s="884"/>
      <c r="M95" s="27">
        <f t="shared" si="0"/>
        <v>0</v>
      </c>
    </row>
    <row r="96" spans="1:13" s="48" customFormat="1" ht="27">
      <c r="A96" s="244">
        <v>8</v>
      </c>
      <c r="B96" s="245" t="s">
        <v>247</v>
      </c>
      <c r="C96" s="135" t="s">
        <v>867</v>
      </c>
      <c r="D96" s="28" t="s">
        <v>185</v>
      </c>
      <c r="E96" s="26"/>
      <c r="F96" s="30">
        <f>SUM(F101:F103)</f>
        <v>3.38108</v>
      </c>
      <c r="G96" s="884"/>
      <c r="H96" s="884"/>
      <c r="I96" s="884"/>
      <c r="J96" s="884"/>
      <c r="K96" s="884"/>
      <c r="L96" s="884"/>
      <c r="M96" s="27">
        <f t="shared" si="0"/>
        <v>0</v>
      </c>
    </row>
    <row r="97" spans="1:13" s="48" customFormat="1" ht="15.75">
      <c r="A97" s="239"/>
      <c r="B97" s="29"/>
      <c r="C97" s="196" t="s">
        <v>43</v>
      </c>
      <c r="D97" s="28" t="s">
        <v>15</v>
      </c>
      <c r="E97" s="26">
        <v>13.5</v>
      </c>
      <c r="F97" s="26">
        <f>F96*E97</f>
        <v>45.64458</v>
      </c>
      <c r="G97" s="27"/>
      <c r="H97" s="27">
        <f>F97*G97</f>
        <v>0</v>
      </c>
      <c r="I97" s="884"/>
      <c r="J97" s="884"/>
      <c r="K97" s="884"/>
      <c r="L97" s="884"/>
      <c r="M97" s="27">
        <f t="shared" si="0"/>
        <v>0</v>
      </c>
    </row>
    <row r="98" spans="1:13" s="48" customFormat="1" ht="15.75">
      <c r="A98" s="239"/>
      <c r="B98" s="246"/>
      <c r="C98" s="196" t="s">
        <v>44</v>
      </c>
      <c r="D98" s="28" t="s">
        <v>45</v>
      </c>
      <c r="E98" s="26">
        <v>2.26</v>
      </c>
      <c r="F98" s="26">
        <f>F96*E98</f>
        <v>7.641240799999999</v>
      </c>
      <c r="G98" s="884"/>
      <c r="H98" s="884"/>
      <c r="I98" s="884"/>
      <c r="J98" s="884"/>
      <c r="K98" s="27"/>
      <c r="L98" s="27">
        <f>F98*K98</f>
        <v>0</v>
      </c>
      <c r="M98" s="27">
        <f t="shared" si="0"/>
        <v>0</v>
      </c>
    </row>
    <row r="99" spans="1:13" s="48" customFormat="1" ht="15.75">
      <c r="A99" s="239"/>
      <c r="B99" s="31" t="s">
        <v>248</v>
      </c>
      <c r="C99" s="196" t="s">
        <v>249</v>
      </c>
      <c r="D99" s="28" t="s">
        <v>70</v>
      </c>
      <c r="E99" s="26">
        <v>0.74</v>
      </c>
      <c r="F99" s="26">
        <f>F96*E99</f>
        <v>2.5019991999999998</v>
      </c>
      <c r="G99" s="884"/>
      <c r="H99" s="884"/>
      <c r="I99" s="884"/>
      <c r="J99" s="884"/>
      <c r="K99" s="27"/>
      <c r="L99" s="27">
        <f>F99*K99</f>
        <v>0</v>
      </c>
      <c r="M99" s="27">
        <f t="shared" si="0"/>
        <v>0</v>
      </c>
    </row>
    <row r="100" spans="1:13" s="48" customFormat="1" ht="15.75">
      <c r="A100" s="239"/>
      <c r="B100" s="31" t="s">
        <v>250</v>
      </c>
      <c r="C100" s="196" t="s">
        <v>251</v>
      </c>
      <c r="D100" s="28" t="s">
        <v>70</v>
      </c>
      <c r="E100" s="26">
        <v>0.89</v>
      </c>
      <c r="F100" s="26">
        <f>F96*E100</f>
        <v>3.0091612</v>
      </c>
      <c r="G100" s="884"/>
      <c r="H100" s="884"/>
      <c r="I100" s="884"/>
      <c r="J100" s="884"/>
      <c r="K100" s="27"/>
      <c r="L100" s="27">
        <f>F100*K100</f>
        <v>0</v>
      </c>
      <c r="M100" s="27">
        <f t="shared" si="0"/>
        <v>0</v>
      </c>
    </row>
    <row r="101" spans="1:13" s="247" customFormat="1" ht="15.75">
      <c r="A101" s="239"/>
      <c r="B101" s="246"/>
      <c r="C101" s="196" t="s">
        <v>294</v>
      </c>
      <c r="D101" s="28" t="s">
        <v>185</v>
      </c>
      <c r="E101" s="26" t="s">
        <v>252</v>
      </c>
      <c r="F101" s="26">
        <v>0.1893</v>
      </c>
      <c r="G101" s="884"/>
      <c r="H101" s="884"/>
      <c r="I101" s="27"/>
      <c r="J101" s="27">
        <f aca="true" t="shared" si="3" ref="J101:J106">F101*I101</f>
        <v>0</v>
      </c>
      <c r="K101" s="884"/>
      <c r="L101" s="884"/>
      <c r="M101" s="27">
        <f t="shared" si="0"/>
        <v>0</v>
      </c>
    </row>
    <row r="102" spans="1:13" s="247" customFormat="1" ht="15.75">
      <c r="A102" s="239"/>
      <c r="B102" s="246"/>
      <c r="C102" s="196" t="s">
        <v>255</v>
      </c>
      <c r="D102" s="28" t="s">
        <v>185</v>
      </c>
      <c r="E102" s="26" t="s">
        <v>252</v>
      </c>
      <c r="F102" s="26">
        <f>94.78/1000</f>
        <v>0.09478</v>
      </c>
      <c r="G102" s="884"/>
      <c r="H102" s="884"/>
      <c r="I102" s="27"/>
      <c r="J102" s="27">
        <f t="shared" si="3"/>
        <v>0</v>
      </c>
      <c r="K102" s="884"/>
      <c r="L102" s="884"/>
      <c r="M102" s="27">
        <f t="shared" si="0"/>
        <v>0</v>
      </c>
    </row>
    <row r="103" spans="1:13" s="247" customFormat="1" ht="15.75">
      <c r="A103" s="239"/>
      <c r="B103" s="246"/>
      <c r="C103" s="196" t="s">
        <v>254</v>
      </c>
      <c r="D103" s="28" t="s">
        <v>185</v>
      </c>
      <c r="E103" s="26" t="s">
        <v>252</v>
      </c>
      <c r="F103" s="26">
        <v>3.097</v>
      </c>
      <c r="G103" s="884"/>
      <c r="H103" s="884"/>
      <c r="I103" s="27"/>
      <c r="J103" s="27">
        <f t="shared" si="3"/>
        <v>0</v>
      </c>
      <c r="K103" s="884"/>
      <c r="L103" s="884"/>
      <c r="M103" s="27">
        <f t="shared" si="0"/>
        <v>0</v>
      </c>
    </row>
    <row r="104" spans="1:13" s="48" customFormat="1" ht="15.75">
      <c r="A104" s="239"/>
      <c r="B104" s="246"/>
      <c r="C104" s="196" t="s">
        <v>241</v>
      </c>
      <c r="D104" s="28" t="s">
        <v>49</v>
      </c>
      <c r="E104" s="26">
        <v>0.1</v>
      </c>
      <c r="F104" s="26">
        <f>F96*E104</f>
        <v>0.338108</v>
      </c>
      <c r="G104" s="884"/>
      <c r="H104" s="884"/>
      <c r="I104" s="27"/>
      <c r="J104" s="27">
        <f t="shared" si="3"/>
        <v>0</v>
      </c>
      <c r="K104" s="884"/>
      <c r="L104" s="884"/>
      <c r="M104" s="27">
        <f t="shared" si="0"/>
        <v>0</v>
      </c>
    </row>
    <row r="105" spans="1:13" s="48" customFormat="1" ht="15.75">
      <c r="A105" s="239"/>
      <c r="B105" s="246"/>
      <c r="C105" s="196" t="s">
        <v>246</v>
      </c>
      <c r="D105" s="28" t="s">
        <v>49</v>
      </c>
      <c r="E105" s="26">
        <v>2.5</v>
      </c>
      <c r="F105" s="26">
        <f>F96*E105</f>
        <v>8.4527</v>
      </c>
      <c r="G105" s="884"/>
      <c r="H105" s="884"/>
      <c r="I105" s="27"/>
      <c r="J105" s="27">
        <f t="shared" si="3"/>
        <v>0</v>
      </c>
      <c r="K105" s="884"/>
      <c r="L105" s="884"/>
      <c r="M105" s="27">
        <f t="shared" si="0"/>
        <v>0</v>
      </c>
    </row>
    <row r="106" spans="1:13" s="48" customFormat="1" ht="15.75">
      <c r="A106" s="242"/>
      <c r="B106" s="243"/>
      <c r="C106" s="196" t="s">
        <v>47</v>
      </c>
      <c r="D106" s="28" t="s">
        <v>45</v>
      </c>
      <c r="E106" s="26">
        <v>2.78</v>
      </c>
      <c r="F106" s="26">
        <f>F96*E106</f>
        <v>9.3994024</v>
      </c>
      <c r="G106" s="884"/>
      <c r="H106" s="884"/>
      <c r="I106" s="27"/>
      <c r="J106" s="27">
        <f t="shared" si="3"/>
        <v>0</v>
      </c>
      <c r="K106" s="884"/>
      <c r="L106" s="884"/>
      <c r="M106" s="27">
        <f t="shared" si="0"/>
        <v>0</v>
      </c>
    </row>
    <row r="107" spans="1:13" s="250" customFormat="1" ht="27">
      <c r="A107" s="248">
        <v>9</v>
      </c>
      <c r="B107" s="248" t="s">
        <v>257</v>
      </c>
      <c r="C107" s="135" t="s">
        <v>263</v>
      </c>
      <c r="D107" s="33" t="s">
        <v>185</v>
      </c>
      <c r="E107" s="249"/>
      <c r="F107" s="249">
        <f>SUM(F112:F117)</f>
        <v>0.3739</v>
      </c>
      <c r="G107" s="885"/>
      <c r="H107" s="885"/>
      <c r="I107" s="34"/>
      <c r="J107" s="34"/>
      <c r="K107" s="885"/>
      <c r="L107" s="885"/>
      <c r="M107" s="27">
        <f aca="true" t="shared" si="4" ref="M107:M181">L107+J107+H107</f>
        <v>0</v>
      </c>
    </row>
    <row r="108" spans="1:13" s="247" customFormat="1" ht="15.75">
      <c r="A108" s="239"/>
      <c r="B108" s="239"/>
      <c r="C108" s="196" t="s">
        <v>43</v>
      </c>
      <c r="D108" s="28" t="s">
        <v>15</v>
      </c>
      <c r="E108" s="26">
        <v>5.23</v>
      </c>
      <c r="F108" s="26">
        <f>F107*E108</f>
        <v>1.9554970000000003</v>
      </c>
      <c r="G108" s="27"/>
      <c r="H108" s="27">
        <f>F108*G108</f>
        <v>0</v>
      </c>
      <c r="I108" s="884"/>
      <c r="J108" s="884"/>
      <c r="K108" s="884"/>
      <c r="L108" s="884"/>
      <c r="M108" s="27">
        <f t="shared" si="4"/>
        <v>0</v>
      </c>
    </row>
    <row r="109" spans="1:13" s="247" customFormat="1" ht="15.75">
      <c r="A109" s="239"/>
      <c r="B109" s="246"/>
      <c r="C109" s="196" t="s">
        <v>44</v>
      </c>
      <c r="D109" s="28" t="s">
        <v>45</v>
      </c>
      <c r="E109" s="26">
        <v>2.9</v>
      </c>
      <c r="F109" s="26">
        <f>F107*E109</f>
        <v>1.08431</v>
      </c>
      <c r="G109" s="884"/>
      <c r="H109" s="884"/>
      <c r="I109" s="884"/>
      <c r="J109" s="884"/>
      <c r="K109" s="27"/>
      <c r="L109" s="27">
        <f>F109*K109</f>
        <v>0</v>
      </c>
      <c r="M109" s="27">
        <f t="shared" si="4"/>
        <v>0</v>
      </c>
    </row>
    <row r="110" spans="1:13" s="247" customFormat="1" ht="15.75">
      <c r="A110" s="239"/>
      <c r="B110" s="246" t="s">
        <v>258</v>
      </c>
      <c r="C110" s="196" t="s">
        <v>259</v>
      </c>
      <c r="D110" s="28" t="s">
        <v>70</v>
      </c>
      <c r="E110" s="26">
        <v>0.99</v>
      </c>
      <c r="F110" s="26">
        <f>F107*E110</f>
        <v>0.370161</v>
      </c>
      <c r="G110" s="884"/>
      <c r="H110" s="884"/>
      <c r="I110" s="27"/>
      <c r="J110" s="27"/>
      <c r="K110" s="27"/>
      <c r="L110" s="27">
        <f>F110*K110</f>
        <v>0</v>
      </c>
      <c r="M110" s="27">
        <f t="shared" si="4"/>
        <v>0</v>
      </c>
    </row>
    <row r="111" spans="1:13" s="247" customFormat="1" ht="15.75">
      <c r="A111" s="239"/>
      <c r="B111" s="246" t="s">
        <v>260</v>
      </c>
      <c r="C111" s="196" t="s">
        <v>261</v>
      </c>
      <c r="D111" s="28" t="s">
        <v>70</v>
      </c>
      <c r="E111" s="26">
        <v>0.34</v>
      </c>
      <c r="F111" s="26">
        <f>F107*E111</f>
        <v>0.12712600000000002</v>
      </c>
      <c r="G111" s="884"/>
      <c r="H111" s="884"/>
      <c r="I111" s="27"/>
      <c r="J111" s="27"/>
      <c r="K111" s="27"/>
      <c r="L111" s="27">
        <f>F111*K111</f>
        <v>0</v>
      </c>
      <c r="M111" s="27">
        <f t="shared" si="4"/>
        <v>0</v>
      </c>
    </row>
    <row r="112" spans="1:13" s="247" customFormat="1" ht="15.75">
      <c r="A112" s="239"/>
      <c r="B112" s="246"/>
      <c r="C112" s="196" t="s">
        <v>264</v>
      </c>
      <c r="D112" s="28" t="s">
        <v>185</v>
      </c>
      <c r="E112" s="26" t="s">
        <v>252</v>
      </c>
      <c r="F112" s="26">
        <f>313.5/1000</f>
        <v>0.3135</v>
      </c>
      <c r="G112" s="884"/>
      <c r="H112" s="884"/>
      <c r="I112" s="27"/>
      <c r="J112" s="27">
        <f aca="true" t="shared" si="5" ref="J112:J117">F112*I112</f>
        <v>0</v>
      </c>
      <c r="K112" s="884"/>
      <c r="L112" s="884"/>
      <c r="M112" s="27">
        <f aca="true" t="shared" si="6" ref="M112:M117">L112+J112+H112</f>
        <v>0</v>
      </c>
    </row>
    <row r="113" spans="1:13" s="247" customFormat="1" ht="15.75">
      <c r="A113" s="239"/>
      <c r="B113" s="246"/>
      <c r="C113" s="196" t="s">
        <v>265</v>
      </c>
      <c r="D113" s="28" t="s">
        <v>185</v>
      </c>
      <c r="E113" s="26" t="s">
        <v>252</v>
      </c>
      <c r="F113" s="26">
        <f>14.7/1000</f>
        <v>0.0147</v>
      </c>
      <c r="G113" s="884"/>
      <c r="H113" s="884"/>
      <c r="I113" s="27"/>
      <c r="J113" s="27">
        <f t="shared" si="5"/>
        <v>0</v>
      </c>
      <c r="K113" s="884"/>
      <c r="L113" s="884"/>
      <c r="M113" s="27">
        <f t="shared" si="6"/>
        <v>0</v>
      </c>
    </row>
    <row r="114" spans="1:13" s="247" customFormat="1" ht="15.75">
      <c r="A114" s="239"/>
      <c r="B114" s="246"/>
      <c r="C114" s="196" t="s">
        <v>869</v>
      </c>
      <c r="D114" s="28" t="s">
        <v>185</v>
      </c>
      <c r="E114" s="26" t="s">
        <v>252</v>
      </c>
      <c r="F114" s="30">
        <f>(4.2+15.8)/1000</f>
        <v>0.02</v>
      </c>
      <c r="G114" s="884"/>
      <c r="H114" s="884"/>
      <c r="I114" s="27"/>
      <c r="J114" s="27">
        <f t="shared" si="5"/>
        <v>0</v>
      </c>
      <c r="K114" s="884"/>
      <c r="L114" s="884"/>
      <c r="M114" s="27">
        <f t="shared" si="6"/>
        <v>0</v>
      </c>
    </row>
    <row r="115" spans="1:13" s="247" customFormat="1" ht="15.75">
      <c r="A115" s="239"/>
      <c r="B115" s="246"/>
      <c r="C115" s="196" t="s">
        <v>870</v>
      </c>
      <c r="D115" s="28" t="s">
        <v>185</v>
      </c>
      <c r="E115" s="26" t="s">
        <v>252</v>
      </c>
      <c r="F115" s="30">
        <f>9/1000</f>
        <v>0.009</v>
      </c>
      <c r="G115" s="884"/>
      <c r="H115" s="884"/>
      <c r="I115" s="27"/>
      <c r="J115" s="27">
        <f t="shared" si="5"/>
        <v>0</v>
      </c>
      <c r="K115" s="884"/>
      <c r="L115" s="884"/>
      <c r="M115" s="27">
        <f t="shared" si="6"/>
        <v>0</v>
      </c>
    </row>
    <row r="116" spans="1:13" s="247" customFormat="1" ht="15.75">
      <c r="A116" s="239"/>
      <c r="B116" s="246"/>
      <c r="C116" s="196" t="s">
        <v>871</v>
      </c>
      <c r="D116" s="28" t="s">
        <v>185</v>
      </c>
      <c r="E116" s="26" t="s">
        <v>252</v>
      </c>
      <c r="F116" s="30">
        <f>3.7/1000</f>
        <v>0.0037</v>
      </c>
      <c r="G116" s="884"/>
      <c r="H116" s="884"/>
      <c r="I116" s="27"/>
      <c r="J116" s="27">
        <f>F116*I116</f>
        <v>0</v>
      </c>
      <c r="K116" s="884"/>
      <c r="L116" s="884"/>
      <c r="M116" s="27">
        <f>L116+J116+H116</f>
        <v>0</v>
      </c>
    </row>
    <row r="117" spans="1:13" s="247" customFormat="1" ht="15.75">
      <c r="A117" s="239"/>
      <c r="B117" s="246"/>
      <c r="C117" s="196" t="s">
        <v>872</v>
      </c>
      <c r="D117" s="28" t="s">
        <v>185</v>
      </c>
      <c r="E117" s="26" t="s">
        <v>252</v>
      </c>
      <c r="F117" s="26">
        <f>13/1000</f>
        <v>0.013</v>
      </c>
      <c r="G117" s="884"/>
      <c r="H117" s="884"/>
      <c r="I117" s="27"/>
      <c r="J117" s="27">
        <f t="shared" si="5"/>
        <v>0</v>
      </c>
      <c r="K117" s="884"/>
      <c r="L117" s="884"/>
      <c r="M117" s="27">
        <f t="shared" si="6"/>
        <v>0</v>
      </c>
    </row>
    <row r="118" spans="1:13" s="247" customFormat="1" ht="15.75">
      <c r="A118" s="239"/>
      <c r="B118" s="246"/>
      <c r="C118" s="196" t="s">
        <v>241</v>
      </c>
      <c r="D118" s="28" t="s">
        <v>49</v>
      </c>
      <c r="E118" s="26">
        <v>2.3</v>
      </c>
      <c r="F118" s="26">
        <f>F107*E118</f>
        <v>0.85997</v>
      </c>
      <c r="G118" s="884"/>
      <c r="H118" s="884"/>
      <c r="I118" s="27"/>
      <c r="J118" s="27">
        <f>F118*I118</f>
        <v>0</v>
      </c>
      <c r="K118" s="884"/>
      <c r="L118" s="884"/>
      <c r="M118" s="27">
        <f t="shared" si="4"/>
        <v>0</v>
      </c>
    </row>
    <row r="119" spans="1:13" s="247" customFormat="1" ht="15.75">
      <c r="A119" s="239"/>
      <c r="B119" s="246"/>
      <c r="C119" s="196" t="s">
        <v>246</v>
      </c>
      <c r="D119" s="28" t="s">
        <v>49</v>
      </c>
      <c r="E119" s="26">
        <v>1.6</v>
      </c>
      <c r="F119" s="26">
        <f>F107*E119</f>
        <v>0.59824</v>
      </c>
      <c r="G119" s="27"/>
      <c r="H119" s="27"/>
      <c r="I119" s="27"/>
      <c r="J119" s="27">
        <f>F119*I119</f>
        <v>0</v>
      </c>
      <c r="K119" s="884"/>
      <c r="L119" s="884"/>
      <c r="M119" s="27">
        <f t="shared" si="4"/>
        <v>0</v>
      </c>
    </row>
    <row r="120" spans="1:13" s="247" customFormat="1" ht="15.75">
      <c r="A120" s="239"/>
      <c r="B120" s="246"/>
      <c r="C120" s="196" t="s">
        <v>47</v>
      </c>
      <c r="D120" s="28" t="s">
        <v>45</v>
      </c>
      <c r="E120" s="26">
        <v>2.78</v>
      </c>
      <c r="F120" s="26">
        <f>F107*E120</f>
        <v>1.039442</v>
      </c>
      <c r="G120" s="884"/>
      <c r="H120" s="884"/>
      <c r="I120" s="27"/>
      <c r="J120" s="27">
        <f>F120*I120</f>
        <v>0</v>
      </c>
      <c r="K120" s="884"/>
      <c r="L120" s="884"/>
      <c r="M120" s="27">
        <f t="shared" si="4"/>
        <v>0</v>
      </c>
    </row>
    <row r="121" spans="1:13" s="48" customFormat="1" ht="40.5">
      <c r="A121" s="244">
        <v>10</v>
      </c>
      <c r="B121" s="245" t="s">
        <v>247</v>
      </c>
      <c r="C121" s="135" t="s">
        <v>256</v>
      </c>
      <c r="D121" s="28" t="s">
        <v>185</v>
      </c>
      <c r="E121" s="26"/>
      <c r="F121" s="30">
        <f>SUM(F126:F130)</f>
        <v>2.16592</v>
      </c>
      <c r="G121" s="884"/>
      <c r="H121" s="884"/>
      <c r="I121" s="884"/>
      <c r="J121" s="884"/>
      <c r="K121" s="884"/>
      <c r="L121" s="884"/>
      <c r="M121" s="27">
        <f t="shared" si="4"/>
        <v>0</v>
      </c>
    </row>
    <row r="122" spans="1:13" s="48" customFormat="1" ht="15.75">
      <c r="A122" s="239"/>
      <c r="B122" s="29"/>
      <c r="C122" s="196" t="s">
        <v>43</v>
      </c>
      <c r="D122" s="28" t="s">
        <v>15</v>
      </c>
      <c r="E122" s="26">
        <v>13.5</v>
      </c>
      <c r="F122" s="26">
        <f>F121*E122</f>
        <v>29.239919999999998</v>
      </c>
      <c r="G122" s="27"/>
      <c r="H122" s="27">
        <f>F122*G122</f>
        <v>0</v>
      </c>
      <c r="I122" s="884"/>
      <c r="J122" s="884"/>
      <c r="K122" s="884"/>
      <c r="L122" s="884"/>
      <c r="M122" s="27">
        <f t="shared" si="4"/>
        <v>0</v>
      </c>
    </row>
    <row r="123" spans="1:13" s="48" customFormat="1" ht="15.75">
      <c r="A123" s="239"/>
      <c r="B123" s="246"/>
      <c r="C123" s="196" t="s">
        <v>44</v>
      </c>
      <c r="D123" s="28" t="s">
        <v>45</v>
      </c>
      <c r="E123" s="26">
        <v>2.26</v>
      </c>
      <c r="F123" s="26">
        <f>F121*E123</f>
        <v>4.894979199999999</v>
      </c>
      <c r="G123" s="884"/>
      <c r="H123" s="884"/>
      <c r="I123" s="884"/>
      <c r="J123" s="884"/>
      <c r="K123" s="27"/>
      <c r="L123" s="27">
        <f>F123*K123</f>
        <v>0</v>
      </c>
      <c r="M123" s="27">
        <f t="shared" si="4"/>
        <v>0</v>
      </c>
    </row>
    <row r="124" spans="1:13" s="48" customFormat="1" ht="15.75">
      <c r="A124" s="239"/>
      <c r="B124" s="31" t="s">
        <v>248</v>
      </c>
      <c r="C124" s="196" t="s">
        <v>249</v>
      </c>
      <c r="D124" s="28" t="s">
        <v>70</v>
      </c>
      <c r="E124" s="26">
        <v>0.74</v>
      </c>
      <c r="F124" s="26">
        <f>F121*E124</f>
        <v>1.6027808</v>
      </c>
      <c r="G124" s="884"/>
      <c r="H124" s="884"/>
      <c r="I124" s="884"/>
      <c r="J124" s="884"/>
      <c r="K124" s="27"/>
      <c r="L124" s="27">
        <f>F124*K124</f>
        <v>0</v>
      </c>
      <c r="M124" s="27">
        <f t="shared" si="4"/>
        <v>0</v>
      </c>
    </row>
    <row r="125" spans="1:13" s="48" customFormat="1" ht="15.75">
      <c r="A125" s="239"/>
      <c r="B125" s="31" t="s">
        <v>250</v>
      </c>
      <c r="C125" s="196" t="s">
        <v>251</v>
      </c>
      <c r="D125" s="28" t="s">
        <v>70</v>
      </c>
      <c r="E125" s="26">
        <v>0.89</v>
      </c>
      <c r="F125" s="26">
        <f>F121*E125</f>
        <v>1.9276688</v>
      </c>
      <c r="G125" s="884"/>
      <c r="H125" s="884"/>
      <c r="I125" s="884"/>
      <c r="J125" s="884"/>
      <c r="K125" s="27"/>
      <c r="L125" s="27">
        <f>F125*K125</f>
        <v>0</v>
      </c>
      <c r="M125" s="27">
        <f t="shared" si="4"/>
        <v>0</v>
      </c>
    </row>
    <row r="126" spans="1:13" s="247" customFormat="1" ht="15.75">
      <c r="A126" s="239"/>
      <c r="B126" s="246"/>
      <c r="C126" s="196" t="s">
        <v>264</v>
      </c>
      <c r="D126" s="28" t="s">
        <v>185</v>
      </c>
      <c r="E126" s="26" t="s">
        <v>252</v>
      </c>
      <c r="F126" s="26">
        <v>1.92922</v>
      </c>
      <c r="G126" s="884"/>
      <c r="H126" s="884"/>
      <c r="I126" s="27"/>
      <c r="J126" s="27">
        <f aca="true" t="shared" si="7" ref="J126:J133">F126*I126</f>
        <v>0</v>
      </c>
      <c r="K126" s="884"/>
      <c r="L126" s="884"/>
      <c r="M126" s="27">
        <f t="shared" si="4"/>
        <v>0</v>
      </c>
    </row>
    <row r="127" spans="1:13" s="247" customFormat="1" ht="15.75">
      <c r="A127" s="239"/>
      <c r="B127" s="246"/>
      <c r="C127" s="196" t="s">
        <v>868</v>
      </c>
      <c r="D127" s="28" t="s">
        <v>185</v>
      </c>
      <c r="E127" s="26" t="s">
        <v>252</v>
      </c>
      <c r="F127" s="26">
        <f>79.3/1000</f>
        <v>0.0793</v>
      </c>
      <c r="G127" s="884"/>
      <c r="H127" s="884"/>
      <c r="I127" s="27"/>
      <c r="J127" s="27">
        <f t="shared" si="7"/>
        <v>0</v>
      </c>
      <c r="K127" s="884"/>
      <c r="L127" s="884"/>
      <c r="M127" s="27">
        <f t="shared" si="4"/>
        <v>0</v>
      </c>
    </row>
    <row r="128" spans="1:13" s="247" customFormat="1" ht="15.75">
      <c r="A128" s="239"/>
      <c r="B128" s="246"/>
      <c r="C128" s="196" t="s">
        <v>869</v>
      </c>
      <c r="D128" s="28" t="s">
        <v>185</v>
      </c>
      <c r="E128" s="26" t="s">
        <v>252</v>
      </c>
      <c r="F128" s="26">
        <f>22.7/1000</f>
        <v>0.022699999999999998</v>
      </c>
      <c r="G128" s="884"/>
      <c r="H128" s="884"/>
      <c r="I128" s="27"/>
      <c r="J128" s="27">
        <f>F128*I128</f>
        <v>0</v>
      </c>
      <c r="K128" s="884"/>
      <c r="L128" s="884"/>
      <c r="M128" s="27">
        <f>L128+J128+H128</f>
        <v>0</v>
      </c>
    </row>
    <row r="129" spans="1:13" s="247" customFormat="1" ht="15.75">
      <c r="A129" s="239"/>
      <c r="B129" s="246"/>
      <c r="C129" s="196" t="s">
        <v>870</v>
      </c>
      <c r="D129" s="28" t="s">
        <v>185</v>
      </c>
      <c r="E129" s="26" t="s">
        <v>252</v>
      </c>
      <c r="F129" s="26">
        <f>0.0425+0.0213</f>
        <v>0.0638</v>
      </c>
      <c r="G129" s="884"/>
      <c r="H129" s="884"/>
      <c r="I129" s="27"/>
      <c r="J129" s="27">
        <f t="shared" si="7"/>
        <v>0</v>
      </c>
      <c r="K129" s="884"/>
      <c r="L129" s="884"/>
      <c r="M129" s="27">
        <f t="shared" si="4"/>
        <v>0</v>
      </c>
    </row>
    <row r="130" spans="1:13" s="247" customFormat="1" ht="15.75">
      <c r="A130" s="239"/>
      <c r="B130" s="246"/>
      <c r="C130" s="196" t="s">
        <v>265</v>
      </c>
      <c r="D130" s="28" t="s">
        <v>185</v>
      </c>
      <c r="E130" s="26" t="s">
        <v>252</v>
      </c>
      <c r="F130" s="26">
        <f>70.9/1000</f>
        <v>0.0709</v>
      </c>
      <c r="G130" s="884"/>
      <c r="H130" s="884"/>
      <c r="I130" s="27"/>
      <c r="J130" s="27">
        <f t="shared" si="7"/>
        <v>0</v>
      </c>
      <c r="K130" s="884"/>
      <c r="L130" s="884"/>
      <c r="M130" s="27">
        <f t="shared" si="4"/>
        <v>0</v>
      </c>
    </row>
    <row r="131" spans="1:13" s="48" customFormat="1" ht="15.75">
      <c r="A131" s="239"/>
      <c r="B131" s="246"/>
      <c r="C131" s="196" t="s">
        <v>241</v>
      </c>
      <c r="D131" s="28" t="s">
        <v>49</v>
      </c>
      <c r="E131" s="26">
        <v>0.1</v>
      </c>
      <c r="F131" s="26">
        <f>F121*E131</f>
        <v>0.216592</v>
      </c>
      <c r="G131" s="884"/>
      <c r="H131" s="884"/>
      <c r="I131" s="27"/>
      <c r="J131" s="27">
        <f t="shared" si="7"/>
        <v>0</v>
      </c>
      <c r="K131" s="884"/>
      <c r="L131" s="884"/>
      <c r="M131" s="27">
        <f t="shared" si="4"/>
        <v>0</v>
      </c>
    </row>
    <row r="132" spans="1:13" s="48" customFormat="1" ht="15.75">
      <c r="A132" s="239"/>
      <c r="B132" s="246"/>
      <c r="C132" s="196" t="s">
        <v>246</v>
      </c>
      <c r="D132" s="28" t="s">
        <v>49</v>
      </c>
      <c r="E132" s="26">
        <v>2.5</v>
      </c>
      <c r="F132" s="26">
        <f>F121*E132</f>
        <v>5.4148</v>
      </c>
      <c r="G132" s="884"/>
      <c r="H132" s="884"/>
      <c r="I132" s="27"/>
      <c r="J132" s="27">
        <f t="shared" si="7"/>
        <v>0</v>
      </c>
      <c r="K132" s="884"/>
      <c r="L132" s="884"/>
      <c r="M132" s="27">
        <f t="shared" si="4"/>
        <v>0</v>
      </c>
    </row>
    <row r="133" spans="1:13" s="48" customFormat="1" ht="15.75">
      <c r="A133" s="242"/>
      <c r="B133" s="243"/>
      <c r="C133" s="196" t="s">
        <v>47</v>
      </c>
      <c r="D133" s="28" t="s">
        <v>45</v>
      </c>
      <c r="E133" s="26">
        <v>2.78</v>
      </c>
      <c r="F133" s="26">
        <f>F121*E133</f>
        <v>6.021257599999999</v>
      </c>
      <c r="G133" s="884"/>
      <c r="H133" s="884"/>
      <c r="I133" s="27"/>
      <c r="J133" s="27">
        <f t="shared" si="7"/>
        <v>0</v>
      </c>
      <c r="K133" s="884"/>
      <c r="L133" s="884"/>
      <c r="M133" s="27">
        <f t="shared" si="4"/>
        <v>0</v>
      </c>
    </row>
    <row r="134" spans="1:13" s="14" customFormat="1" ht="51" customHeight="1">
      <c r="A134" s="18">
        <v>11</v>
      </c>
      <c r="B134" s="694" t="s">
        <v>243</v>
      </c>
      <c r="C134" s="695" t="s">
        <v>286</v>
      </c>
      <c r="D134" s="696" t="s">
        <v>185</v>
      </c>
      <c r="E134" s="696"/>
      <c r="F134" s="300">
        <v>10.672</v>
      </c>
      <c r="G134" s="886"/>
      <c r="H134" s="886"/>
      <c r="I134" s="886"/>
      <c r="J134" s="886"/>
      <c r="K134" s="823"/>
      <c r="L134" s="823"/>
      <c r="M134" s="637">
        <f t="shared" si="4"/>
        <v>0</v>
      </c>
    </row>
    <row r="135" spans="1:13" s="698" customFormat="1" ht="16.5">
      <c r="A135" s="640"/>
      <c r="B135" s="639"/>
      <c r="C135" s="697" t="s">
        <v>43</v>
      </c>
      <c r="D135" s="630" t="s">
        <v>15</v>
      </c>
      <c r="E135" s="636">
        <v>53.8</v>
      </c>
      <c r="F135" s="26">
        <f>F134*E135</f>
        <v>574.1536</v>
      </c>
      <c r="G135" s="637"/>
      <c r="H135" s="637">
        <f>G135*F135</f>
        <v>0</v>
      </c>
      <c r="I135" s="887"/>
      <c r="J135" s="887"/>
      <c r="K135" s="887"/>
      <c r="L135" s="887"/>
      <c r="M135" s="637">
        <f t="shared" si="4"/>
        <v>0</v>
      </c>
    </row>
    <row r="136" spans="1:13" s="698" customFormat="1" ht="16.5">
      <c r="A136" s="640"/>
      <c r="B136" s="632"/>
      <c r="C136" s="697" t="s">
        <v>44</v>
      </c>
      <c r="D136" s="630" t="s">
        <v>45</v>
      </c>
      <c r="E136" s="636">
        <v>18.4</v>
      </c>
      <c r="F136" s="26">
        <f>F134*E136</f>
        <v>196.3648</v>
      </c>
      <c r="G136" s="887"/>
      <c r="H136" s="887"/>
      <c r="I136" s="887"/>
      <c r="J136" s="887"/>
      <c r="K136" s="888"/>
      <c r="L136" s="888">
        <f>K136*F136</f>
        <v>0</v>
      </c>
      <c r="M136" s="637">
        <f t="shared" si="4"/>
        <v>0</v>
      </c>
    </row>
    <row r="137" spans="1:13" s="698" customFormat="1" ht="16.5">
      <c r="A137" s="699"/>
      <c r="B137" s="700"/>
      <c r="C137" s="697" t="s">
        <v>244</v>
      </c>
      <c r="D137" s="630" t="s">
        <v>70</v>
      </c>
      <c r="E137" s="630">
        <v>0.35</v>
      </c>
      <c r="F137" s="26">
        <f>F134*E137</f>
        <v>3.7352</v>
      </c>
      <c r="G137" s="887"/>
      <c r="H137" s="887"/>
      <c r="I137" s="637"/>
      <c r="J137" s="637"/>
      <c r="K137" s="887"/>
      <c r="L137" s="888">
        <f>K137*F137</f>
        <v>0</v>
      </c>
      <c r="M137" s="637">
        <f t="shared" si="4"/>
        <v>0</v>
      </c>
    </row>
    <row r="138" spans="1:13" s="698" customFormat="1" ht="16.5">
      <c r="A138" s="699"/>
      <c r="B138" s="699"/>
      <c r="C138" s="697" t="s">
        <v>245</v>
      </c>
      <c r="D138" s="630" t="s">
        <v>185</v>
      </c>
      <c r="E138" s="637">
        <v>1</v>
      </c>
      <c r="F138" s="26">
        <f>F134</f>
        <v>10.672</v>
      </c>
      <c r="G138" s="887"/>
      <c r="H138" s="887"/>
      <c r="I138" s="637"/>
      <c r="J138" s="637">
        <f>I138*F138</f>
        <v>0</v>
      </c>
      <c r="K138" s="887"/>
      <c r="L138" s="887"/>
      <c r="M138" s="637">
        <f t="shared" si="4"/>
        <v>0</v>
      </c>
    </row>
    <row r="139" spans="1:13" s="698" customFormat="1" ht="16.5">
      <c r="A139" s="699"/>
      <c r="B139" s="699"/>
      <c r="C139" s="697" t="s">
        <v>246</v>
      </c>
      <c r="D139" s="630" t="s">
        <v>49</v>
      </c>
      <c r="E139" s="630">
        <v>24.4</v>
      </c>
      <c r="F139" s="26">
        <f>F134*E139</f>
        <v>260.3968</v>
      </c>
      <c r="G139" s="887"/>
      <c r="H139" s="887"/>
      <c r="I139" s="637"/>
      <c r="J139" s="637">
        <f>I139*F139</f>
        <v>0</v>
      </c>
      <c r="K139" s="887"/>
      <c r="L139" s="887"/>
      <c r="M139" s="637">
        <f t="shared" si="4"/>
        <v>0</v>
      </c>
    </row>
    <row r="140" spans="1:13" s="698" customFormat="1" ht="16.5">
      <c r="A140" s="701"/>
      <c r="B140" s="702"/>
      <c r="C140" s="697" t="s">
        <v>47</v>
      </c>
      <c r="D140" s="630" t="s">
        <v>45</v>
      </c>
      <c r="E140" s="636">
        <v>2.78</v>
      </c>
      <c r="F140" s="26">
        <f>F134*E140</f>
        <v>29.66816</v>
      </c>
      <c r="G140" s="887"/>
      <c r="H140" s="887"/>
      <c r="I140" s="637"/>
      <c r="J140" s="637">
        <f>I140*F140</f>
        <v>0</v>
      </c>
      <c r="K140" s="887"/>
      <c r="L140" s="887"/>
      <c r="M140" s="637">
        <f t="shared" si="4"/>
        <v>0</v>
      </c>
    </row>
    <row r="141" spans="1:13" s="14" customFormat="1" ht="51" customHeight="1">
      <c r="A141" s="18">
        <v>12</v>
      </c>
      <c r="B141" s="694" t="s">
        <v>243</v>
      </c>
      <c r="C141" s="695" t="s">
        <v>287</v>
      </c>
      <c r="D141" s="696" t="s">
        <v>185</v>
      </c>
      <c r="E141" s="696"/>
      <c r="F141" s="238">
        <f>24501/1000</f>
        <v>24.501</v>
      </c>
      <c r="G141" s="886"/>
      <c r="H141" s="886"/>
      <c r="I141" s="886"/>
      <c r="J141" s="886"/>
      <c r="K141" s="823"/>
      <c r="L141" s="823"/>
      <c r="M141" s="637">
        <f t="shared" si="4"/>
        <v>0</v>
      </c>
    </row>
    <row r="142" spans="1:13" s="698" customFormat="1" ht="16.5">
      <c r="A142" s="640"/>
      <c r="B142" s="639"/>
      <c r="C142" s="697" t="s">
        <v>43</v>
      </c>
      <c r="D142" s="630" t="s">
        <v>15</v>
      </c>
      <c r="E142" s="636">
        <v>53.8</v>
      </c>
      <c r="F142" s="26">
        <f>F141*E142</f>
        <v>1318.1538</v>
      </c>
      <c r="G142" s="637"/>
      <c r="H142" s="637">
        <f>G142*F142</f>
        <v>0</v>
      </c>
      <c r="I142" s="887"/>
      <c r="J142" s="887"/>
      <c r="K142" s="887"/>
      <c r="L142" s="887"/>
      <c r="M142" s="637">
        <f t="shared" si="4"/>
        <v>0</v>
      </c>
    </row>
    <row r="143" spans="1:13" s="698" customFormat="1" ht="16.5">
      <c r="A143" s="640"/>
      <c r="B143" s="632"/>
      <c r="C143" s="697" t="s">
        <v>44</v>
      </c>
      <c r="D143" s="630" t="s">
        <v>45</v>
      </c>
      <c r="E143" s="636">
        <v>18.4</v>
      </c>
      <c r="F143" s="26">
        <f>F141*E143</f>
        <v>450.8184</v>
      </c>
      <c r="G143" s="887"/>
      <c r="H143" s="887"/>
      <c r="I143" s="887"/>
      <c r="J143" s="887"/>
      <c r="K143" s="888"/>
      <c r="L143" s="888">
        <f>K143*F143</f>
        <v>0</v>
      </c>
      <c r="M143" s="637">
        <f t="shared" si="4"/>
        <v>0</v>
      </c>
    </row>
    <row r="144" spans="1:13" s="698" customFormat="1" ht="16.5">
      <c r="A144" s="699"/>
      <c r="B144" s="700"/>
      <c r="C144" s="697" t="s">
        <v>244</v>
      </c>
      <c r="D144" s="630" t="s">
        <v>70</v>
      </c>
      <c r="E144" s="630">
        <v>0.35</v>
      </c>
      <c r="F144" s="26">
        <f>F141*E144</f>
        <v>8.57535</v>
      </c>
      <c r="G144" s="887"/>
      <c r="H144" s="887"/>
      <c r="I144" s="637"/>
      <c r="J144" s="637"/>
      <c r="K144" s="887"/>
      <c r="L144" s="888">
        <f>K144*F144</f>
        <v>0</v>
      </c>
      <c r="M144" s="637">
        <f t="shared" si="4"/>
        <v>0</v>
      </c>
    </row>
    <row r="145" spans="1:13" s="698" customFormat="1" ht="16.5">
      <c r="A145" s="699"/>
      <c r="B145" s="699"/>
      <c r="C145" s="697" t="s">
        <v>245</v>
      </c>
      <c r="D145" s="630" t="s">
        <v>185</v>
      </c>
      <c r="E145" s="637">
        <v>1</v>
      </c>
      <c r="F145" s="26">
        <f>F141</f>
        <v>24.501</v>
      </c>
      <c r="G145" s="887"/>
      <c r="H145" s="887"/>
      <c r="I145" s="637"/>
      <c r="J145" s="637">
        <f>I145*F145</f>
        <v>0</v>
      </c>
      <c r="K145" s="887"/>
      <c r="L145" s="887"/>
      <c r="M145" s="637">
        <f t="shared" si="4"/>
        <v>0</v>
      </c>
    </row>
    <row r="146" spans="1:13" s="698" customFormat="1" ht="16.5">
      <c r="A146" s="699"/>
      <c r="B146" s="699"/>
      <c r="C146" s="697" t="s">
        <v>246</v>
      </c>
      <c r="D146" s="630" t="s">
        <v>49</v>
      </c>
      <c r="E146" s="630">
        <v>24.4</v>
      </c>
      <c r="F146" s="26">
        <f>F141*E146</f>
        <v>597.8244</v>
      </c>
      <c r="G146" s="887"/>
      <c r="H146" s="887"/>
      <c r="I146" s="637"/>
      <c r="J146" s="637">
        <f>I146*F146</f>
        <v>0</v>
      </c>
      <c r="K146" s="887"/>
      <c r="L146" s="887"/>
      <c r="M146" s="637">
        <f t="shared" si="4"/>
        <v>0</v>
      </c>
    </row>
    <row r="147" spans="1:13" s="698" customFormat="1" ht="16.5">
      <c r="A147" s="701"/>
      <c r="B147" s="702"/>
      <c r="C147" s="697" t="s">
        <v>47</v>
      </c>
      <c r="D147" s="630" t="s">
        <v>45</v>
      </c>
      <c r="E147" s="636">
        <v>2.78</v>
      </c>
      <c r="F147" s="26">
        <f>F141*E147</f>
        <v>68.11278</v>
      </c>
      <c r="G147" s="887"/>
      <c r="H147" s="887"/>
      <c r="I147" s="637"/>
      <c r="J147" s="637">
        <f>I147*F147</f>
        <v>0</v>
      </c>
      <c r="K147" s="887"/>
      <c r="L147" s="887"/>
      <c r="M147" s="637">
        <f t="shared" si="4"/>
        <v>0</v>
      </c>
    </row>
    <row r="148" spans="1:13" s="705" customFormat="1" ht="33" customHeight="1">
      <c r="A148" s="703">
        <v>13</v>
      </c>
      <c r="B148" s="703" t="s">
        <v>257</v>
      </c>
      <c r="C148" s="695" t="s">
        <v>288</v>
      </c>
      <c r="D148" s="696" t="s">
        <v>185</v>
      </c>
      <c r="E148" s="704"/>
      <c r="F148" s="249">
        <f>SUM(F153:F157)</f>
        <v>7.642</v>
      </c>
      <c r="G148" s="889"/>
      <c r="H148" s="889"/>
      <c r="I148" s="823"/>
      <c r="J148" s="823"/>
      <c r="K148" s="889"/>
      <c r="L148" s="889"/>
      <c r="M148" s="637">
        <f t="shared" si="4"/>
        <v>0</v>
      </c>
    </row>
    <row r="149" spans="1:13" s="643" customFormat="1" ht="15.75">
      <c r="A149" s="640"/>
      <c r="B149" s="640"/>
      <c r="C149" s="697" t="s">
        <v>43</v>
      </c>
      <c r="D149" s="630" t="s">
        <v>15</v>
      </c>
      <c r="E149" s="636">
        <v>5.23</v>
      </c>
      <c r="F149" s="26">
        <f>F148*E149</f>
        <v>39.96766</v>
      </c>
      <c r="G149" s="637"/>
      <c r="H149" s="637">
        <f>F149*G149</f>
        <v>0</v>
      </c>
      <c r="I149" s="888"/>
      <c r="J149" s="888"/>
      <c r="K149" s="888"/>
      <c r="L149" s="888"/>
      <c r="M149" s="637">
        <f t="shared" si="4"/>
        <v>0</v>
      </c>
    </row>
    <row r="150" spans="1:13" s="643" customFormat="1" ht="15.75">
      <c r="A150" s="640"/>
      <c r="B150" s="641"/>
      <c r="C150" s="697" t="s">
        <v>44</v>
      </c>
      <c r="D150" s="630" t="s">
        <v>45</v>
      </c>
      <c r="E150" s="636">
        <v>2.9</v>
      </c>
      <c r="F150" s="26">
        <f>F148*E150</f>
        <v>22.1618</v>
      </c>
      <c r="G150" s="888"/>
      <c r="H150" s="888"/>
      <c r="I150" s="888"/>
      <c r="J150" s="888"/>
      <c r="K150" s="637"/>
      <c r="L150" s="637">
        <f>F150*K150</f>
        <v>0</v>
      </c>
      <c r="M150" s="637">
        <f t="shared" si="4"/>
        <v>0</v>
      </c>
    </row>
    <row r="151" spans="1:13" s="643" customFormat="1" ht="15.75">
      <c r="A151" s="640"/>
      <c r="B151" s="641" t="s">
        <v>258</v>
      </c>
      <c r="C151" s="697" t="s">
        <v>259</v>
      </c>
      <c r="D151" s="630" t="s">
        <v>70</v>
      </c>
      <c r="E151" s="636">
        <v>0.99</v>
      </c>
      <c r="F151" s="26">
        <f>F148*E151</f>
        <v>7.565580000000001</v>
      </c>
      <c r="G151" s="888"/>
      <c r="H151" s="888"/>
      <c r="I151" s="637"/>
      <c r="J151" s="637"/>
      <c r="K151" s="637"/>
      <c r="L151" s="637">
        <f>F151*K151</f>
        <v>0</v>
      </c>
      <c r="M151" s="637">
        <f t="shared" si="4"/>
        <v>0</v>
      </c>
    </row>
    <row r="152" spans="1:13" s="643" customFormat="1" ht="15.75">
      <c r="A152" s="640"/>
      <c r="B152" s="641" t="s">
        <v>260</v>
      </c>
      <c r="C152" s="697" t="s">
        <v>261</v>
      </c>
      <c r="D152" s="630" t="s">
        <v>70</v>
      </c>
      <c r="E152" s="636">
        <v>0.34</v>
      </c>
      <c r="F152" s="26">
        <f>F148*E152</f>
        <v>2.5982800000000004</v>
      </c>
      <c r="G152" s="888"/>
      <c r="H152" s="888"/>
      <c r="I152" s="637"/>
      <c r="J152" s="637"/>
      <c r="K152" s="637"/>
      <c r="L152" s="637">
        <f>F152*K152</f>
        <v>0</v>
      </c>
      <c r="M152" s="637">
        <f t="shared" si="4"/>
        <v>0</v>
      </c>
    </row>
    <row r="153" spans="1:13" s="643" customFormat="1" ht="15.75">
      <c r="A153" s="640"/>
      <c r="B153" s="641"/>
      <c r="C153" s="697" t="s">
        <v>289</v>
      </c>
      <c r="D153" s="630" t="s">
        <v>185</v>
      </c>
      <c r="E153" s="636" t="s">
        <v>252</v>
      </c>
      <c r="F153" s="26">
        <f>(893+908+475+244)/1000</f>
        <v>2.52</v>
      </c>
      <c r="G153" s="888"/>
      <c r="H153" s="888"/>
      <c r="I153" s="637"/>
      <c r="J153" s="637">
        <f aca="true" t="shared" si="8" ref="J153:J160">F153*I153</f>
        <v>0</v>
      </c>
      <c r="K153" s="888"/>
      <c r="L153" s="888"/>
      <c r="M153" s="637">
        <f t="shared" si="4"/>
        <v>0</v>
      </c>
    </row>
    <row r="154" spans="1:13" s="643" customFormat="1" ht="15.75">
      <c r="A154" s="640"/>
      <c r="B154" s="641"/>
      <c r="C154" s="697" t="s">
        <v>878</v>
      </c>
      <c r="D154" s="630" t="s">
        <v>185</v>
      </c>
      <c r="E154" s="636" t="s">
        <v>252</v>
      </c>
      <c r="F154" s="26">
        <f>(1538+2897)/1000</f>
        <v>4.435</v>
      </c>
      <c r="G154" s="888"/>
      <c r="H154" s="888"/>
      <c r="I154" s="637"/>
      <c r="J154" s="637">
        <f>F154*I154</f>
        <v>0</v>
      </c>
      <c r="K154" s="888"/>
      <c r="L154" s="888"/>
      <c r="M154" s="637">
        <f>L154+J154+H154</f>
        <v>0</v>
      </c>
    </row>
    <row r="155" spans="1:13" s="643" customFormat="1" ht="15.75">
      <c r="A155" s="640"/>
      <c r="B155" s="641"/>
      <c r="C155" s="697" t="s">
        <v>880</v>
      </c>
      <c r="D155" s="630" t="s">
        <v>185</v>
      </c>
      <c r="E155" s="636" t="s">
        <v>252</v>
      </c>
      <c r="F155" s="26">
        <f>441/1000</f>
        <v>0.441</v>
      </c>
      <c r="G155" s="888"/>
      <c r="H155" s="888"/>
      <c r="I155" s="637"/>
      <c r="J155" s="637">
        <f t="shared" si="8"/>
        <v>0</v>
      </c>
      <c r="K155" s="888"/>
      <c r="L155" s="888"/>
      <c r="M155" s="637">
        <f t="shared" si="4"/>
        <v>0</v>
      </c>
    </row>
    <row r="156" spans="1:13" s="643" customFormat="1" ht="15.75">
      <c r="A156" s="640"/>
      <c r="B156" s="641"/>
      <c r="C156" s="697" t="s">
        <v>879</v>
      </c>
      <c r="D156" s="630" t="s">
        <v>185</v>
      </c>
      <c r="E156" s="636" t="s">
        <v>252</v>
      </c>
      <c r="F156" s="26">
        <f>115/1000</f>
        <v>0.115</v>
      </c>
      <c r="G156" s="888"/>
      <c r="H156" s="888"/>
      <c r="I156" s="637"/>
      <c r="J156" s="637">
        <f>F156*I156</f>
        <v>0</v>
      </c>
      <c r="K156" s="888"/>
      <c r="L156" s="888"/>
      <c r="M156" s="637">
        <f>L156+J156+H156</f>
        <v>0</v>
      </c>
    </row>
    <row r="157" spans="1:13" s="643" customFormat="1" ht="15.75">
      <c r="A157" s="640"/>
      <c r="B157" s="641"/>
      <c r="C157" s="697" t="s">
        <v>262</v>
      </c>
      <c r="D157" s="630" t="s">
        <v>185</v>
      </c>
      <c r="E157" s="636" t="s">
        <v>252</v>
      </c>
      <c r="F157" s="26">
        <f>(37+34+60)/1000</f>
        <v>0.131</v>
      </c>
      <c r="G157" s="888"/>
      <c r="H157" s="888"/>
      <c r="I157" s="637"/>
      <c r="J157" s="637">
        <f t="shared" si="8"/>
        <v>0</v>
      </c>
      <c r="K157" s="888"/>
      <c r="L157" s="888"/>
      <c r="M157" s="637">
        <f t="shared" si="4"/>
        <v>0</v>
      </c>
    </row>
    <row r="158" spans="1:13" s="643" customFormat="1" ht="15.75">
      <c r="A158" s="640"/>
      <c r="B158" s="641"/>
      <c r="C158" s="697" t="s">
        <v>241</v>
      </c>
      <c r="D158" s="630" t="s">
        <v>49</v>
      </c>
      <c r="E158" s="636">
        <v>2.3</v>
      </c>
      <c r="F158" s="26">
        <f>F148*E158</f>
        <v>17.5766</v>
      </c>
      <c r="G158" s="888"/>
      <c r="H158" s="888"/>
      <c r="I158" s="637"/>
      <c r="J158" s="637">
        <f t="shared" si="8"/>
        <v>0</v>
      </c>
      <c r="K158" s="888"/>
      <c r="L158" s="888"/>
      <c r="M158" s="637">
        <f t="shared" si="4"/>
        <v>0</v>
      </c>
    </row>
    <row r="159" spans="1:13" s="643" customFormat="1" ht="15.75">
      <c r="A159" s="640"/>
      <c r="B159" s="641"/>
      <c r="C159" s="697" t="s">
        <v>246</v>
      </c>
      <c r="D159" s="630" t="s">
        <v>49</v>
      </c>
      <c r="E159" s="636">
        <v>1.6</v>
      </c>
      <c r="F159" s="26">
        <f>F148*E159</f>
        <v>12.227200000000002</v>
      </c>
      <c r="G159" s="637"/>
      <c r="H159" s="637"/>
      <c r="I159" s="637"/>
      <c r="J159" s="637">
        <f t="shared" si="8"/>
        <v>0</v>
      </c>
      <c r="K159" s="888"/>
      <c r="L159" s="888"/>
      <c r="M159" s="637">
        <f t="shared" si="4"/>
        <v>0</v>
      </c>
    </row>
    <row r="160" spans="1:13" s="643" customFormat="1" ht="15.75">
      <c r="A160" s="640"/>
      <c r="B160" s="641"/>
      <c r="C160" s="706" t="s">
        <v>47</v>
      </c>
      <c r="D160" s="707" t="s">
        <v>45</v>
      </c>
      <c r="E160" s="708">
        <v>2.78</v>
      </c>
      <c r="F160" s="709">
        <f>F148*E160</f>
        <v>21.24476</v>
      </c>
      <c r="G160" s="890"/>
      <c r="H160" s="890"/>
      <c r="I160" s="891"/>
      <c r="J160" s="891">
        <f t="shared" si="8"/>
        <v>0</v>
      </c>
      <c r="K160" s="890"/>
      <c r="L160" s="890"/>
      <c r="M160" s="637">
        <f t="shared" si="4"/>
        <v>0</v>
      </c>
    </row>
    <row r="161" spans="1:13" s="31" customFormat="1" ht="24" customHeight="1">
      <c r="A161" s="116">
        <v>14</v>
      </c>
      <c r="B161" s="253" t="s">
        <v>296</v>
      </c>
      <c r="C161" s="135" t="s">
        <v>877</v>
      </c>
      <c r="D161" s="28" t="s">
        <v>185</v>
      </c>
      <c r="E161" s="30"/>
      <c r="F161" s="26">
        <f>(288+53+380+100+203+65+471+16+491+3+106+88+61+13+1)/1000</f>
        <v>2.339</v>
      </c>
      <c r="G161" s="27"/>
      <c r="H161" s="27"/>
      <c r="I161" s="884"/>
      <c r="J161" s="884"/>
      <c r="K161" s="884"/>
      <c r="L161" s="884"/>
      <c r="M161" s="27">
        <f t="shared" si="4"/>
        <v>0</v>
      </c>
    </row>
    <row r="162" spans="1:13" s="31" customFormat="1" ht="13.5">
      <c r="A162" s="116"/>
      <c r="B162" s="254"/>
      <c r="C162" s="196" t="s">
        <v>43</v>
      </c>
      <c r="D162" s="28" t="s">
        <v>15</v>
      </c>
      <c r="E162" s="27">
        <v>30.1</v>
      </c>
      <c r="F162" s="26">
        <f>F161*E162</f>
        <v>70.40390000000001</v>
      </c>
      <c r="G162" s="27"/>
      <c r="H162" s="27">
        <f>F162*G162</f>
        <v>0</v>
      </c>
      <c r="I162" s="884"/>
      <c r="J162" s="884"/>
      <c r="K162" s="884"/>
      <c r="L162" s="884"/>
      <c r="M162" s="27">
        <f t="shared" si="4"/>
        <v>0</v>
      </c>
    </row>
    <row r="163" spans="1:13" s="31" customFormat="1" ht="13.5">
      <c r="A163" s="116"/>
      <c r="C163" s="196" t="s">
        <v>44</v>
      </c>
      <c r="D163" s="28" t="s">
        <v>45</v>
      </c>
      <c r="E163" s="27">
        <v>1.33</v>
      </c>
      <c r="F163" s="26">
        <f>F161*E163</f>
        <v>3.1108700000000002</v>
      </c>
      <c r="G163" s="884"/>
      <c r="H163" s="884"/>
      <c r="I163" s="27"/>
      <c r="J163" s="27"/>
      <c r="K163" s="27"/>
      <c r="L163" s="27">
        <f>F163*K163</f>
        <v>0</v>
      </c>
      <c r="M163" s="27">
        <f t="shared" si="4"/>
        <v>0</v>
      </c>
    </row>
    <row r="164" spans="1:13" s="31" customFormat="1" ht="13.5">
      <c r="A164" s="116"/>
      <c r="B164" s="31" t="s">
        <v>290</v>
      </c>
      <c r="C164" s="196" t="s">
        <v>297</v>
      </c>
      <c r="D164" s="28" t="s">
        <v>70</v>
      </c>
      <c r="E164" s="27">
        <v>2.79</v>
      </c>
      <c r="F164" s="26">
        <f>F161*E164</f>
        <v>6.52581</v>
      </c>
      <c r="G164" s="884"/>
      <c r="H164" s="884"/>
      <c r="I164" s="27"/>
      <c r="J164" s="27"/>
      <c r="K164" s="27"/>
      <c r="L164" s="27">
        <f>F164*K164</f>
        <v>0</v>
      </c>
      <c r="M164" s="27">
        <f t="shared" si="4"/>
        <v>0</v>
      </c>
    </row>
    <row r="165" spans="1:13" s="31" customFormat="1" ht="13.5">
      <c r="A165" s="116"/>
      <c r="C165" s="196" t="s">
        <v>245</v>
      </c>
      <c r="D165" s="28" t="s">
        <v>185</v>
      </c>
      <c r="E165" s="27">
        <v>1</v>
      </c>
      <c r="F165" s="26">
        <f>F161*E165</f>
        <v>2.339</v>
      </c>
      <c r="G165" s="884"/>
      <c r="H165" s="884"/>
      <c r="I165" s="27"/>
      <c r="J165" s="27">
        <f>F165*I165</f>
        <v>0</v>
      </c>
      <c r="K165" s="884"/>
      <c r="L165" s="884"/>
      <c r="M165" s="27">
        <f t="shared" si="4"/>
        <v>0</v>
      </c>
    </row>
    <row r="166" spans="1:13" s="31" customFormat="1" ht="13.5">
      <c r="A166" s="116"/>
      <c r="C166" s="196" t="s">
        <v>241</v>
      </c>
      <c r="D166" s="28" t="s">
        <v>49</v>
      </c>
      <c r="E166" s="27">
        <v>1</v>
      </c>
      <c r="F166" s="26">
        <f>F161*E166</f>
        <v>2.339</v>
      </c>
      <c r="G166" s="884"/>
      <c r="H166" s="884"/>
      <c r="I166" s="27"/>
      <c r="J166" s="27">
        <f>F166*I166</f>
        <v>0</v>
      </c>
      <c r="K166" s="884"/>
      <c r="L166" s="884"/>
      <c r="M166" s="27">
        <f t="shared" si="4"/>
        <v>0</v>
      </c>
    </row>
    <row r="167" spans="1:13" s="31" customFormat="1" ht="13.5">
      <c r="A167" s="116"/>
      <c r="C167" s="196" t="s">
        <v>246</v>
      </c>
      <c r="D167" s="28" t="s">
        <v>49</v>
      </c>
      <c r="E167" s="27">
        <v>2.03</v>
      </c>
      <c r="F167" s="26">
        <f>F161*E167</f>
        <v>4.748169999999999</v>
      </c>
      <c r="G167" s="884"/>
      <c r="H167" s="884"/>
      <c r="I167" s="27"/>
      <c r="J167" s="27">
        <f>F167*I167</f>
        <v>0</v>
      </c>
      <c r="K167" s="884"/>
      <c r="L167" s="884"/>
      <c r="M167" s="27">
        <f t="shared" si="4"/>
        <v>0</v>
      </c>
    </row>
    <row r="168" spans="1:13" s="31" customFormat="1" ht="13.5">
      <c r="A168" s="116"/>
      <c r="C168" s="196" t="s">
        <v>291</v>
      </c>
      <c r="D168" s="28" t="s">
        <v>49</v>
      </c>
      <c r="E168" s="27">
        <v>10.5</v>
      </c>
      <c r="F168" s="26">
        <f>F161*E168</f>
        <v>24.5595</v>
      </c>
      <c r="G168" s="884"/>
      <c r="H168" s="884"/>
      <c r="I168" s="27"/>
      <c r="J168" s="27">
        <f>F168*I168</f>
        <v>0</v>
      </c>
      <c r="K168" s="884"/>
      <c r="L168" s="884"/>
      <c r="M168" s="27">
        <f t="shared" si="4"/>
        <v>0</v>
      </c>
    </row>
    <row r="169" spans="1:13" s="31" customFormat="1" ht="13.5">
      <c r="A169" s="117"/>
      <c r="B169" s="118"/>
      <c r="C169" s="196" t="s">
        <v>47</v>
      </c>
      <c r="D169" s="28" t="s">
        <v>45</v>
      </c>
      <c r="E169" s="27">
        <v>2.78</v>
      </c>
      <c r="F169" s="26">
        <f>F161*E169</f>
        <v>6.50242</v>
      </c>
      <c r="G169" s="27"/>
      <c r="H169" s="27"/>
      <c r="I169" s="27"/>
      <c r="J169" s="27">
        <f>F169*I169</f>
        <v>0</v>
      </c>
      <c r="K169" s="884"/>
      <c r="L169" s="884"/>
      <c r="M169" s="27">
        <f t="shared" si="4"/>
        <v>0</v>
      </c>
    </row>
    <row r="170" spans="1:13" s="31" customFormat="1" ht="18.75" customHeight="1">
      <c r="A170" s="116">
        <v>15</v>
      </c>
      <c r="B170" s="253" t="s">
        <v>296</v>
      </c>
      <c r="C170" s="135" t="s">
        <v>882</v>
      </c>
      <c r="D170" s="28" t="s">
        <v>185</v>
      </c>
      <c r="E170" s="30"/>
      <c r="F170" s="26">
        <f>(978+1077+2000)/1000</f>
        <v>4.055</v>
      </c>
      <c r="G170" s="27"/>
      <c r="H170" s="27"/>
      <c r="I170" s="884"/>
      <c r="J170" s="884"/>
      <c r="K170" s="884"/>
      <c r="L170" s="884"/>
      <c r="M170" s="27">
        <f aca="true" t="shared" si="9" ref="M170:M178">L170+J170+H170</f>
        <v>0</v>
      </c>
    </row>
    <row r="171" spans="1:13" s="31" customFormat="1" ht="13.5">
      <c r="A171" s="116"/>
      <c r="B171" s="254"/>
      <c r="C171" s="196" t="s">
        <v>43</v>
      </c>
      <c r="D171" s="28" t="s">
        <v>15</v>
      </c>
      <c r="E171" s="27">
        <v>30.1</v>
      </c>
      <c r="F171" s="26">
        <f>F170*E171</f>
        <v>122.0555</v>
      </c>
      <c r="G171" s="27"/>
      <c r="H171" s="27">
        <f>F171*G171</f>
        <v>0</v>
      </c>
      <c r="I171" s="884"/>
      <c r="J171" s="884"/>
      <c r="K171" s="884"/>
      <c r="L171" s="884"/>
      <c r="M171" s="27">
        <f t="shared" si="9"/>
        <v>0</v>
      </c>
    </row>
    <row r="172" spans="1:13" s="31" customFormat="1" ht="13.5">
      <c r="A172" s="116"/>
      <c r="C172" s="196" t="s">
        <v>44</v>
      </c>
      <c r="D172" s="28" t="s">
        <v>45</v>
      </c>
      <c r="E172" s="27">
        <v>1.33</v>
      </c>
      <c r="F172" s="26">
        <f>F170*E172</f>
        <v>5.39315</v>
      </c>
      <c r="G172" s="884"/>
      <c r="H172" s="884"/>
      <c r="I172" s="27"/>
      <c r="J172" s="27"/>
      <c r="K172" s="27"/>
      <c r="L172" s="27">
        <f>F172*K172</f>
        <v>0</v>
      </c>
      <c r="M172" s="27">
        <f t="shared" si="9"/>
        <v>0</v>
      </c>
    </row>
    <row r="173" spans="1:13" s="31" customFormat="1" ht="13.5">
      <c r="A173" s="116"/>
      <c r="B173" s="31" t="s">
        <v>290</v>
      </c>
      <c r="C173" s="196" t="s">
        <v>297</v>
      </c>
      <c r="D173" s="28" t="s">
        <v>70</v>
      </c>
      <c r="E173" s="27">
        <v>2.79</v>
      </c>
      <c r="F173" s="26">
        <f>F170*E173</f>
        <v>11.31345</v>
      </c>
      <c r="G173" s="884"/>
      <c r="H173" s="884"/>
      <c r="I173" s="27"/>
      <c r="J173" s="27"/>
      <c r="K173" s="27"/>
      <c r="L173" s="27">
        <f>F173*K173</f>
        <v>0</v>
      </c>
      <c r="M173" s="27">
        <f t="shared" si="9"/>
        <v>0</v>
      </c>
    </row>
    <row r="174" spans="1:13" s="31" customFormat="1" ht="13.5">
      <c r="A174" s="116"/>
      <c r="C174" s="196" t="s">
        <v>245</v>
      </c>
      <c r="D174" s="28" t="s">
        <v>185</v>
      </c>
      <c r="E174" s="27">
        <v>1</v>
      </c>
      <c r="F174" s="26">
        <f>F170*E174</f>
        <v>4.055</v>
      </c>
      <c r="G174" s="884"/>
      <c r="H174" s="884"/>
      <c r="I174" s="27"/>
      <c r="J174" s="27">
        <f>F174*I174</f>
        <v>0</v>
      </c>
      <c r="K174" s="884"/>
      <c r="L174" s="884"/>
      <c r="M174" s="27">
        <f t="shared" si="9"/>
        <v>0</v>
      </c>
    </row>
    <row r="175" spans="1:13" s="31" customFormat="1" ht="13.5">
      <c r="A175" s="116"/>
      <c r="C175" s="196" t="s">
        <v>241</v>
      </c>
      <c r="D175" s="28" t="s">
        <v>49</v>
      </c>
      <c r="E175" s="27">
        <v>1</v>
      </c>
      <c r="F175" s="26">
        <f>F170*E175</f>
        <v>4.055</v>
      </c>
      <c r="G175" s="884"/>
      <c r="H175" s="884"/>
      <c r="I175" s="27"/>
      <c r="J175" s="27">
        <f>F175*I175</f>
        <v>0</v>
      </c>
      <c r="K175" s="884"/>
      <c r="L175" s="884"/>
      <c r="M175" s="27">
        <f t="shared" si="9"/>
        <v>0</v>
      </c>
    </row>
    <row r="176" spans="1:13" s="31" customFormat="1" ht="13.5">
      <c r="A176" s="116"/>
      <c r="C176" s="196" t="s">
        <v>246</v>
      </c>
      <c r="D176" s="28" t="s">
        <v>49</v>
      </c>
      <c r="E176" s="27">
        <v>2.03</v>
      </c>
      <c r="F176" s="26">
        <f>F170*E176</f>
        <v>8.231649999999998</v>
      </c>
      <c r="G176" s="884"/>
      <c r="H176" s="884"/>
      <c r="I176" s="27"/>
      <c r="J176" s="27">
        <f>F176*I176</f>
        <v>0</v>
      </c>
      <c r="K176" s="884"/>
      <c r="L176" s="884"/>
      <c r="M176" s="27">
        <f t="shared" si="9"/>
        <v>0</v>
      </c>
    </row>
    <row r="177" spans="1:13" s="31" customFormat="1" ht="13.5">
      <c r="A177" s="116"/>
      <c r="C177" s="196" t="s">
        <v>291</v>
      </c>
      <c r="D177" s="28" t="s">
        <v>49</v>
      </c>
      <c r="E177" s="27">
        <v>10.5</v>
      </c>
      <c r="F177" s="26">
        <f>F170*E177</f>
        <v>42.5775</v>
      </c>
      <c r="G177" s="884"/>
      <c r="H177" s="884"/>
      <c r="I177" s="27"/>
      <c r="J177" s="27">
        <f>F177*I177</f>
        <v>0</v>
      </c>
      <c r="K177" s="884"/>
      <c r="L177" s="884"/>
      <c r="M177" s="27">
        <f t="shared" si="9"/>
        <v>0</v>
      </c>
    </row>
    <row r="178" spans="1:13" s="31" customFormat="1" ht="13.5">
      <c r="A178" s="117"/>
      <c r="B178" s="118"/>
      <c r="C178" s="196" t="s">
        <v>47</v>
      </c>
      <c r="D178" s="28" t="s">
        <v>45</v>
      </c>
      <c r="E178" s="27">
        <v>2.78</v>
      </c>
      <c r="F178" s="26">
        <f>F170*E178</f>
        <v>11.272899999999998</v>
      </c>
      <c r="G178" s="27"/>
      <c r="H178" s="27"/>
      <c r="I178" s="27"/>
      <c r="J178" s="27">
        <f>F178*I178</f>
        <v>0</v>
      </c>
      <c r="K178" s="884"/>
      <c r="L178" s="884"/>
      <c r="M178" s="27">
        <f t="shared" si="9"/>
        <v>0</v>
      </c>
    </row>
    <row r="179" spans="1:13" s="31" customFormat="1" ht="18.75" customHeight="1">
      <c r="A179" s="116">
        <v>15</v>
      </c>
      <c r="B179" s="253" t="s">
        <v>296</v>
      </c>
      <c r="C179" s="135" t="s">
        <v>300</v>
      </c>
      <c r="D179" s="28" t="s">
        <v>185</v>
      </c>
      <c r="E179" s="30"/>
      <c r="F179" s="26">
        <f>(288+53+380+100+203+65+471+16+491+3+106+88+61+13+27)/1000</f>
        <v>2.365</v>
      </c>
      <c r="G179" s="27"/>
      <c r="H179" s="27"/>
      <c r="I179" s="884"/>
      <c r="J179" s="884"/>
      <c r="K179" s="884"/>
      <c r="L179" s="884"/>
      <c r="M179" s="27">
        <f t="shared" si="4"/>
        <v>0</v>
      </c>
    </row>
    <row r="180" spans="1:13" s="31" customFormat="1" ht="13.5">
      <c r="A180" s="116"/>
      <c r="B180" s="254"/>
      <c r="C180" s="196" t="s">
        <v>43</v>
      </c>
      <c r="D180" s="28" t="s">
        <v>15</v>
      </c>
      <c r="E180" s="27">
        <v>30.1</v>
      </c>
      <c r="F180" s="26">
        <f>F179*E180</f>
        <v>71.18650000000001</v>
      </c>
      <c r="G180" s="27"/>
      <c r="H180" s="27">
        <f>F180*G180</f>
        <v>0</v>
      </c>
      <c r="I180" s="884"/>
      <c r="J180" s="884"/>
      <c r="K180" s="884"/>
      <c r="L180" s="884"/>
      <c r="M180" s="27">
        <f t="shared" si="4"/>
        <v>0</v>
      </c>
    </row>
    <row r="181" spans="1:13" s="31" customFormat="1" ht="13.5">
      <c r="A181" s="116"/>
      <c r="C181" s="196" t="s">
        <v>44</v>
      </c>
      <c r="D181" s="28" t="s">
        <v>45</v>
      </c>
      <c r="E181" s="27">
        <v>1.33</v>
      </c>
      <c r="F181" s="26">
        <f>F179*E181</f>
        <v>3.1454500000000003</v>
      </c>
      <c r="G181" s="884"/>
      <c r="H181" s="884"/>
      <c r="I181" s="27"/>
      <c r="J181" s="27"/>
      <c r="K181" s="27"/>
      <c r="L181" s="27">
        <f>F181*K181</f>
        <v>0</v>
      </c>
      <c r="M181" s="27">
        <f t="shared" si="4"/>
        <v>0</v>
      </c>
    </row>
    <row r="182" spans="1:13" s="31" customFormat="1" ht="13.5">
      <c r="A182" s="116"/>
      <c r="B182" s="31" t="s">
        <v>290</v>
      </c>
      <c r="C182" s="196" t="s">
        <v>297</v>
      </c>
      <c r="D182" s="28" t="s">
        <v>70</v>
      </c>
      <c r="E182" s="27">
        <v>2.79</v>
      </c>
      <c r="F182" s="26">
        <f>F179*E182</f>
        <v>6.598350000000001</v>
      </c>
      <c r="G182" s="884"/>
      <c r="H182" s="884"/>
      <c r="I182" s="27"/>
      <c r="J182" s="27"/>
      <c r="K182" s="27"/>
      <c r="L182" s="27">
        <f>F182*K182</f>
        <v>0</v>
      </c>
      <c r="M182" s="27">
        <f aca="true" t="shared" si="10" ref="M182:M201">L182+J182+H182</f>
        <v>0</v>
      </c>
    </row>
    <row r="183" spans="1:13" s="31" customFormat="1" ht="13.5">
      <c r="A183" s="116"/>
      <c r="C183" s="196" t="s">
        <v>245</v>
      </c>
      <c r="D183" s="28" t="s">
        <v>185</v>
      </c>
      <c r="E183" s="27">
        <v>1</v>
      </c>
      <c r="F183" s="26">
        <f>F179*E183</f>
        <v>2.365</v>
      </c>
      <c r="G183" s="884"/>
      <c r="H183" s="884"/>
      <c r="I183" s="27"/>
      <c r="J183" s="27">
        <f>F183*I183</f>
        <v>0</v>
      </c>
      <c r="K183" s="884"/>
      <c r="L183" s="884"/>
      <c r="M183" s="27">
        <f t="shared" si="10"/>
        <v>0</v>
      </c>
    </row>
    <row r="184" spans="1:13" s="31" customFormat="1" ht="13.5">
      <c r="A184" s="116"/>
      <c r="C184" s="196" t="s">
        <v>241</v>
      </c>
      <c r="D184" s="28" t="s">
        <v>49</v>
      </c>
      <c r="E184" s="27">
        <v>1</v>
      </c>
      <c r="F184" s="26">
        <f>F179*E184</f>
        <v>2.365</v>
      </c>
      <c r="G184" s="884"/>
      <c r="H184" s="884"/>
      <c r="I184" s="27"/>
      <c r="J184" s="27">
        <f>F184*I184</f>
        <v>0</v>
      </c>
      <c r="K184" s="884"/>
      <c r="L184" s="884"/>
      <c r="M184" s="27">
        <f t="shared" si="10"/>
        <v>0</v>
      </c>
    </row>
    <row r="185" spans="1:13" s="31" customFormat="1" ht="13.5">
      <c r="A185" s="116"/>
      <c r="C185" s="196" t="s">
        <v>246</v>
      </c>
      <c r="D185" s="28" t="s">
        <v>49</v>
      </c>
      <c r="E185" s="27">
        <v>2.03</v>
      </c>
      <c r="F185" s="26">
        <f>F179*E185</f>
        <v>4.80095</v>
      </c>
      <c r="G185" s="884"/>
      <c r="H185" s="884"/>
      <c r="I185" s="27"/>
      <c r="J185" s="27">
        <f>F185*I185</f>
        <v>0</v>
      </c>
      <c r="K185" s="884"/>
      <c r="L185" s="884"/>
      <c r="M185" s="27">
        <f t="shared" si="10"/>
        <v>0</v>
      </c>
    </row>
    <row r="186" spans="1:13" s="31" customFormat="1" ht="13.5">
      <c r="A186" s="116"/>
      <c r="C186" s="196" t="s">
        <v>291</v>
      </c>
      <c r="D186" s="28" t="s">
        <v>49</v>
      </c>
      <c r="E186" s="27">
        <v>10.5</v>
      </c>
      <c r="F186" s="26">
        <f>F179*E186</f>
        <v>24.832500000000003</v>
      </c>
      <c r="G186" s="884"/>
      <c r="H186" s="884"/>
      <c r="I186" s="27"/>
      <c r="J186" s="27">
        <f>F186*I186</f>
        <v>0</v>
      </c>
      <c r="K186" s="884"/>
      <c r="L186" s="884"/>
      <c r="M186" s="27">
        <f t="shared" si="10"/>
        <v>0</v>
      </c>
    </row>
    <row r="187" spans="1:13" s="31" customFormat="1" ht="13.5">
      <c r="A187" s="117"/>
      <c r="B187" s="118"/>
      <c r="C187" s="196" t="s">
        <v>47</v>
      </c>
      <c r="D187" s="28" t="s">
        <v>45</v>
      </c>
      <c r="E187" s="27">
        <v>2.78</v>
      </c>
      <c r="F187" s="26">
        <f>F179*E187</f>
        <v>6.5747</v>
      </c>
      <c r="G187" s="27"/>
      <c r="H187" s="27"/>
      <c r="I187" s="27"/>
      <c r="J187" s="27">
        <f>F187*I187</f>
        <v>0</v>
      </c>
      <c r="K187" s="884"/>
      <c r="L187" s="884"/>
      <c r="M187" s="27">
        <f t="shared" si="10"/>
        <v>0</v>
      </c>
    </row>
    <row r="188" spans="1:13" s="31" customFormat="1" ht="13.5">
      <c r="A188" s="116">
        <v>16</v>
      </c>
      <c r="B188" s="253" t="s">
        <v>296</v>
      </c>
      <c r="C188" s="135" t="s">
        <v>301</v>
      </c>
      <c r="D188" s="28" t="s">
        <v>185</v>
      </c>
      <c r="E188" s="30"/>
      <c r="F188" s="26">
        <f>(308+176+185+21)/1000</f>
        <v>0.69</v>
      </c>
      <c r="G188" s="27"/>
      <c r="H188" s="27"/>
      <c r="I188" s="884"/>
      <c r="J188" s="884"/>
      <c r="K188" s="884"/>
      <c r="L188" s="884"/>
      <c r="M188" s="27">
        <f t="shared" si="10"/>
        <v>0</v>
      </c>
    </row>
    <row r="189" spans="1:13" s="31" customFormat="1" ht="13.5">
      <c r="A189" s="116"/>
      <c r="B189" s="254"/>
      <c r="C189" s="196" t="s">
        <v>43</v>
      </c>
      <c r="D189" s="28" t="s">
        <v>15</v>
      </c>
      <c r="E189" s="27">
        <v>30.1</v>
      </c>
      <c r="F189" s="26">
        <f>F188*E189</f>
        <v>20.769</v>
      </c>
      <c r="G189" s="27"/>
      <c r="H189" s="27">
        <f>F189*G189</f>
        <v>0</v>
      </c>
      <c r="I189" s="884"/>
      <c r="J189" s="884"/>
      <c r="K189" s="884"/>
      <c r="L189" s="884"/>
      <c r="M189" s="27">
        <f t="shared" si="10"/>
        <v>0</v>
      </c>
    </row>
    <row r="190" spans="1:13" s="31" customFormat="1" ht="13.5">
      <c r="A190" s="116"/>
      <c r="C190" s="196" t="s">
        <v>44</v>
      </c>
      <c r="D190" s="28" t="s">
        <v>45</v>
      </c>
      <c r="E190" s="27">
        <v>1.33</v>
      </c>
      <c r="F190" s="26">
        <f>F188*E190</f>
        <v>0.9177</v>
      </c>
      <c r="G190" s="884"/>
      <c r="H190" s="884"/>
      <c r="I190" s="27"/>
      <c r="J190" s="27"/>
      <c r="K190" s="27"/>
      <c r="L190" s="27">
        <f>F190*K190</f>
        <v>0</v>
      </c>
      <c r="M190" s="27">
        <f t="shared" si="10"/>
        <v>0</v>
      </c>
    </row>
    <row r="191" spans="1:13" s="31" customFormat="1" ht="13.5">
      <c r="A191" s="116"/>
      <c r="B191" s="31" t="s">
        <v>290</v>
      </c>
      <c r="C191" s="196" t="s">
        <v>297</v>
      </c>
      <c r="D191" s="28" t="s">
        <v>70</v>
      </c>
      <c r="E191" s="27">
        <v>2.79</v>
      </c>
      <c r="F191" s="26">
        <f>F188*E191</f>
        <v>1.9250999999999998</v>
      </c>
      <c r="G191" s="884"/>
      <c r="H191" s="884"/>
      <c r="I191" s="27"/>
      <c r="J191" s="27"/>
      <c r="K191" s="27"/>
      <c r="L191" s="27">
        <f>F191*K191</f>
        <v>0</v>
      </c>
      <c r="M191" s="27">
        <f t="shared" si="10"/>
        <v>0</v>
      </c>
    </row>
    <row r="192" spans="1:13" s="31" customFormat="1" ht="13.5">
      <c r="A192" s="116"/>
      <c r="C192" s="196" t="s">
        <v>245</v>
      </c>
      <c r="D192" s="28" t="s">
        <v>185</v>
      </c>
      <c r="E192" s="27">
        <v>1</v>
      </c>
      <c r="F192" s="26">
        <f>F188*E192</f>
        <v>0.69</v>
      </c>
      <c r="G192" s="884"/>
      <c r="H192" s="884"/>
      <c r="I192" s="27"/>
      <c r="J192" s="27">
        <f>F192*I192</f>
        <v>0</v>
      </c>
      <c r="K192" s="884"/>
      <c r="L192" s="884"/>
      <c r="M192" s="27">
        <f t="shared" si="10"/>
        <v>0</v>
      </c>
    </row>
    <row r="193" spans="1:13" s="31" customFormat="1" ht="13.5">
      <c r="A193" s="116"/>
      <c r="C193" s="196" t="s">
        <v>241</v>
      </c>
      <c r="D193" s="28" t="s">
        <v>49</v>
      </c>
      <c r="E193" s="27">
        <v>1</v>
      </c>
      <c r="F193" s="26">
        <f>F188*E193</f>
        <v>0.69</v>
      </c>
      <c r="G193" s="884"/>
      <c r="H193" s="884"/>
      <c r="I193" s="27"/>
      <c r="J193" s="27">
        <f>F193*I193</f>
        <v>0</v>
      </c>
      <c r="K193" s="884"/>
      <c r="L193" s="884"/>
      <c r="M193" s="27">
        <f t="shared" si="10"/>
        <v>0</v>
      </c>
    </row>
    <row r="194" spans="1:13" s="31" customFormat="1" ht="13.5">
      <c r="A194" s="116"/>
      <c r="C194" s="196" t="s">
        <v>246</v>
      </c>
      <c r="D194" s="28" t="s">
        <v>49</v>
      </c>
      <c r="E194" s="27">
        <v>2.03</v>
      </c>
      <c r="F194" s="26">
        <f>F188*E194</f>
        <v>1.4006999999999998</v>
      </c>
      <c r="G194" s="884"/>
      <c r="H194" s="884"/>
      <c r="I194" s="27"/>
      <c r="J194" s="27">
        <f>F194*I194</f>
        <v>0</v>
      </c>
      <c r="K194" s="884"/>
      <c r="L194" s="884"/>
      <c r="M194" s="27">
        <f t="shared" si="10"/>
        <v>0</v>
      </c>
    </row>
    <row r="195" spans="1:13" s="31" customFormat="1" ht="13.5">
      <c r="A195" s="116"/>
      <c r="C195" s="196" t="s">
        <v>291</v>
      </c>
      <c r="D195" s="28" t="s">
        <v>49</v>
      </c>
      <c r="E195" s="27">
        <v>10.5</v>
      </c>
      <c r="F195" s="26">
        <f>F188*E195</f>
        <v>7.244999999999999</v>
      </c>
      <c r="G195" s="884"/>
      <c r="H195" s="884"/>
      <c r="I195" s="27"/>
      <c r="J195" s="27">
        <f>F195*I195</f>
        <v>0</v>
      </c>
      <c r="K195" s="884"/>
      <c r="L195" s="884"/>
      <c r="M195" s="27">
        <f t="shared" si="10"/>
        <v>0</v>
      </c>
    </row>
    <row r="196" spans="1:13" s="31" customFormat="1" ht="13.5">
      <c r="A196" s="117"/>
      <c r="B196" s="118"/>
      <c r="C196" s="196" t="s">
        <v>47</v>
      </c>
      <c r="D196" s="28" t="s">
        <v>45</v>
      </c>
      <c r="E196" s="27">
        <v>2.78</v>
      </c>
      <c r="F196" s="26">
        <f>F188*E196</f>
        <v>1.9181999999999997</v>
      </c>
      <c r="G196" s="27"/>
      <c r="H196" s="27"/>
      <c r="I196" s="27"/>
      <c r="J196" s="27">
        <f>F196*I196</f>
        <v>0</v>
      </c>
      <c r="K196" s="884"/>
      <c r="L196" s="884"/>
      <c r="M196" s="27">
        <f t="shared" si="10"/>
        <v>0</v>
      </c>
    </row>
    <row r="197" spans="1:13" s="31" customFormat="1" ht="27">
      <c r="A197" s="255">
        <v>8</v>
      </c>
      <c r="B197" s="255" t="s">
        <v>309</v>
      </c>
      <c r="C197" s="604" t="s">
        <v>795</v>
      </c>
      <c r="D197" s="150" t="s">
        <v>185</v>
      </c>
      <c r="E197" s="256"/>
      <c r="F197" s="256">
        <f>F24+F31+F38+F45+F52+F59+F80+F96+F107+F121+F134+F141+F148+F161+F179+F188</f>
        <v>86.84031999999999</v>
      </c>
      <c r="G197" s="892"/>
      <c r="H197" s="892"/>
      <c r="I197" s="892"/>
      <c r="J197" s="892"/>
      <c r="K197" s="892"/>
      <c r="L197" s="892"/>
      <c r="M197" s="27">
        <f t="shared" si="10"/>
        <v>0</v>
      </c>
    </row>
    <row r="198" spans="1:13" s="31" customFormat="1" ht="13.5">
      <c r="A198" s="116"/>
      <c r="B198" s="116"/>
      <c r="C198" s="196" t="s">
        <v>43</v>
      </c>
      <c r="D198" s="28" t="s">
        <v>15</v>
      </c>
      <c r="E198" s="26">
        <v>25.3</v>
      </c>
      <c r="F198" s="26">
        <f>F197*E198</f>
        <v>2197.0600959999997</v>
      </c>
      <c r="G198" s="27"/>
      <c r="H198" s="27">
        <f>F198*G198</f>
        <v>0</v>
      </c>
      <c r="I198" s="884"/>
      <c r="J198" s="884"/>
      <c r="K198" s="884"/>
      <c r="L198" s="884"/>
      <c r="M198" s="27">
        <f t="shared" si="10"/>
        <v>0</v>
      </c>
    </row>
    <row r="199" spans="1:13" s="31" customFormat="1" ht="13.5">
      <c r="A199" s="116"/>
      <c r="C199" s="196" t="s">
        <v>44</v>
      </c>
      <c r="D199" s="28" t="s">
        <v>45</v>
      </c>
      <c r="E199" s="26">
        <v>6.92</v>
      </c>
      <c r="F199" s="26">
        <f>F197*E199</f>
        <v>600.9350143999999</v>
      </c>
      <c r="G199" s="884"/>
      <c r="H199" s="884"/>
      <c r="I199" s="884"/>
      <c r="J199" s="884"/>
      <c r="K199" s="27"/>
      <c r="L199" s="27">
        <f>F199*K199</f>
        <v>0</v>
      </c>
      <c r="M199" s="27">
        <f t="shared" si="10"/>
        <v>0</v>
      </c>
    </row>
    <row r="200" spans="1:13" s="31" customFormat="1" ht="13.5">
      <c r="A200" s="116"/>
      <c r="B200" s="116"/>
      <c r="C200" s="196" t="s">
        <v>310</v>
      </c>
      <c r="D200" s="28" t="s">
        <v>242</v>
      </c>
      <c r="E200" s="26">
        <v>7.7</v>
      </c>
      <c r="F200" s="26">
        <f>F197*E200</f>
        <v>668.6704639999999</v>
      </c>
      <c r="G200" s="884"/>
      <c r="H200" s="884"/>
      <c r="I200" s="27"/>
      <c r="J200" s="27">
        <f>F200*I200</f>
        <v>0</v>
      </c>
      <c r="K200" s="884"/>
      <c r="L200" s="884"/>
      <c r="M200" s="27">
        <f t="shared" si="10"/>
        <v>0</v>
      </c>
    </row>
    <row r="201" spans="1:13" s="31" customFormat="1" ht="13.5">
      <c r="A201" s="116"/>
      <c r="B201" s="257"/>
      <c r="C201" s="196" t="s">
        <v>47</v>
      </c>
      <c r="D201" s="28" t="s">
        <v>45</v>
      </c>
      <c r="E201" s="26">
        <v>1.2</v>
      </c>
      <c r="F201" s="26">
        <f>F197*E201</f>
        <v>104.20838399999998</v>
      </c>
      <c r="G201" s="884"/>
      <c r="H201" s="884"/>
      <c r="I201" s="27"/>
      <c r="J201" s="27">
        <f>F201*I201</f>
        <v>0</v>
      </c>
      <c r="K201" s="884"/>
      <c r="L201" s="884"/>
      <c r="M201" s="27">
        <f t="shared" si="10"/>
        <v>0</v>
      </c>
    </row>
    <row r="202" spans="1:13" ht="13.5">
      <c r="A202" s="264"/>
      <c r="B202" s="258"/>
      <c r="C202" s="270" t="s">
        <v>24</v>
      </c>
      <c r="D202" s="259"/>
      <c r="E202" s="260"/>
      <c r="F202" s="261"/>
      <c r="G202" s="893"/>
      <c r="H202" s="262">
        <f>SUM(H10:H201)</f>
        <v>0</v>
      </c>
      <c r="I202" s="894"/>
      <c r="J202" s="262">
        <f>SUM(J10:J201)</f>
        <v>0</v>
      </c>
      <c r="K202" s="894"/>
      <c r="L202" s="262">
        <f>SUM(L10:L201)</f>
        <v>0</v>
      </c>
      <c r="M202" s="262">
        <f>L202+J202+H202</f>
        <v>0</v>
      </c>
    </row>
    <row r="203" spans="1:13" ht="13.5">
      <c r="A203" s="264"/>
      <c r="B203" s="264"/>
      <c r="C203" s="270" t="s">
        <v>30</v>
      </c>
      <c r="D203" s="265">
        <v>0</v>
      </c>
      <c r="E203" s="260"/>
      <c r="F203" s="266"/>
      <c r="G203" s="893"/>
      <c r="H203" s="894"/>
      <c r="I203" s="894"/>
      <c r="J203" s="894"/>
      <c r="K203" s="894"/>
      <c r="L203" s="262"/>
      <c r="M203" s="262">
        <f>M202*D203</f>
        <v>0</v>
      </c>
    </row>
    <row r="204" spans="1:13" ht="13.5">
      <c r="A204" s="264"/>
      <c r="B204" s="264"/>
      <c r="C204" s="270" t="s">
        <v>0</v>
      </c>
      <c r="D204" s="265"/>
      <c r="E204" s="267"/>
      <c r="F204" s="266"/>
      <c r="G204" s="893"/>
      <c r="H204" s="894"/>
      <c r="I204" s="894"/>
      <c r="J204" s="894"/>
      <c r="K204" s="894"/>
      <c r="L204" s="262"/>
      <c r="M204" s="262">
        <f>M202+M203</f>
        <v>0</v>
      </c>
    </row>
    <row r="205" spans="1:13" ht="13.5">
      <c r="A205" s="264"/>
      <c r="B205" s="264"/>
      <c r="C205" s="270" t="s">
        <v>17</v>
      </c>
      <c r="D205" s="265">
        <v>0</v>
      </c>
      <c r="E205" s="260"/>
      <c r="F205" s="266"/>
      <c r="G205" s="893"/>
      <c r="H205" s="894"/>
      <c r="I205" s="894"/>
      <c r="J205" s="894"/>
      <c r="K205" s="894"/>
      <c r="L205" s="262"/>
      <c r="M205" s="262">
        <f>M204*D205</f>
        <v>0</v>
      </c>
    </row>
    <row r="206" spans="1:13" ht="18.75" customHeight="1">
      <c r="A206" s="264"/>
      <c r="B206" s="264"/>
      <c r="C206" s="270" t="s">
        <v>336</v>
      </c>
      <c r="D206" s="259"/>
      <c r="E206" s="260"/>
      <c r="F206" s="266"/>
      <c r="G206" s="893"/>
      <c r="H206" s="894"/>
      <c r="I206" s="894"/>
      <c r="J206" s="894"/>
      <c r="K206" s="894"/>
      <c r="L206" s="262"/>
      <c r="M206" s="895">
        <f>M205+M204</f>
        <v>0</v>
      </c>
    </row>
    <row r="207" spans="1:13" ht="16.5">
      <c r="A207" s="268"/>
      <c r="B207" s="269"/>
      <c r="C207" s="160" t="s">
        <v>337</v>
      </c>
      <c r="D207" s="259"/>
      <c r="E207" s="271"/>
      <c r="F207" s="272"/>
      <c r="G207" s="896"/>
      <c r="H207" s="897"/>
      <c r="I207" s="897"/>
      <c r="J207" s="897"/>
      <c r="K207" s="897"/>
      <c r="L207" s="898"/>
      <c r="M207" s="899"/>
    </row>
    <row r="208" spans="1:13" ht="23.25" customHeight="1">
      <c r="A208" s="614"/>
      <c r="B208" s="615"/>
      <c r="C208" s="612" t="s">
        <v>338</v>
      </c>
      <c r="D208" s="259"/>
      <c r="E208" s="271"/>
      <c r="F208" s="272"/>
      <c r="G208" s="896"/>
      <c r="H208" s="897"/>
      <c r="I208" s="897"/>
      <c r="J208" s="897"/>
      <c r="K208" s="897"/>
      <c r="L208" s="898"/>
      <c r="M208" s="899"/>
    </row>
    <row r="209" spans="1:13" s="275" customFormat="1" ht="27">
      <c r="A209" s="21">
        <v>1</v>
      </c>
      <c r="B209" s="616" t="s">
        <v>266</v>
      </c>
      <c r="C209" s="608" t="s">
        <v>796</v>
      </c>
      <c r="D209" s="24" t="s">
        <v>46</v>
      </c>
      <c r="E209" s="273"/>
      <c r="F209" s="274">
        <v>52</v>
      </c>
      <c r="G209" s="274"/>
      <c r="H209" s="274"/>
      <c r="I209" s="274"/>
      <c r="J209" s="274"/>
      <c r="K209" s="274"/>
      <c r="L209" s="274"/>
      <c r="M209" s="274"/>
    </row>
    <row r="210" spans="1:13" s="23" customFormat="1" ht="13.5">
      <c r="A210" s="22"/>
      <c r="B210" s="617"/>
      <c r="C210" s="613" t="s">
        <v>53</v>
      </c>
      <c r="D210" s="36" t="s">
        <v>15</v>
      </c>
      <c r="E210" s="273">
        <v>8.4</v>
      </c>
      <c r="F210" s="274">
        <f>F209*E210</f>
        <v>436.8</v>
      </c>
      <c r="G210" s="274"/>
      <c r="H210" s="274">
        <f>F210*G210</f>
        <v>0</v>
      </c>
      <c r="I210" s="274"/>
      <c r="J210" s="274"/>
      <c r="K210" s="274"/>
      <c r="L210" s="274"/>
      <c r="M210" s="274">
        <f>H210</f>
        <v>0</v>
      </c>
    </row>
    <row r="211" spans="1:13" s="23" customFormat="1" ht="13.5">
      <c r="A211" s="22"/>
      <c r="B211" s="617"/>
      <c r="C211" s="610" t="s">
        <v>93</v>
      </c>
      <c r="D211" s="36" t="s">
        <v>45</v>
      </c>
      <c r="E211" s="273">
        <v>0.81</v>
      </c>
      <c r="F211" s="274">
        <f>F209*E211</f>
        <v>42.120000000000005</v>
      </c>
      <c r="G211" s="274"/>
      <c r="H211" s="274"/>
      <c r="I211" s="274"/>
      <c r="J211" s="274"/>
      <c r="K211" s="274"/>
      <c r="L211" s="274">
        <f>F211*K211</f>
        <v>0</v>
      </c>
      <c r="M211" s="274">
        <f>L211</f>
        <v>0</v>
      </c>
    </row>
    <row r="212" spans="1:13" s="23" customFormat="1" ht="13.5">
      <c r="A212" s="22"/>
      <c r="B212" s="617"/>
      <c r="C212" s="610" t="s">
        <v>272</v>
      </c>
      <c r="D212" s="36" t="s">
        <v>46</v>
      </c>
      <c r="E212" s="273">
        <v>1.015</v>
      </c>
      <c r="F212" s="274">
        <f>F209*E212</f>
        <v>52.779999999999994</v>
      </c>
      <c r="G212" s="274"/>
      <c r="H212" s="274"/>
      <c r="I212" s="274"/>
      <c r="J212" s="274">
        <f aca="true" t="shared" si="11" ref="J212:J219">F212*I212</f>
        <v>0</v>
      </c>
      <c r="K212" s="274"/>
      <c r="L212" s="274"/>
      <c r="M212" s="274">
        <f aca="true" t="shared" si="12" ref="M212:M219">J212</f>
        <v>0</v>
      </c>
    </row>
    <row r="213" spans="1:13" s="23" customFormat="1" ht="13.5">
      <c r="A213" s="22"/>
      <c r="B213" s="617"/>
      <c r="C213" s="610" t="s">
        <v>267</v>
      </c>
      <c r="D213" s="36" t="s">
        <v>16</v>
      </c>
      <c r="E213" s="273">
        <v>1.37</v>
      </c>
      <c r="F213" s="274">
        <f>F209*E213</f>
        <v>71.24000000000001</v>
      </c>
      <c r="G213" s="274"/>
      <c r="H213" s="274"/>
      <c r="I213" s="274"/>
      <c r="J213" s="274">
        <f t="shared" si="11"/>
        <v>0</v>
      </c>
      <c r="K213" s="274"/>
      <c r="L213" s="274"/>
      <c r="M213" s="274">
        <f t="shared" si="12"/>
        <v>0</v>
      </c>
    </row>
    <row r="214" spans="1:13" s="23" customFormat="1" ht="13.5">
      <c r="A214" s="22"/>
      <c r="B214" s="617"/>
      <c r="C214" s="610" t="s">
        <v>268</v>
      </c>
      <c r="D214" s="36" t="s">
        <v>46</v>
      </c>
      <c r="E214" s="273">
        <v>0.0084</v>
      </c>
      <c r="F214" s="274">
        <f>F209*E214</f>
        <v>0.43679999999999997</v>
      </c>
      <c r="G214" s="274"/>
      <c r="H214" s="274"/>
      <c r="I214" s="274"/>
      <c r="J214" s="274">
        <f t="shared" si="11"/>
        <v>0</v>
      </c>
      <c r="K214" s="274"/>
      <c r="L214" s="274"/>
      <c r="M214" s="274">
        <f t="shared" si="12"/>
        <v>0</v>
      </c>
    </row>
    <row r="215" spans="1:13" s="23" customFormat="1" ht="13.5">
      <c r="A215" s="22"/>
      <c r="B215" s="617"/>
      <c r="C215" s="610" t="s">
        <v>269</v>
      </c>
      <c r="D215" s="36" t="s">
        <v>46</v>
      </c>
      <c r="E215" s="273">
        <v>0.0256</v>
      </c>
      <c r="F215" s="274">
        <f>F209*E215</f>
        <v>1.3312000000000002</v>
      </c>
      <c r="G215" s="274"/>
      <c r="H215" s="274"/>
      <c r="I215" s="274"/>
      <c r="J215" s="274">
        <f t="shared" si="11"/>
        <v>0</v>
      </c>
      <c r="K215" s="274"/>
      <c r="L215" s="274"/>
      <c r="M215" s="274">
        <f t="shared" si="12"/>
        <v>0</v>
      </c>
    </row>
    <row r="216" spans="1:13" s="23" customFormat="1" ht="13.5">
      <c r="A216" s="22"/>
      <c r="B216" s="617"/>
      <c r="C216" s="610" t="s">
        <v>270</v>
      </c>
      <c r="D216" s="36" t="s">
        <v>46</v>
      </c>
      <c r="E216" s="273">
        <v>0.0026</v>
      </c>
      <c r="F216" s="274">
        <f>F209*E216</f>
        <v>0.1352</v>
      </c>
      <c r="G216" s="274"/>
      <c r="H216" s="274"/>
      <c r="I216" s="274"/>
      <c r="J216" s="274">
        <f t="shared" si="11"/>
        <v>0</v>
      </c>
      <c r="K216" s="274"/>
      <c r="L216" s="274"/>
      <c r="M216" s="274">
        <f t="shared" si="12"/>
        <v>0</v>
      </c>
    </row>
    <row r="217" spans="1:13" s="278" customFormat="1" ht="13.5">
      <c r="A217" s="611"/>
      <c r="B217" s="618"/>
      <c r="C217" s="610" t="s">
        <v>276</v>
      </c>
      <c r="D217" s="33" t="s">
        <v>274</v>
      </c>
      <c r="E217" s="273" t="s">
        <v>54</v>
      </c>
      <c r="F217" s="274">
        <f>(213)/1000</f>
        <v>0.213</v>
      </c>
      <c r="G217" s="274"/>
      <c r="H217" s="274"/>
      <c r="I217" s="274"/>
      <c r="J217" s="274">
        <f>I217*F217</f>
        <v>0</v>
      </c>
      <c r="K217" s="274"/>
      <c r="L217" s="274">
        <f>K217*F217</f>
        <v>0</v>
      </c>
      <c r="M217" s="274">
        <f>L217+J217+H217</f>
        <v>0</v>
      </c>
    </row>
    <row r="218" spans="1:13" s="278" customFormat="1" ht="13.5">
      <c r="A218" s="611"/>
      <c r="B218" s="618"/>
      <c r="C218" s="610" t="s">
        <v>273</v>
      </c>
      <c r="D218" s="33" t="s">
        <v>274</v>
      </c>
      <c r="E218" s="273" t="s">
        <v>54</v>
      </c>
      <c r="F218" s="274">
        <f>(4375+333)/1000</f>
        <v>4.708</v>
      </c>
      <c r="G218" s="274"/>
      <c r="H218" s="274"/>
      <c r="I218" s="274"/>
      <c r="J218" s="274">
        <f>I218*F218</f>
        <v>0</v>
      </c>
      <c r="K218" s="274"/>
      <c r="L218" s="274">
        <f>K218*F218</f>
        <v>0</v>
      </c>
      <c r="M218" s="274">
        <f>L218+J218+H218</f>
        <v>0</v>
      </c>
    </row>
    <row r="219" spans="1:13" s="23" customFormat="1" ht="13.5">
      <c r="A219" s="22"/>
      <c r="B219" s="617"/>
      <c r="C219" s="613" t="s">
        <v>47</v>
      </c>
      <c r="D219" s="36" t="s">
        <v>45</v>
      </c>
      <c r="E219" s="273">
        <v>0.39</v>
      </c>
      <c r="F219" s="274">
        <f>F209*E219</f>
        <v>20.28</v>
      </c>
      <c r="G219" s="274"/>
      <c r="H219" s="274"/>
      <c r="I219" s="274"/>
      <c r="J219" s="274">
        <f t="shared" si="11"/>
        <v>0</v>
      </c>
      <c r="K219" s="274"/>
      <c r="L219" s="274"/>
      <c r="M219" s="274">
        <f t="shared" si="12"/>
        <v>0</v>
      </c>
    </row>
    <row r="220" spans="1:13" s="29" customFormat="1" ht="32.25" customHeight="1">
      <c r="A220" s="251">
        <v>2</v>
      </c>
      <c r="B220" s="311" t="s">
        <v>277</v>
      </c>
      <c r="C220" s="608" t="s">
        <v>797</v>
      </c>
      <c r="D220" s="150" t="s">
        <v>46</v>
      </c>
      <c r="E220" s="256"/>
      <c r="F220" s="300">
        <v>20</v>
      </c>
      <c r="G220" s="884"/>
      <c r="H220" s="884"/>
      <c r="I220" s="27"/>
      <c r="J220" s="27"/>
      <c r="K220" s="884"/>
      <c r="L220" s="884"/>
      <c r="M220" s="882"/>
    </row>
    <row r="221" spans="1:13" s="29" customFormat="1" ht="13.5">
      <c r="A221" s="116"/>
      <c r="B221" s="619"/>
      <c r="C221" s="609" t="s">
        <v>43</v>
      </c>
      <c r="D221" s="28" t="s">
        <v>15</v>
      </c>
      <c r="E221" s="26">
        <f>700/100</f>
        <v>7</v>
      </c>
      <c r="F221" s="27">
        <f>F220*E221</f>
        <v>140</v>
      </c>
      <c r="G221" s="27"/>
      <c r="H221" s="27">
        <f>G221*F221</f>
        <v>0</v>
      </c>
      <c r="I221" s="884"/>
      <c r="J221" s="884"/>
      <c r="K221" s="884"/>
      <c r="L221" s="884"/>
      <c r="M221" s="27">
        <f aca="true" t="shared" si="13" ref="M221:M233">L221+J221+H221</f>
        <v>0</v>
      </c>
    </row>
    <row r="222" spans="1:13" s="29" customFormat="1" ht="13.5">
      <c r="A222" s="116"/>
      <c r="B222" s="313"/>
      <c r="C222" s="610" t="s">
        <v>44</v>
      </c>
      <c r="D222" s="28" t="s">
        <v>45</v>
      </c>
      <c r="E222" s="26">
        <v>1.06</v>
      </c>
      <c r="F222" s="27">
        <f>F220*E222</f>
        <v>21.200000000000003</v>
      </c>
      <c r="G222" s="884"/>
      <c r="H222" s="884"/>
      <c r="I222" s="884"/>
      <c r="J222" s="884"/>
      <c r="K222" s="884"/>
      <c r="L222" s="884">
        <f>K222*F222</f>
        <v>0</v>
      </c>
      <c r="M222" s="27">
        <f t="shared" si="13"/>
        <v>0</v>
      </c>
    </row>
    <row r="223" spans="1:13" s="29" customFormat="1" ht="13.5">
      <c r="A223" s="116"/>
      <c r="B223" s="313"/>
      <c r="C223" s="610" t="s">
        <v>278</v>
      </c>
      <c r="D223" s="28" t="s">
        <v>46</v>
      </c>
      <c r="E223" s="26">
        <f>101.5/100</f>
        <v>1.015</v>
      </c>
      <c r="F223" s="27">
        <f>F220*E223</f>
        <v>20.299999999999997</v>
      </c>
      <c r="G223" s="884"/>
      <c r="H223" s="884"/>
      <c r="I223" s="27"/>
      <c r="J223" s="27">
        <f>I223*F223</f>
        <v>0</v>
      </c>
      <c r="K223" s="884"/>
      <c r="L223" s="884"/>
      <c r="M223" s="27">
        <f t="shared" si="13"/>
        <v>0</v>
      </c>
    </row>
    <row r="224" spans="1:13" s="29" customFormat="1" ht="13.5">
      <c r="A224" s="116"/>
      <c r="B224" s="313"/>
      <c r="C224" s="610" t="s">
        <v>267</v>
      </c>
      <c r="D224" s="28" t="s">
        <v>16</v>
      </c>
      <c r="E224" s="26">
        <v>2.06</v>
      </c>
      <c r="F224" s="27">
        <f>F220*E224</f>
        <v>41.2</v>
      </c>
      <c r="G224" s="884"/>
      <c r="H224" s="884"/>
      <c r="I224" s="27"/>
      <c r="J224" s="27">
        <f aca="true" t="shared" si="14" ref="J224:J230">I224*F224</f>
        <v>0</v>
      </c>
      <c r="K224" s="884"/>
      <c r="L224" s="884"/>
      <c r="M224" s="27">
        <f t="shared" si="13"/>
        <v>0</v>
      </c>
    </row>
    <row r="225" spans="1:13" s="31" customFormat="1" ht="13.5">
      <c r="A225" s="116"/>
      <c r="B225" s="313"/>
      <c r="C225" s="610" t="s">
        <v>268</v>
      </c>
      <c r="D225" s="28" t="s">
        <v>46</v>
      </c>
      <c r="E225" s="30">
        <f>0.41/100</f>
        <v>0.0040999999999999995</v>
      </c>
      <c r="F225" s="27">
        <f>F220*E225</f>
        <v>0.08199999999999999</v>
      </c>
      <c r="G225" s="884"/>
      <c r="H225" s="884"/>
      <c r="I225" s="27"/>
      <c r="J225" s="27">
        <f t="shared" si="14"/>
        <v>0</v>
      </c>
      <c r="K225" s="884"/>
      <c r="L225" s="884"/>
      <c r="M225" s="27">
        <f t="shared" si="13"/>
        <v>0</v>
      </c>
    </row>
    <row r="226" spans="1:13" s="29" customFormat="1" ht="13.5">
      <c r="A226" s="116"/>
      <c r="B226" s="313"/>
      <c r="C226" s="610" t="s">
        <v>269</v>
      </c>
      <c r="D226" s="28" t="s">
        <v>46</v>
      </c>
      <c r="E226" s="30">
        <f>1.83/100</f>
        <v>0.0183</v>
      </c>
      <c r="F226" s="27">
        <f>F220*E226</f>
        <v>0.366</v>
      </c>
      <c r="G226" s="884"/>
      <c r="H226" s="884"/>
      <c r="I226" s="27"/>
      <c r="J226" s="27">
        <f t="shared" si="14"/>
        <v>0</v>
      </c>
      <c r="K226" s="884"/>
      <c r="L226" s="884"/>
      <c r="M226" s="27">
        <f t="shared" si="13"/>
        <v>0</v>
      </c>
    </row>
    <row r="227" spans="1:13" s="29" customFormat="1" ht="13.5">
      <c r="A227" s="116"/>
      <c r="B227" s="313"/>
      <c r="C227" s="610" t="s">
        <v>270</v>
      </c>
      <c r="D227" s="28" t="s">
        <v>46</v>
      </c>
      <c r="E227" s="28">
        <v>0.005</v>
      </c>
      <c r="F227" s="27">
        <f>F220*E227</f>
        <v>0.1</v>
      </c>
      <c r="G227" s="27"/>
      <c r="H227" s="27"/>
      <c r="I227" s="27"/>
      <c r="J227" s="27">
        <f t="shared" si="14"/>
        <v>0</v>
      </c>
      <c r="K227" s="27"/>
      <c r="L227" s="27"/>
      <c r="M227" s="27">
        <f t="shared" si="13"/>
        <v>0</v>
      </c>
    </row>
    <row r="228" spans="1:13" s="29" customFormat="1" ht="13.5">
      <c r="A228" s="116"/>
      <c r="B228" s="313"/>
      <c r="C228" s="610" t="s">
        <v>246</v>
      </c>
      <c r="D228" s="28" t="s">
        <v>49</v>
      </c>
      <c r="E228" s="28">
        <f>0.11/100</f>
        <v>0.0011</v>
      </c>
      <c r="F228" s="27">
        <f>F220*E228</f>
        <v>0.022000000000000002</v>
      </c>
      <c r="G228" s="27"/>
      <c r="H228" s="27"/>
      <c r="I228" s="27"/>
      <c r="J228" s="27">
        <f t="shared" si="14"/>
        <v>0</v>
      </c>
      <c r="K228" s="27"/>
      <c r="L228" s="27"/>
      <c r="M228" s="27">
        <f t="shared" si="13"/>
        <v>0</v>
      </c>
    </row>
    <row r="229" spans="1:13" s="278" customFormat="1" ht="13.5">
      <c r="A229" s="611"/>
      <c r="B229" s="618"/>
      <c r="C229" s="610" t="s">
        <v>276</v>
      </c>
      <c r="D229" s="28" t="s">
        <v>274</v>
      </c>
      <c r="E229" s="28" t="s">
        <v>54</v>
      </c>
      <c r="F229" s="27">
        <f>(81+654)/1000</f>
        <v>0.735</v>
      </c>
      <c r="G229" s="27"/>
      <c r="H229" s="27"/>
      <c r="I229" s="27"/>
      <c r="J229" s="27">
        <f t="shared" si="14"/>
        <v>0</v>
      </c>
      <c r="K229" s="27"/>
      <c r="L229" s="27">
        <f>K229*F229</f>
        <v>0</v>
      </c>
      <c r="M229" s="27">
        <f t="shared" si="13"/>
        <v>0</v>
      </c>
    </row>
    <row r="230" spans="1:13" s="278" customFormat="1" ht="13.5">
      <c r="A230" s="611"/>
      <c r="B230" s="618"/>
      <c r="C230" s="610" t="s">
        <v>279</v>
      </c>
      <c r="D230" s="28" t="s">
        <v>274</v>
      </c>
      <c r="E230" s="28" t="s">
        <v>54</v>
      </c>
      <c r="F230" s="27">
        <f>(116+155)/1000</f>
        <v>0.271</v>
      </c>
      <c r="G230" s="27"/>
      <c r="H230" s="27"/>
      <c r="I230" s="27"/>
      <c r="J230" s="27">
        <f t="shared" si="14"/>
        <v>0</v>
      </c>
      <c r="K230" s="27"/>
      <c r="L230" s="27">
        <f>K230*F230</f>
        <v>0</v>
      </c>
      <c r="M230" s="27">
        <f t="shared" si="13"/>
        <v>0</v>
      </c>
    </row>
    <row r="231" spans="1:13" s="278" customFormat="1" ht="13.5">
      <c r="A231" s="611"/>
      <c r="B231" s="618"/>
      <c r="C231" s="610" t="s">
        <v>280</v>
      </c>
      <c r="D231" s="28" t="s">
        <v>274</v>
      </c>
      <c r="E231" s="28" t="s">
        <v>54</v>
      </c>
      <c r="F231" s="27">
        <f>(509)/1000</f>
        <v>0.509</v>
      </c>
      <c r="G231" s="27"/>
      <c r="H231" s="27"/>
      <c r="I231" s="27"/>
      <c r="J231" s="27">
        <f>I231*F231</f>
        <v>0</v>
      </c>
      <c r="K231" s="27"/>
      <c r="L231" s="27">
        <f>K231*F231</f>
        <v>0</v>
      </c>
      <c r="M231" s="27">
        <f>L231+J231+H231</f>
        <v>0</v>
      </c>
    </row>
    <row r="232" spans="1:13" s="278" customFormat="1" ht="13.5">
      <c r="A232" s="611"/>
      <c r="B232" s="618"/>
      <c r="C232" s="610" t="s">
        <v>281</v>
      </c>
      <c r="D232" s="28" t="s">
        <v>274</v>
      </c>
      <c r="E232" s="28" t="s">
        <v>54</v>
      </c>
      <c r="F232" s="27">
        <f>(696+1159+928)/1000</f>
        <v>2.783</v>
      </c>
      <c r="G232" s="27"/>
      <c r="H232" s="27"/>
      <c r="I232" s="27"/>
      <c r="J232" s="27">
        <f>I232*F232</f>
        <v>0</v>
      </c>
      <c r="K232" s="27"/>
      <c r="L232" s="27">
        <f>K232*F232</f>
        <v>0</v>
      </c>
      <c r="M232" s="27">
        <f>L232+J232+H232</f>
        <v>0</v>
      </c>
    </row>
    <row r="233" spans="1:13" s="31" customFormat="1" ht="13.5">
      <c r="A233" s="116"/>
      <c r="B233" s="313"/>
      <c r="C233" s="620" t="s">
        <v>47</v>
      </c>
      <c r="D233" s="28" t="s">
        <v>45</v>
      </c>
      <c r="E233" s="28">
        <v>0.67</v>
      </c>
      <c r="F233" s="27">
        <f>F220*E233</f>
        <v>13.4</v>
      </c>
      <c r="G233" s="27"/>
      <c r="H233" s="27"/>
      <c r="I233" s="27"/>
      <c r="J233" s="27">
        <f>I233*F233</f>
        <v>0</v>
      </c>
      <c r="K233" s="27"/>
      <c r="L233" s="27"/>
      <c r="M233" s="27">
        <f t="shared" si="13"/>
        <v>0</v>
      </c>
    </row>
    <row r="234" spans="1:13" s="29" customFormat="1" ht="30" customHeight="1">
      <c r="A234" s="251">
        <v>3</v>
      </c>
      <c r="B234" s="311" t="s">
        <v>277</v>
      </c>
      <c r="C234" s="604" t="s">
        <v>798</v>
      </c>
      <c r="D234" s="587" t="s">
        <v>46</v>
      </c>
      <c r="E234" s="26"/>
      <c r="F234" s="27">
        <v>5</v>
      </c>
      <c r="G234" s="884"/>
      <c r="H234" s="884"/>
      <c r="I234" s="27"/>
      <c r="J234" s="27"/>
      <c r="K234" s="884"/>
      <c r="L234" s="884"/>
      <c r="M234" s="882"/>
    </row>
    <row r="235" spans="1:13" s="29" customFormat="1" ht="13.5">
      <c r="A235" s="116"/>
      <c r="B235" s="619"/>
      <c r="C235" s="196" t="s">
        <v>43</v>
      </c>
      <c r="D235" s="587" t="s">
        <v>15</v>
      </c>
      <c r="E235" s="26">
        <f>700/100</f>
        <v>7</v>
      </c>
      <c r="F235" s="27">
        <f>F234*E235</f>
        <v>35</v>
      </c>
      <c r="G235" s="27"/>
      <c r="H235" s="27">
        <f>G235*F235</f>
        <v>0</v>
      </c>
      <c r="I235" s="884"/>
      <c r="J235" s="884"/>
      <c r="K235" s="884"/>
      <c r="L235" s="884"/>
      <c r="M235" s="27">
        <f aca="true" t="shared" si="15" ref="M235:M247">L235+J235+H235</f>
        <v>0</v>
      </c>
    </row>
    <row r="236" spans="1:13" s="29" customFormat="1" ht="13.5">
      <c r="A236" s="116"/>
      <c r="B236" s="313"/>
      <c r="C236" s="276" t="s">
        <v>44</v>
      </c>
      <c r="D236" s="587" t="s">
        <v>45</v>
      </c>
      <c r="E236" s="26">
        <v>1.06</v>
      </c>
      <c r="F236" s="27">
        <f>F234*E236</f>
        <v>5.300000000000001</v>
      </c>
      <c r="G236" s="884"/>
      <c r="H236" s="884"/>
      <c r="I236" s="884"/>
      <c r="J236" s="884"/>
      <c r="K236" s="884"/>
      <c r="L236" s="884">
        <f>K236*F236</f>
        <v>0</v>
      </c>
      <c r="M236" s="27">
        <f t="shared" si="15"/>
        <v>0</v>
      </c>
    </row>
    <row r="237" spans="1:13" s="29" customFormat="1" ht="13.5">
      <c r="A237" s="116"/>
      <c r="B237" s="313"/>
      <c r="C237" s="276" t="s">
        <v>799</v>
      </c>
      <c r="D237" s="587" t="s">
        <v>46</v>
      </c>
      <c r="E237" s="26">
        <f>101.5/100</f>
        <v>1.015</v>
      </c>
      <c r="F237" s="27">
        <f>F234*E237</f>
        <v>5.074999999999999</v>
      </c>
      <c r="G237" s="884"/>
      <c r="H237" s="884"/>
      <c r="I237" s="27"/>
      <c r="J237" s="27">
        <f>I237*F237</f>
        <v>0</v>
      </c>
      <c r="K237" s="884"/>
      <c r="L237" s="884"/>
      <c r="M237" s="27">
        <f t="shared" si="15"/>
        <v>0</v>
      </c>
    </row>
    <row r="238" spans="1:13" s="29" customFormat="1" ht="13.5">
      <c r="A238" s="116"/>
      <c r="B238" s="313"/>
      <c r="C238" s="276" t="s">
        <v>267</v>
      </c>
      <c r="D238" s="587" t="s">
        <v>16</v>
      </c>
      <c r="E238" s="26">
        <v>2.06</v>
      </c>
      <c r="F238" s="27">
        <f>F234*E238</f>
        <v>10.3</v>
      </c>
      <c r="G238" s="884"/>
      <c r="H238" s="884"/>
      <c r="I238" s="27"/>
      <c r="J238" s="27">
        <f aca="true" t="shared" si="16" ref="J238:J246">I238*F238</f>
        <v>0</v>
      </c>
      <c r="K238" s="884"/>
      <c r="L238" s="884"/>
      <c r="M238" s="27">
        <f t="shared" si="15"/>
        <v>0</v>
      </c>
    </row>
    <row r="239" spans="1:13" s="31" customFormat="1" ht="13.5">
      <c r="A239" s="116"/>
      <c r="B239" s="313"/>
      <c r="C239" s="276" t="s">
        <v>268</v>
      </c>
      <c r="D239" s="587" t="s">
        <v>46</v>
      </c>
      <c r="E239" s="30">
        <f>0.41/100</f>
        <v>0.0040999999999999995</v>
      </c>
      <c r="F239" s="27">
        <f>F234*E239</f>
        <v>0.020499999999999997</v>
      </c>
      <c r="G239" s="884"/>
      <c r="H239" s="884"/>
      <c r="I239" s="27"/>
      <c r="J239" s="27">
        <f t="shared" si="16"/>
        <v>0</v>
      </c>
      <c r="K239" s="884"/>
      <c r="L239" s="884"/>
      <c r="M239" s="27">
        <f t="shared" si="15"/>
        <v>0</v>
      </c>
    </row>
    <row r="240" spans="1:13" s="29" customFormat="1" ht="13.5">
      <c r="A240" s="116"/>
      <c r="B240" s="313"/>
      <c r="C240" s="276" t="s">
        <v>269</v>
      </c>
      <c r="D240" s="587" t="s">
        <v>46</v>
      </c>
      <c r="E240" s="30">
        <f>1.83/100</f>
        <v>0.0183</v>
      </c>
      <c r="F240" s="27">
        <f>F234*E240</f>
        <v>0.0915</v>
      </c>
      <c r="G240" s="884"/>
      <c r="H240" s="884"/>
      <c r="I240" s="27"/>
      <c r="J240" s="27">
        <f t="shared" si="16"/>
        <v>0</v>
      </c>
      <c r="K240" s="884"/>
      <c r="L240" s="884"/>
      <c r="M240" s="27">
        <f t="shared" si="15"/>
        <v>0</v>
      </c>
    </row>
    <row r="241" spans="1:13" s="29" customFormat="1" ht="13.5">
      <c r="A241" s="116"/>
      <c r="B241" s="313"/>
      <c r="C241" s="276" t="s">
        <v>270</v>
      </c>
      <c r="D241" s="587" t="s">
        <v>46</v>
      </c>
      <c r="E241" s="28">
        <v>0.005</v>
      </c>
      <c r="F241" s="27">
        <f>F234*E241</f>
        <v>0.025</v>
      </c>
      <c r="G241" s="27"/>
      <c r="H241" s="27"/>
      <c r="I241" s="27"/>
      <c r="J241" s="27">
        <f t="shared" si="16"/>
        <v>0</v>
      </c>
      <c r="K241" s="27"/>
      <c r="L241" s="27"/>
      <c r="M241" s="27">
        <f t="shared" si="15"/>
        <v>0</v>
      </c>
    </row>
    <row r="242" spans="1:13" s="29" customFormat="1" ht="13.5">
      <c r="A242" s="116"/>
      <c r="B242" s="313"/>
      <c r="C242" s="276" t="s">
        <v>246</v>
      </c>
      <c r="D242" s="587" t="s">
        <v>49</v>
      </c>
      <c r="E242" s="28">
        <f>0.11/100</f>
        <v>0.0011</v>
      </c>
      <c r="F242" s="27">
        <f>F234*E242</f>
        <v>0.0055000000000000005</v>
      </c>
      <c r="G242" s="27"/>
      <c r="H242" s="27"/>
      <c r="I242" s="27"/>
      <c r="J242" s="27">
        <f t="shared" si="16"/>
        <v>0</v>
      </c>
      <c r="K242" s="27"/>
      <c r="L242" s="27"/>
      <c r="M242" s="27">
        <f t="shared" si="15"/>
        <v>0</v>
      </c>
    </row>
    <row r="243" spans="1:13" s="278" customFormat="1" ht="13.5">
      <c r="A243" s="611"/>
      <c r="B243" s="618"/>
      <c r="C243" s="276" t="s">
        <v>276</v>
      </c>
      <c r="D243" s="587" t="s">
        <v>274</v>
      </c>
      <c r="E243" s="28" t="s">
        <v>54</v>
      </c>
      <c r="F243" s="27">
        <f>(163+20+14)/1000</f>
        <v>0.197</v>
      </c>
      <c r="G243" s="27"/>
      <c r="H243" s="27"/>
      <c r="I243" s="27"/>
      <c r="J243" s="27">
        <f t="shared" si="16"/>
        <v>0</v>
      </c>
      <c r="K243" s="27"/>
      <c r="L243" s="27">
        <f>K243*F243</f>
        <v>0</v>
      </c>
      <c r="M243" s="27">
        <f t="shared" si="15"/>
        <v>0</v>
      </c>
    </row>
    <row r="244" spans="1:13" s="278" customFormat="1" ht="13.5">
      <c r="A244" s="611"/>
      <c r="B244" s="618"/>
      <c r="C244" s="276" t="s">
        <v>279</v>
      </c>
      <c r="D244" s="587" t="s">
        <v>274</v>
      </c>
      <c r="E244" s="28" t="s">
        <v>54</v>
      </c>
      <c r="F244" s="27">
        <f>(29+39)/1000</f>
        <v>0.068</v>
      </c>
      <c r="G244" s="27"/>
      <c r="H244" s="27"/>
      <c r="I244" s="27"/>
      <c r="J244" s="27">
        <f t="shared" si="16"/>
        <v>0</v>
      </c>
      <c r="K244" s="27"/>
      <c r="L244" s="27">
        <f>K244*F244</f>
        <v>0</v>
      </c>
      <c r="M244" s="27">
        <f t="shared" si="15"/>
        <v>0</v>
      </c>
    </row>
    <row r="245" spans="1:13" s="278" customFormat="1" ht="13.5">
      <c r="A245" s="611"/>
      <c r="B245" s="618"/>
      <c r="C245" s="276" t="s">
        <v>280</v>
      </c>
      <c r="D245" s="587" t="s">
        <v>274</v>
      </c>
      <c r="E245" s="28" t="s">
        <v>54</v>
      </c>
      <c r="F245" s="27">
        <f>(127+30)/1000</f>
        <v>0.157</v>
      </c>
      <c r="G245" s="27"/>
      <c r="H245" s="27"/>
      <c r="I245" s="27"/>
      <c r="J245" s="27">
        <f t="shared" si="16"/>
        <v>0</v>
      </c>
      <c r="K245" s="27"/>
      <c r="L245" s="27">
        <f>K245*F245</f>
        <v>0</v>
      </c>
      <c r="M245" s="27">
        <f t="shared" si="15"/>
        <v>0</v>
      </c>
    </row>
    <row r="246" spans="1:13" s="278" customFormat="1" ht="13.5">
      <c r="A246" s="611"/>
      <c r="B246" s="618"/>
      <c r="C246" s="276" t="s">
        <v>281</v>
      </c>
      <c r="D246" s="587" t="s">
        <v>274</v>
      </c>
      <c r="E246" s="28" t="s">
        <v>54</v>
      </c>
      <c r="F246" s="27">
        <f>(174+290+116+121)/1000</f>
        <v>0.701</v>
      </c>
      <c r="G246" s="27"/>
      <c r="H246" s="27"/>
      <c r="I246" s="27"/>
      <c r="J246" s="27">
        <f t="shared" si="16"/>
        <v>0</v>
      </c>
      <c r="K246" s="27"/>
      <c r="L246" s="27">
        <f>K246*F246</f>
        <v>0</v>
      </c>
      <c r="M246" s="27">
        <f t="shared" si="15"/>
        <v>0</v>
      </c>
    </row>
    <row r="247" spans="1:13" s="31" customFormat="1" ht="13.5" customHeight="1">
      <c r="A247" s="117"/>
      <c r="B247" s="290"/>
      <c r="C247" s="276" t="s">
        <v>47</v>
      </c>
      <c r="D247" s="587" t="s">
        <v>45</v>
      </c>
      <c r="E247" s="28">
        <v>0.67</v>
      </c>
      <c r="F247" s="27">
        <f>F234*E247</f>
        <v>3.35</v>
      </c>
      <c r="G247" s="27"/>
      <c r="H247" s="27"/>
      <c r="I247" s="27"/>
      <c r="J247" s="27">
        <f>I247*F247</f>
        <v>0</v>
      </c>
      <c r="K247" s="27"/>
      <c r="L247" s="27"/>
      <c r="M247" s="27">
        <f t="shared" si="15"/>
        <v>0</v>
      </c>
    </row>
    <row r="248" spans="1:13" s="29" customFormat="1" ht="27">
      <c r="A248" s="116">
        <v>4</v>
      </c>
      <c r="B248" s="116" t="s">
        <v>277</v>
      </c>
      <c r="C248" s="378" t="s">
        <v>282</v>
      </c>
      <c r="D248" s="150" t="s">
        <v>46</v>
      </c>
      <c r="E248" s="256"/>
      <c r="F248" s="300">
        <v>18</v>
      </c>
      <c r="G248" s="892"/>
      <c r="H248" s="892"/>
      <c r="I248" s="300"/>
      <c r="J248" s="300"/>
      <c r="K248" s="892"/>
      <c r="L248" s="892"/>
      <c r="M248" s="900"/>
    </row>
    <row r="249" spans="1:13" s="29" customFormat="1" ht="13.5">
      <c r="A249" s="116"/>
      <c r="C249" s="196" t="s">
        <v>43</v>
      </c>
      <c r="D249" s="28" t="s">
        <v>15</v>
      </c>
      <c r="E249" s="26">
        <f>700/100</f>
        <v>7</v>
      </c>
      <c r="F249" s="27">
        <f>F248*E249</f>
        <v>126</v>
      </c>
      <c r="G249" s="27"/>
      <c r="H249" s="27">
        <f>G249*F249</f>
        <v>0</v>
      </c>
      <c r="I249" s="884"/>
      <c r="J249" s="884"/>
      <c r="K249" s="884"/>
      <c r="L249" s="884"/>
      <c r="M249" s="27">
        <f aca="true" t="shared" si="17" ref="M249:M260">L249+J249+H249</f>
        <v>0</v>
      </c>
    </row>
    <row r="250" spans="1:13" s="29" customFormat="1" ht="13.5">
      <c r="A250" s="116"/>
      <c r="B250" s="31"/>
      <c r="C250" s="276" t="s">
        <v>44</v>
      </c>
      <c r="D250" s="28" t="s">
        <v>45</v>
      </c>
      <c r="E250" s="26">
        <v>1.06</v>
      </c>
      <c r="F250" s="27">
        <f>F248*E250</f>
        <v>19.080000000000002</v>
      </c>
      <c r="G250" s="884"/>
      <c r="H250" s="884"/>
      <c r="I250" s="884"/>
      <c r="J250" s="884"/>
      <c r="K250" s="884"/>
      <c r="L250" s="884">
        <f>K250*F250</f>
        <v>0</v>
      </c>
      <c r="M250" s="27">
        <f t="shared" si="17"/>
        <v>0</v>
      </c>
    </row>
    <row r="251" spans="1:13" s="29" customFormat="1" ht="13.5">
      <c r="A251" s="116"/>
      <c r="B251" s="31"/>
      <c r="C251" s="276" t="s">
        <v>800</v>
      </c>
      <c r="D251" s="28" t="s">
        <v>46</v>
      </c>
      <c r="E251" s="26">
        <f>101.5/100</f>
        <v>1.015</v>
      </c>
      <c r="F251" s="27">
        <f>F248*E251</f>
        <v>18.27</v>
      </c>
      <c r="G251" s="884"/>
      <c r="H251" s="884"/>
      <c r="I251" s="27"/>
      <c r="J251" s="27">
        <f>I251*F251</f>
        <v>0</v>
      </c>
      <c r="K251" s="884"/>
      <c r="L251" s="884"/>
      <c r="M251" s="27">
        <f t="shared" si="17"/>
        <v>0</v>
      </c>
    </row>
    <row r="252" spans="1:13" s="29" customFormat="1" ht="13.5">
      <c r="A252" s="116"/>
      <c r="B252" s="31"/>
      <c r="C252" s="276" t="s">
        <v>267</v>
      </c>
      <c r="D252" s="28" t="s">
        <v>16</v>
      </c>
      <c r="E252" s="26">
        <v>2.06</v>
      </c>
      <c r="F252" s="27">
        <f>F248*E252</f>
        <v>37.08</v>
      </c>
      <c r="G252" s="884"/>
      <c r="H252" s="884"/>
      <c r="I252" s="27"/>
      <c r="J252" s="27">
        <f aca="true" t="shared" si="18" ref="J252:J259">I252*F252</f>
        <v>0</v>
      </c>
      <c r="K252" s="884"/>
      <c r="L252" s="884"/>
      <c r="M252" s="27">
        <f t="shared" si="17"/>
        <v>0</v>
      </c>
    </row>
    <row r="253" spans="1:13" s="31" customFormat="1" ht="13.5">
      <c r="A253" s="116"/>
      <c r="C253" s="276" t="s">
        <v>268</v>
      </c>
      <c r="D253" s="28" t="s">
        <v>46</v>
      </c>
      <c r="E253" s="30">
        <f>0.41/100</f>
        <v>0.0040999999999999995</v>
      </c>
      <c r="F253" s="27">
        <f>F248*E253</f>
        <v>0.07379999999999999</v>
      </c>
      <c r="G253" s="884"/>
      <c r="H253" s="884"/>
      <c r="I253" s="27"/>
      <c r="J253" s="27">
        <f t="shared" si="18"/>
        <v>0</v>
      </c>
      <c r="K253" s="884"/>
      <c r="L253" s="884"/>
      <c r="M253" s="27">
        <f t="shared" si="17"/>
        <v>0</v>
      </c>
    </row>
    <row r="254" spans="1:13" s="29" customFormat="1" ht="13.5">
      <c r="A254" s="116"/>
      <c r="B254" s="31"/>
      <c r="C254" s="276" t="s">
        <v>269</v>
      </c>
      <c r="D254" s="28" t="s">
        <v>46</v>
      </c>
      <c r="E254" s="30">
        <f>1.83/100</f>
        <v>0.0183</v>
      </c>
      <c r="F254" s="27">
        <f>F248*E254</f>
        <v>0.3294</v>
      </c>
      <c r="G254" s="884"/>
      <c r="H254" s="884"/>
      <c r="I254" s="27"/>
      <c r="J254" s="27">
        <f t="shared" si="18"/>
        <v>0</v>
      </c>
      <c r="K254" s="884"/>
      <c r="L254" s="884"/>
      <c r="M254" s="27">
        <f t="shared" si="17"/>
        <v>0</v>
      </c>
    </row>
    <row r="255" spans="1:13" s="29" customFormat="1" ht="13.5">
      <c r="A255" s="116"/>
      <c r="B255" s="31"/>
      <c r="C255" s="276" t="s">
        <v>270</v>
      </c>
      <c r="D255" s="28" t="s">
        <v>46</v>
      </c>
      <c r="E255" s="28">
        <v>0.005</v>
      </c>
      <c r="F255" s="27">
        <f>F248*E255</f>
        <v>0.09</v>
      </c>
      <c r="G255" s="27"/>
      <c r="H255" s="27"/>
      <c r="I255" s="27"/>
      <c r="J255" s="27">
        <f t="shared" si="18"/>
        <v>0</v>
      </c>
      <c r="K255" s="27"/>
      <c r="L255" s="27"/>
      <c r="M255" s="27">
        <f t="shared" si="17"/>
        <v>0</v>
      </c>
    </row>
    <row r="256" spans="1:13" s="29" customFormat="1" ht="13.5">
      <c r="A256" s="116"/>
      <c r="B256" s="31"/>
      <c r="C256" s="276" t="s">
        <v>246</v>
      </c>
      <c r="D256" s="28" t="s">
        <v>49</v>
      </c>
      <c r="E256" s="28">
        <f>0.11/100</f>
        <v>0.0011</v>
      </c>
      <c r="F256" s="27">
        <f>F248*E256</f>
        <v>0.0198</v>
      </c>
      <c r="G256" s="27"/>
      <c r="H256" s="27"/>
      <c r="I256" s="27"/>
      <c r="J256" s="27">
        <f t="shared" si="18"/>
        <v>0</v>
      </c>
      <c r="K256" s="27"/>
      <c r="L256" s="27"/>
      <c r="M256" s="27">
        <f t="shared" si="17"/>
        <v>0</v>
      </c>
    </row>
    <row r="257" spans="1:13" s="278" customFormat="1" ht="13.5">
      <c r="A257" s="277"/>
      <c r="B257" s="277"/>
      <c r="C257" s="276" t="s">
        <v>276</v>
      </c>
      <c r="D257" s="28" t="s">
        <v>274</v>
      </c>
      <c r="E257" s="28" t="s">
        <v>54</v>
      </c>
      <c r="F257" s="27">
        <f>(281+40)/1000</f>
        <v>0.321</v>
      </c>
      <c r="G257" s="27"/>
      <c r="H257" s="27"/>
      <c r="I257" s="27"/>
      <c r="J257" s="27">
        <f t="shared" si="18"/>
        <v>0</v>
      </c>
      <c r="K257" s="27"/>
      <c r="L257" s="27">
        <f>K257*F257</f>
        <v>0</v>
      </c>
      <c r="M257" s="27">
        <f t="shared" si="17"/>
        <v>0</v>
      </c>
    </row>
    <row r="258" spans="1:13" s="278" customFormat="1" ht="13.5">
      <c r="A258" s="277"/>
      <c r="B258" s="277"/>
      <c r="C258" s="276" t="s">
        <v>279</v>
      </c>
      <c r="D258" s="28" t="s">
        <v>274</v>
      </c>
      <c r="E258" s="28" t="s">
        <v>54</v>
      </c>
      <c r="F258" s="27">
        <f>(232+19)/1000</f>
        <v>0.251</v>
      </c>
      <c r="G258" s="27"/>
      <c r="H258" s="27"/>
      <c r="I258" s="27"/>
      <c r="J258" s="27">
        <f t="shared" si="18"/>
        <v>0</v>
      </c>
      <c r="K258" s="27"/>
      <c r="L258" s="27">
        <f>K258*F258</f>
        <v>0</v>
      </c>
      <c r="M258" s="27">
        <f t="shared" si="17"/>
        <v>0</v>
      </c>
    </row>
    <row r="259" spans="1:13" s="278" customFormat="1" ht="13.5">
      <c r="A259" s="277"/>
      <c r="B259" s="277"/>
      <c r="C259" s="276" t="s">
        <v>280</v>
      </c>
      <c r="D259" s="28" t="s">
        <v>274</v>
      </c>
      <c r="E259" s="28" t="s">
        <v>54</v>
      </c>
      <c r="F259" s="27">
        <f>(513+473+87)/1000</f>
        <v>1.073</v>
      </c>
      <c r="G259" s="27"/>
      <c r="H259" s="27"/>
      <c r="I259" s="27"/>
      <c r="J259" s="27">
        <f t="shared" si="18"/>
        <v>0</v>
      </c>
      <c r="K259" s="27"/>
      <c r="L259" s="27">
        <f>K259*F259</f>
        <v>0</v>
      </c>
      <c r="M259" s="27">
        <f t="shared" si="17"/>
        <v>0</v>
      </c>
    </row>
    <row r="260" spans="1:13" s="31" customFormat="1" ht="13.5">
      <c r="A260" s="117"/>
      <c r="B260" s="118"/>
      <c r="C260" s="276" t="s">
        <v>47</v>
      </c>
      <c r="D260" s="28" t="s">
        <v>45</v>
      </c>
      <c r="E260" s="28">
        <v>0.67</v>
      </c>
      <c r="F260" s="27">
        <f>F248*E260</f>
        <v>12.06</v>
      </c>
      <c r="G260" s="27"/>
      <c r="H260" s="27"/>
      <c r="I260" s="27"/>
      <c r="J260" s="27">
        <f>I260*F260</f>
        <v>0</v>
      </c>
      <c r="K260" s="27"/>
      <c r="L260" s="27"/>
      <c r="M260" s="27">
        <f t="shared" si="17"/>
        <v>0</v>
      </c>
    </row>
    <row r="261" spans="1:13" s="681" customFormat="1" ht="27">
      <c r="A261" s="677">
        <v>5</v>
      </c>
      <c r="B261" s="677" t="s">
        <v>284</v>
      </c>
      <c r="C261" s="135" t="s">
        <v>283</v>
      </c>
      <c r="D261" s="678" t="s">
        <v>46</v>
      </c>
      <c r="E261" s="679"/>
      <c r="F261" s="680">
        <v>0.7</v>
      </c>
      <c r="G261" s="680"/>
      <c r="H261" s="680"/>
      <c r="I261" s="680"/>
      <c r="J261" s="680"/>
      <c r="K261" s="892"/>
      <c r="L261" s="892"/>
      <c r="M261" s="680"/>
    </row>
    <row r="262" spans="1:13" s="279" customFormat="1" ht="13.5">
      <c r="A262" s="22"/>
      <c r="C262" s="280" t="s">
        <v>43</v>
      </c>
      <c r="D262" s="36" t="s">
        <v>15</v>
      </c>
      <c r="E262" s="281">
        <v>14.7</v>
      </c>
      <c r="F262" s="32">
        <f>F261*E262</f>
        <v>10.29</v>
      </c>
      <c r="G262" s="32"/>
      <c r="H262" s="32">
        <f>F262*G262</f>
        <v>0</v>
      </c>
      <c r="I262" s="884"/>
      <c r="J262" s="884"/>
      <c r="K262" s="884"/>
      <c r="L262" s="884"/>
      <c r="M262" s="32">
        <f>H262</f>
        <v>0</v>
      </c>
    </row>
    <row r="263" spans="1:13" s="279" customFormat="1" ht="13.5">
      <c r="A263" s="22"/>
      <c r="B263" s="23"/>
      <c r="C263" s="276" t="s">
        <v>44</v>
      </c>
      <c r="D263" s="36" t="s">
        <v>45</v>
      </c>
      <c r="E263" s="281">
        <v>1.21</v>
      </c>
      <c r="F263" s="32">
        <f>F261*E263</f>
        <v>0.847</v>
      </c>
      <c r="G263" s="884"/>
      <c r="H263" s="884"/>
      <c r="I263" s="884"/>
      <c r="J263" s="884"/>
      <c r="K263" s="32"/>
      <c r="L263" s="32">
        <f>F263*K263</f>
        <v>0</v>
      </c>
      <c r="M263" s="32">
        <f>L263</f>
        <v>0</v>
      </c>
    </row>
    <row r="264" spans="1:13" s="279" customFormat="1" ht="13.5">
      <c r="A264" s="22"/>
      <c r="B264" s="23"/>
      <c r="C264" s="276" t="s">
        <v>271</v>
      </c>
      <c r="D264" s="36" t="s">
        <v>46</v>
      </c>
      <c r="E264" s="281">
        <v>1</v>
      </c>
      <c r="F264" s="32">
        <f>F261*E264</f>
        <v>0.7</v>
      </c>
      <c r="G264" s="884"/>
      <c r="H264" s="884"/>
      <c r="I264" s="32"/>
      <c r="J264" s="32">
        <f aca="true" t="shared" si="19" ref="J264:J271">F264*I264</f>
        <v>0</v>
      </c>
      <c r="K264" s="884"/>
      <c r="L264" s="884"/>
      <c r="M264" s="32">
        <f aca="true" t="shared" si="20" ref="M264:M271">J264</f>
        <v>0</v>
      </c>
    </row>
    <row r="265" spans="1:13" s="279" customFormat="1" ht="13.5">
      <c r="A265" s="22"/>
      <c r="B265" s="23"/>
      <c r="C265" s="276" t="s">
        <v>267</v>
      </c>
      <c r="D265" s="36" t="s">
        <v>16</v>
      </c>
      <c r="E265" s="281">
        <v>2.46</v>
      </c>
      <c r="F265" s="32">
        <f>F261*E265</f>
        <v>1.722</v>
      </c>
      <c r="G265" s="884"/>
      <c r="H265" s="884"/>
      <c r="I265" s="32"/>
      <c r="J265" s="32">
        <f t="shared" si="19"/>
        <v>0</v>
      </c>
      <c r="K265" s="884"/>
      <c r="L265" s="884"/>
      <c r="M265" s="32">
        <f t="shared" si="20"/>
        <v>0</v>
      </c>
    </row>
    <row r="266" spans="1:13" s="279" customFormat="1" ht="13.5">
      <c r="A266" s="22"/>
      <c r="B266" s="23"/>
      <c r="C266" s="276" t="s">
        <v>285</v>
      </c>
      <c r="D266" s="36" t="s">
        <v>46</v>
      </c>
      <c r="E266" s="282">
        <v>0.016</v>
      </c>
      <c r="F266" s="32">
        <f>F261*E266</f>
        <v>0.0112</v>
      </c>
      <c r="G266" s="884"/>
      <c r="H266" s="884"/>
      <c r="I266" s="32"/>
      <c r="J266" s="32">
        <f t="shared" si="19"/>
        <v>0</v>
      </c>
      <c r="K266" s="884"/>
      <c r="L266" s="884"/>
      <c r="M266" s="32">
        <f t="shared" si="20"/>
        <v>0</v>
      </c>
    </row>
    <row r="267" spans="1:13" s="279" customFormat="1" ht="13.5">
      <c r="A267" s="22"/>
      <c r="B267" s="23"/>
      <c r="C267" s="276" t="s">
        <v>270</v>
      </c>
      <c r="D267" s="36" t="s">
        <v>46</v>
      </c>
      <c r="E267" s="282">
        <v>0.007</v>
      </c>
      <c r="F267" s="32">
        <f>F261*E267</f>
        <v>0.0049</v>
      </c>
      <c r="G267" s="884"/>
      <c r="H267" s="884"/>
      <c r="I267" s="32"/>
      <c r="J267" s="32">
        <f t="shared" si="19"/>
        <v>0</v>
      </c>
      <c r="K267" s="884"/>
      <c r="L267" s="884"/>
      <c r="M267" s="32">
        <f t="shared" si="20"/>
        <v>0</v>
      </c>
    </row>
    <row r="268" spans="1:13" s="279" customFormat="1" ht="13.5">
      <c r="A268" s="22"/>
      <c r="B268" s="23"/>
      <c r="C268" s="276" t="s">
        <v>246</v>
      </c>
      <c r="D268" s="36" t="s">
        <v>49</v>
      </c>
      <c r="E268" s="281">
        <v>3.3</v>
      </c>
      <c r="F268" s="32">
        <f>F261*E268</f>
        <v>2.3099999999999996</v>
      </c>
      <c r="G268" s="884"/>
      <c r="H268" s="884"/>
      <c r="I268" s="32"/>
      <c r="J268" s="32">
        <f t="shared" si="19"/>
        <v>0</v>
      </c>
      <c r="K268" s="884"/>
      <c r="L268" s="884"/>
      <c r="M268" s="32">
        <f t="shared" si="20"/>
        <v>0</v>
      </c>
    </row>
    <row r="269" spans="1:13" s="278" customFormat="1" ht="13.5">
      <c r="A269" s="277"/>
      <c r="B269" s="277"/>
      <c r="C269" s="276" t="s">
        <v>276</v>
      </c>
      <c r="D269" s="28" t="s">
        <v>274</v>
      </c>
      <c r="E269" s="28" t="s">
        <v>54</v>
      </c>
      <c r="F269" s="27">
        <f>53/1000</f>
        <v>0.053</v>
      </c>
      <c r="G269" s="27"/>
      <c r="H269" s="27"/>
      <c r="I269" s="27"/>
      <c r="J269" s="27">
        <f>I269*F269</f>
        <v>0</v>
      </c>
      <c r="K269" s="27"/>
      <c r="L269" s="27">
        <f>K269*F269</f>
        <v>0</v>
      </c>
      <c r="M269" s="27">
        <f>L269+J269+H269</f>
        <v>0</v>
      </c>
    </row>
    <row r="270" spans="1:13" s="278" customFormat="1" ht="13.5">
      <c r="A270" s="277"/>
      <c r="B270" s="277"/>
      <c r="C270" s="276" t="s">
        <v>280</v>
      </c>
      <c r="D270" s="28" t="s">
        <v>274</v>
      </c>
      <c r="E270" s="28" t="s">
        <v>54</v>
      </c>
      <c r="F270" s="27">
        <f>148/1000</f>
        <v>0.148</v>
      </c>
      <c r="G270" s="27"/>
      <c r="H270" s="27"/>
      <c r="I270" s="27"/>
      <c r="J270" s="27">
        <f>I270*F270</f>
        <v>0</v>
      </c>
      <c r="K270" s="27"/>
      <c r="L270" s="27">
        <f>K270*F270</f>
        <v>0</v>
      </c>
      <c r="M270" s="27">
        <f>L270+J270+H270</f>
        <v>0</v>
      </c>
    </row>
    <row r="271" spans="1:13" s="279" customFormat="1" ht="13.5">
      <c r="A271" s="138"/>
      <c r="B271" s="139"/>
      <c r="C271" s="601" t="s">
        <v>47</v>
      </c>
      <c r="D271" s="36" t="s">
        <v>45</v>
      </c>
      <c r="E271" s="281">
        <v>0.9</v>
      </c>
      <c r="F271" s="32">
        <f>F261*E271</f>
        <v>0.63</v>
      </c>
      <c r="G271" s="884"/>
      <c r="H271" s="884"/>
      <c r="I271" s="32"/>
      <c r="J271" s="32">
        <f t="shared" si="19"/>
        <v>0</v>
      </c>
      <c r="K271" s="884"/>
      <c r="L271" s="884"/>
      <c r="M271" s="32">
        <f t="shared" si="20"/>
        <v>0</v>
      </c>
    </row>
    <row r="272" spans="1:13" s="278" customFormat="1" ht="13.5">
      <c r="A272" s="116">
        <v>6</v>
      </c>
      <c r="B272" s="116" t="s">
        <v>298</v>
      </c>
      <c r="C272" s="135" t="s">
        <v>299</v>
      </c>
      <c r="D272" s="28" t="s">
        <v>46</v>
      </c>
      <c r="E272" s="26"/>
      <c r="F272" s="27">
        <v>5</v>
      </c>
      <c r="G272" s="901"/>
      <c r="H272" s="901"/>
      <c r="I272" s="901"/>
      <c r="J272" s="901"/>
      <c r="K272" s="901"/>
      <c r="L272" s="901"/>
      <c r="M272" s="901"/>
    </row>
    <row r="273" spans="1:13" s="278" customFormat="1" ht="13.5">
      <c r="A273" s="116"/>
      <c r="C273" s="196" t="s">
        <v>43</v>
      </c>
      <c r="D273" s="28" t="s">
        <v>15</v>
      </c>
      <c r="E273" s="26">
        <v>13.9</v>
      </c>
      <c r="F273" s="27">
        <f>F272*E273</f>
        <v>69.5</v>
      </c>
      <c r="G273" s="27"/>
      <c r="H273" s="27">
        <f>F273*G273</f>
        <v>0</v>
      </c>
      <c r="I273" s="901"/>
      <c r="J273" s="901"/>
      <c r="K273" s="901"/>
      <c r="L273" s="901"/>
      <c r="M273" s="27">
        <f>H273</f>
        <v>0</v>
      </c>
    </row>
    <row r="274" spans="1:13" s="278" customFormat="1" ht="13.5">
      <c r="A274" s="116"/>
      <c r="B274" s="31"/>
      <c r="C274" s="276" t="s">
        <v>44</v>
      </c>
      <c r="D274" s="28" t="s">
        <v>45</v>
      </c>
      <c r="E274" s="26">
        <v>1.28</v>
      </c>
      <c r="F274" s="27">
        <f>F272*E274</f>
        <v>6.4</v>
      </c>
      <c r="G274" s="901"/>
      <c r="H274" s="901"/>
      <c r="I274" s="901"/>
      <c r="J274" s="901"/>
      <c r="K274" s="27"/>
      <c r="L274" s="27">
        <f>F274*K274</f>
        <v>0</v>
      </c>
      <c r="M274" s="27">
        <f>L274</f>
        <v>0</v>
      </c>
    </row>
    <row r="275" spans="1:13" s="278" customFormat="1" ht="13.5">
      <c r="A275" s="116"/>
      <c r="B275" s="31"/>
      <c r="C275" s="276" t="s">
        <v>272</v>
      </c>
      <c r="D275" s="28" t="s">
        <v>46</v>
      </c>
      <c r="E275" s="26">
        <v>1.015</v>
      </c>
      <c r="F275" s="27">
        <f>F272*E275</f>
        <v>5.074999999999999</v>
      </c>
      <c r="G275" s="901"/>
      <c r="H275" s="901"/>
      <c r="I275" s="27"/>
      <c r="J275" s="27">
        <f aca="true" t="shared" si="21" ref="J275:J283">F275*I275</f>
        <v>0</v>
      </c>
      <c r="K275" s="901"/>
      <c r="L275" s="901"/>
      <c r="M275" s="27">
        <f aca="true" t="shared" si="22" ref="M275:M283">J275</f>
        <v>0</v>
      </c>
    </row>
    <row r="276" spans="1:13" s="278" customFormat="1" ht="13.5">
      <c r="A276" s="116"/>
      <c r="B276" s="31"/>
      <c r="C276" s="276" t="s">
        <v>267</v>
      </c>
      <c r="D276" s="28" t="s">
        <v>16</v>
      </c>
      <c r="E276" s="26">
        <v>2.29</v>
      </c>
      <c r="F276" s="27">
        <f>F272*E276</f>
        <v>11.45</v>
      </c>
      <c r="G276" s="901"/>
      <c r="H276" s="901"/>
      <c r="I276" s="27"/>
      <c r="J276" s="27">
        <f t="shared" si="21"/>
        <v>0</v>
      </c>
      <c r="K276" s="901"/>
      <c r="L276" s="901"/>
      <c r="M276" s="27">
        <f t="shared" si="22"/>
        <v>0</v>
      </c>
    </row>
    <row r="277" spans="1:13" s="278" customFormat="1" ht="13.5">
      <c r="A277" s="116"/>
      <c r="B277" s="31"/>
      <c r="C277" s="276" t="s">
        <v>268</v>
      </c>
      <c r="D277" s="28" t="s">
        <v>46</v>
      </c>
      <c r="E277" s="30">
        <v>0.014</v>
      </c>
      <c r="F277" s="27">
        <f>F272*E277</f>
        <v>0.07</v>
      </c>
      <c r="G277" s="901"/>
      <c r="H277" s="901"/>
      <c r="I277" s="27"/>
      <c r="J277" s="27">
        <f t="shared" si="21"/>
        <v>0</v>
      </c>
      <c r="K277" s="901"/>
      <c r="L277" s="901"/>
      <c r="M277" s="27">
        <f t="shared" si="22"/>
        <v>0</v>
      </c>
    </row>
    <row r="278" spans="1:13" s="278" customFormat="1" ht="13.5">
      <c r="A278" s="116"/>
      <c r="B278" s="31"/>
      <c r="C278" s="276" t="s">
        <v>269</v>
      </c>
      <c r="D278" s="28" t="s">
        <v>46</v>
      </c>
      <c r="E278" s="30">
        <v>0.0429</v>
      </c>
      <c r="F278" s="27">
        <f>F272*E278</f>
        <v>0.2145</v>
      </c>
      <c r="G278" s="901"/>
      <c r="H278" s="901"/>
      <c r="I278" s="27"/>
      <c r="J278" s="27">
        <f t="shared" si="21"/>
        <v>0</v>
      </c>
      <c r="K278" s="901"/>
      <c r="L278" s="901"/>
      <c r="M278" s="27">
        <f t="shared" si="22"/>
        <v>0</v>
      </c>
    </row>
    <row r="279" spans="1:13" s="278" customFormat="1" ht="13.5">
      <c r="A279" s="116"/>
      <c r="B279" s="31"/>
      <c r="C279" s="276" t="s">
        <v>270</v>
      </c>
      <c r="D279" s="28" t="s">
        <v>46</v>
      </c>
      <c r="E279" s="30">
        <v>0.002</v>
      </c>
      <c r="F279" s="27">
        <f>F272*E279</f>
        <v>0.01</v>
      </c>
      <c r="G279" s="901"/>
      <c r="H279" s="901"/>
      <c r="I279" s="27"/>
      <c r="J279" s="27">
        <f t="shared" si="21"/>
        <v>0</v>
      </c>
      <c r="K279" s="901"/>
      <c r="L279" s="901"/>
      <c r="M279" s="27">
        <f t="shared" si="22"/>
        <v>0</v>
      </c>
    </row>
    <row r="280" spans="1:13" s="278" customFormat="1" ht="13.5">
      <c r="A280" s="116"/>
      <c r="B280" s="283"/>
      <c r="C280" s="276" t="s">
        <v>246</v>
      </c>
      <c r="D280" s="28" t="s">
        <v>49</v>
      </c>
      <c r="E280" s="26">
        <v>2.5</v>
      </c>
      <c r="F280" s="27">
        <f>F272*E280</f>
        <v>12.5</v>
      </c>
      <c r="G280" s="901"/>
      <c r="H280" s="901"/>
      <c r="I280" s="27"/>
      <c r="J280" s="27">
        <f t="shared" si="21"/>
        <v>0</v>
      </c>
      <c r="K280" s="901"/>
      <c r="L280" s="901"/>
      <c r="M280" s="27">
        <f t="shared" si="22"/>
        <v>0</v>
      </c>
    </row>
    <row r="281" spans="1:13" s="278" customFormat="1" ht="13.5">
      <c r="A281" s="277"/>
      <c r="B281" s="277"/>
      <c r="C281" s="276" t="s">
        <v>276</v>
      </c>
      <c r="D281" s="28" t="s">
        <v>274</v>
      </c>
      <c r="E281" s="28" t="s">
        <v>54</v>
      </c>
      <c r="F281" s="27">
        <f>12/1000*1.02</f>
        <v>0.012240000000000001</v>
      </c>
      <c r="G281" s="27"/>
      <c r="H281" s="27"/>
      <c r="I281" s="27"/>
      <c r="J281" s="27">
        <f>I281*F281</f>
        <v>0</v>
      </c>
      <c r="K281" s="27"/>
      <c r="L281" s="27">
        <f>K281*F281</f>
        <v>0</v>
      </c>
      <c r="M281" s="27">
        <f>L281+J281+H281</f>
        <v>0</v>
      </c>
    </row>
    <row r="282" spans="1:13" s="278" customFormat="1" ht="13.5">
      <c r="A282" s="277"/>
      <c r="B282" s="277"/>
      <c r="C282" s="276" t="s">
        <v>273</v>
      </c>
      <c r="D282" s="28" t="s">
        <v>274</v>
      </c>
      <c r="E282" s="28" t="s">
        <v>54</v>
      </c>
      <c r="F282" s="27">
        <f>(17.5+160+50.4)/1000*1.02</f>
        <v>0.23245800000000003</v>
      </c>
      <c r="G282" s="27"/>
      <c r="H282" s="27"/>
      <c r="I282" s="27"/>
      <c r="J282" s="27">
        <f>I282*F282</f>
        <v>0</v>
      </c>
      <c r="K282" s="27"/>
      <c r="L282" s="27">
        <f>K282*F282</f>
        <v>0</v>
      </c>
      <c r="M282" s="27">
        <f>L282+J282+H282</f>
        <v>0</v>
      </c>
    </row>
    <row r="283" spans="1:13" s="278" customFormat="1" ht="13.5">
      <c r="A283" s="117"/>
      <c r="B283" s="118"/>
      <c r="C283" s="276" t="s">
        <v>47</v>
      </c>
      <c r="D283" s="28" t="s">
        <v>45</v>
      </c>
      <c r="E283" s="26">
        <v>0.93</v>
      </c>
      <c r="F283" s="27">
        <f>F272*E283</f>
        <v>4.65</v>
      </c>
      <c r="G283" s="902"/>
      <c r="H283" s="902"/>
      <c r="I283" s="27"/>
      <c r="J283" s="27">
        <f t="shared" si="21"/>
        <v>0</v>
      </c>
      <c r="K283" s="901"/>
      <c r="L283" s="901"/>
      <c r="M283" s="27">
        <f t="shared" si="22"/>
        <v>0</v>
      </c>
    </row>
    <row r="284" spans="1:13" s="278" customFormat="1" ht="13.5">
      <c r="A284" s="116">
        <v>7</v>
      </c>
      <c r="B284" s="116" t="s">
        <v>302</v>
      </c>
      <c r="C284" s="604" t="s">
        <v>307</v>
      </c>
      <c r="D284" s="28" t="s">
        <v>46</v>
      </c>
      <c r="E284" s="26"/>
      <c r="F284" s="27">
        <f>0.65*1.4*20</f>
        <v>18.2</v>
      </c>
      <c r="G284" s="884"/>
      <c r="H284" s="884"/>
      <c r="I284" s="884"/>
      <c r="J284" s="884"/>
      <c r="K284" s="884"/>
      <c r="L284" s="884"/>
      <c r="M284" s="884"/>
    </row>
    <row r="285" spans="1:13" s="278" customFormat="1" ht="13.5">
      <c r="A285" s="116"/>
      <c r="C285" s="602" t="s">
        <v>43</v>
      </c>
      <c r="D285" s="28" t="s">
        <v>15</v>
      </c>
      <c r="E285" s="26">
        <v>1.64</v>
      </c>
      <c r="F285" s="27">
        <f>F284*E285</f>
        <v>29.847999999999995</v>
      </c>
      <c r="G285" s="27"/>
      <c r="H285" s="27">
        <f>F285*G285</f>
        <v>0</v>
      </c>
      <c r="I285" s="884"/>
      <c r="J285" s="884"/>
      <c r="K285" s="884"/>
      <c r="L285" s="884"/>
      <c r="M285" s="27">
        <f>H285</f>
        <v>0</v>
      </c>
    </row>
    <row r="286" spans="1:13" s="278" customFormat="1" ht="13.5">
      <c r="A286" s="116"/>
      <c r="B286" s="31"/>
      <c r="C286" s="276" t="s">
        <v>44</v>
      </c>
      <c r="D286" s="28" t="s">
        <v>45</v>
      </c>
      <c r="E286" s="26">
        <v>0.529</v>
      </c>
      <c r="F286" s="27">
        <f>F284*E286</f>
        <v>9.6278</v>
      </c>
      <c r="G286" s="884"/>
      <c r="H286" s="884"/>
      <c r="I286" s="884"/>
      <c r="J286" s="884"/>
      <c r="K286" s="27"/>
      <c r="L286" s="27">
        <f>F286*K286</f>
        <v>0</v>
      </c>
      <c r="M286" s="27">
        <f>L286</f>
        <v>0</v>
      </c>
    </row>
    <row r="287" spans="1:13" s="278" customFormat="1" ht="13.5">
      <c r="A287" s="117"/>
      <c r="B287" s="118"/>
      <c r="C287" s="276" t="s">
        <v>303</v>
      </c>
      <c r="D287" s="28" t="s">
        <v>46</v>
      </c>
      <c r="E287" s="26">
        <v>1.15</v>
      </c>
      <c r="F287" s="27">
        <f>F284*E287</f>
        <v>20.929999999999996</v>
      </c>
      <c r="G287" s="884"/>
      <c r="H287" s="884"/>
      <c r="I287" s="27"/>
      <c r="J287" s="27">
        <f>F287*I287</f>
        <v>0</v>
      </c>
      <c r="K287" s="884"/>
      <c r="L287" s="884"/>
      <c r="M287" s="27">
        <f>J287</f>
        <v>0</v>
      </c>
    </row>
    <row r="288" spans="1:13" s="278" customFormat="1" ht="18" customHeight="1">
      <c r="A288" s="116">
        <v>8</v>
      </c>
      <c r="B288" s="116" t="s">
        <v>304</v>
      </c>
      <c r="C288" s="135" t="s">
        <v>308</v>
      </c>
      <c r="D288" s="28" t="s">
        <v>46</v>
      </c>
      <c r="E288" s="26"/>
      <c r="F288" s="27">
        <v>5</v>
      </c>
      <c r="G288" s="884"/>
      <c r="H288" s="884"/>
      <c r="I288" s="884"/>
      <c r="J288" s="884"/>
      <c r="K288" s="884"/>
      <c r="L288" s="884"/>
      <c r="M288" s="884"/>
    </row>
    <row r="289" spans="1:13" s="278" customFormat="1" ht="13.5">
      <c r="A289" s="116"/>
      <c r="C289" s="602" t="s">
        <v>43</v>
      </c>
      <c r="D289" s="28" t="s">
        <v>15</v>
      </c>
      <c r="E289" s="26">
        <v>3.83</v>
      </c>
      <c r="F289" s="27">
        <f>F288*E289</f>
        <v>19.15</v>
      </c>
      <c r="G289" s="27"/>
      <c r="H289" s="27">
        <f>F289*G289</f>
        <v>0</v>
      </c>
      <c r="I289" s="884"/>
      <c r="J289" s="884"/>
      <c r="K289" s="884"/>
      <c r="L289" s="884"/>
      <c r="M289" s="27">
        <f>H289</f>
        <v>0</v>
      </c>
    </row>
    <row r="290" spans="1:13" s="278" customFormat="1" ht="13.5">
      <c r="A290" s="116"/>
      <c r="B290" s="31"/>
      <c r="C290" s="276" t="s">
        <v>44</v>
      </c>
      <c r="D290" s="28" t="s">
        <v>45</v>
      </c>
      <c r="E290" s="26">
        <v>1.37</v>
      </c>
      <c r="F290" s="27">
        <f>F288*E290</f>
        <v>6.8500000000000005</v>
      </c>
      <c r="G290" s="884"/>
      <c r="H290" s="884"/>
      <c r="I290" s="884"/>
      <c r="J290" s="884"/>
      <c r="K290" s="27"/>
      <c r="L290" s="27">
        <f>F290*K290</f>
        <v>0</v>
      </c>
      <c r="M290" s="27">
        <f>L290</f>
        <v>0</v>
      </c>
    </row>
    <row r="291" spans="1:13" s="278" customFormat="1" ht="13.5">
      <c r="A291" s="116"/>
      <c r="B291" s="31"/>
      <c r="C291" s="276" t="s">
        <v>305</v>
      </c>
      <c r="D291" s="28" t="s">
        <v>46</v>
      </c>
      <c r="E291" s="26">
        <v>1.015</v>
      </c>
      <c r="F291" s="27">
        <f>F288*E291</f>
        <v>5.074999999999999</v>
      </c>
      <c r="G291" s="884"/>
      <c r="H291" s="884"/>
      <c r="I291" s="27"/>
      <c r="J291" s="27">
        <f>F291*I291</f>
        <v>0</v>
      </c>
      <c r="K291" s="884"/>
      <c r="L291" s="884"/>
      <c r="M291" s="27">
        <f>J291</f>
        <v>0</v>
      </c>
    </row>
    <row r="292" spans="1:13" s="278" customFormat="1" ht="13.5">
      <c r="A292" s="116"/>
      <c r="B292" s="31"/>
      <c r="C292" s="276" t="s">
        <v>267</v>
      </c>
      <c r="D292" s="28" t="s">
        <v>16</v>
      </c>
      <c r="E292" s="26">
        <v>0.256</v>
      </c>
      <c r="F292" s="27">
        <f>F288*E292</f>
        <v>1.28</v>
      </c>
      <c r="G292" s="884"/>
      <c r="H292" s="884"/>
      <c r="I292" s="27"/>
      <c r="J292" s="27">
        <f>F292*I292</f>
        <v>0</v>
      </c>
      <c r="K292" s="884"/>
      <c r="L292" s="884"/>
      <c r="M292" s="27">
        <f>J292</f>
        <v>0</v>
      </c>
    </row>
    <row r="293" spans="1:13" s="278" customFormat="1" ht="13.5">
      <c r="A293" s="116"/>
      <c r="B293" s="31"/>
      <c r="C293" s="276" t="s">
        <v>270</v>
      </c>
      <c r="D293" s="28" t="s">
        <v>46</v>
      </c>
      <c r="E293" s="30">
        <v>0.0027</v>
      </c>
      <c r="F293" s="27">
        <f>F288*E293</f>
        <v>0.013500000000000002</v>
      </c>
      <c r="G293" s="884"/>
      <c r="H293" s="884"/>
      <c r="I293" s="27"/>
      <c r="J293" s="27">
        <f>F293*I293</f>
        <v>0</v>
      </c>
      <c r="K293" s="884"/>
      <c r="L293" s="884"/>
      <c r="M293" s="27">
        <f>J293</f>
        <v>0</v>
      </c>
    </row>
    <row r="294" spans="1:13" s="278" customFormat="1" ht="13.5">
      <c r="A294" s="116"/>
      <c r="B294" s="31"/>
      <c r="C294" s="276" t="s">
        <v>306</v>
      </c>
      <c r="D294" s="28" t="s">
        <v>46</v>
      </c>
      <c r="E294" s="30">
        <v>0.0003</v>
      </c>
      <c r="F294" s="27">
        <f>F288*E294</f>
        <v>0.0014999999999999998</v>
      </c>
      <c r="G294" s="884"/>
      <c r="H294" s="884"/>
      <c r="I294" s="27"/>
      <c r="J294" s="27">
        <f>F294*I294</f>
        <v>0</v>
      </c>
      <c r="K294" s="884"/>
      <c r="L294" s="884"/>
      <c r="M294" s="27">
        <f>J294</f>
        <v>0</v>
      </c>
    </row>
    <row r="295" spans="1:13" s="278" customFormat="1" ht="13.5">
      <c r="A295" s="277"/>
      <c r="B295" s="277"/>
      <c r="C295" s="276" t="s">
        <v>273</v>
      </c>
      <c r="D295" s="28" t="s">
        <v>274</v>
      </c>
      <c r="E295" s="28" t="s">
        <v>54</v>
      </c>
      <c r="F295" s="26">
        <f>(300)/1000*1.02</f>
        <v>0.306</v>
      </c>
      <c r="G295" s="27"/>
      <c r="H295" s="27"/>
      <c r="I295" s="27"/>
      <c r="J295" s="27">
        <f>I295*F295</f>
        <v>0</v>
      </c>
      <c r="K295" s="27"/>
      <c r="L295" s="27">
        <f>K295*F295</f>
        <v>0</v>
      </c>
      <c r="M295" s="27">
        <f>L295+J295+H295</f>
        <v>0</v>
      </c>
    </row>
    <row r="296" spans="1:13" s="278" customFormat="1" ht="13.5">
      <c r="A296" s="277"/>
      <c r="B296" s="277"/>
      <c r="C296" s="276" t="s">
        <v>275</v>
      </c>
      <c r="D296" s="28" t="s">
        <v>274</v>
      </c>
      <c r="E296" s="28" t="s">
        <v>54</v>
      </c>
      <c r="F296" s="26">
        <f>(550)/1000*1.02</f>
        <v>0.561</v>
      </c>
      <c r="G296" s="27"/>
      <c r="H296" s="27"/>
      <c r="I296" s="27"/>
      <c r="J296" s="27">
        <f>I296*F296</f>
        <v>0</v>
      </c>
      <c r="K296" s="27"/>
      <c r="L296" s="27">
        <f>K296*F296</f>
        <v>0</v>
      </c>
      <c r="M296" s="27">
        <f>L296+J296+H296</f>
        <v>0</v>
      </c>
    </row>
    <row r="297" spans="1:13" s="278" customFormat="1" ht="13.5">
      <c r="A297" s="117"/>
      <c r="B297" s="118"/>
      <c r="C297" s="603" t="s">
        <v>47</v>
      </c>
      <c r="D297" s="118" t="s">
        <v>45</v>
      </c>
      <c r="E297" s="285">
        <v>0.63</v>
      </c>
      <c r="F297" s="286">
        <f>F288*E297</f>
        <v>3.15</v>
      </c>
      <c r="G297" s="903"/>
      <c r="H297" s="904"/>
      <c r="I297" s="905"/>
      <c r="J297" s="286">
        <f>F297*I297</f>
        <v>0</v>
      </c>
      <c r="K297" s="903"/>
      <c r="L297" s="904"/>
      <c r="M297" s="905">
        <f>J297</f>
        <v>0</v>
      </c>
    </row>
    <row r="298" spans="1:13" s="687" customFormat="1" ht="15.75">
      <c r="A298" s="685">
        <v>9</v>
      </c>
      <c r="B298" s="686" t="s">
        <v>873</v>
      </c>
      <c r="C298" s="135" t="s">
        <v>875</v>
      </c>
      <c r="D298" s="692" t="s">
        <v>46</v>
      </c>
      <c r="E298" s="693"/>
      <c r="F298" s="249">
        <v>5</v>
      </c>
      <c r="G298" s="906"/>
      <c r="H298" s="906"/>
      <c r="I298" s="907"/>
      <c r="J298" s="907"/>
      <c r="K298" s="906"/>
      <c r="L298" s="906"/>
      <c r="M298" s="907"/>
    </row>
    <row r="299" spans="1:13" s="684" customFormat="1" ht="15.75">
      <c r="A299" s="682"/>
      <c r="B299" s="682"/>
      <c r="C299" s="196" t="s">
        <v>43</v>
      </c>
      <c r="D299" s="659" t="s">
        <v>15</v>
      </c>
      <c r="E299" s="660">
        <v>3.27</v>
      </c>
      <c r="F299" s="26">
        <f>F298*E299</f>
        <v>16.35</v>
      </c>
      <c r="G299" s="908"/>
      <c r="H299" s="908">
        <f>F299*G299</f>
        <v>0</v>
      </c>
      <c r="I299" s="909"/>
      <c r="J299" s="909"/>
      <c r="K299" s="909"/>
      <c r="L299" s="909"/>
      <c r="M299" s="908">
        <f>H299</f>
        <v>0</v>
      </c>
    </row>
    <row r="300" spans="1:13" s="684" customFormat="1" ht="15.75">
      <c r="A300" s="682"/>
      <c r="B300" s="683"/>
      <c r="C300" s="196" t="s">
        <v>44</v>
      </c>
      <c r="D300" s="659" t="s">
        <v>45</v>
      </c>
      <c r="E300" s="660">
        <v>1</v>
      </c>
      <c r="F300" s="26">
        <f>F298*E300</f>
        <v>5</v>
      </c>
      <c r="G300" s="909"/>
      <c r="H300" s="909"/>
      <c r="I300" s="909"/>
      <c r="J300" s="909"/>
      <c r="K300" s="908"/>
      <c r="L300" s="908">
        <f>F300*K300</f>
        <v>0</v>
      </c>
      <c r="M300" s="908">
        <f>L300</f>
        <v>0</v>
      </c>
    </row>
    <row r="301" spans="1:13" s="684" customFormat="1" ht="15.75">
      <c r="A301" s="682"/>
      <c r="B301" s="654"/>
      <c r="C301" s="196" t="s">
        <v>876</v>
      </c>
      <c r="D301" s="659" t="s">
        <v>46</v>
      </c>
      <c r="E301" s="660">
        <v>1.015</v>
      </c>
      <c r="F301" s="26">
        <f>F298*E301</f>
        <v>5.074999999999999</v>
      </c>
      <c r="G301" s="909"/>
      <c r="H301" s="909"/>
      <c r="I301" s="908"/>
      <c r="J301" s="908">
        <f aca="true" t="shared" si="23" ref="J301:J306">F301*I301</f>
        <v>0</v>
      </c>
      <c r="K301" s="909"/>
      <c r="L301" s="909"/>
      <c r="M301" s="908">
        <f aca="true" t="shared" si="24" ref="M301:M306">J301</f>
        <v>0</v>
      </c>
    </row>
    <row r="302" spans="1:13" s="684" customFormat="1" ht="15.75">
      <c r="A302" s="682"/>
      <c r="B302" s="683"/>
      <c r="C302" s="196" t="s">
        <v>267</v>
      </c>
      <c r="D302" s="659" t="s">
        <v>16</v>
      </c>
      <c r="E302" s="660">
        <v>0.609</v>
      </c>
      <c r="F302" s="26">
        <f>F298*E302</f>
        <v>3.045</v>
      </c>
      <c r="G302" s="909"/>
      <c r="H302" s="909"/>
      <c r="I302" s="908"/>
      <c r="J302" s="908">
        <f t="shared" si="23"/>
        <v>0</v>
      </c>
      <c r="K302" s="909"/>
      <c r="L302" s="909"/>
      <c r="M302" s="908">
        <f t="shared" si="24"/>
        <v>0</v>
      </c>
    </row>
    <row r="303" spans="1:13" s="688" customFormat="1" ht="15.75">
      <c r="A303" s="682"/>
      <c r="B303" s="683"/>
      <c r="C303" s="196" t="s">
        <v>874</v>
      </c>
      <c r="D303" s="659" t="s">
        <v>46</v>
      </c>
      <c r="E303" s="661">
        <f>0.0006+0.0088+0.0008+0.0069</f>
        <v>0.0171</v>
      </c>
      <c r="F303" s="26">
        <f>F298*E303</f>
        <v>0.0855</v>
      </c>
      <c r="G303" s="909"/>
      <c r="H303" s="909"/>
      <c r="I303" s="908"/>
      <c r="J303" s="908">
        <f t="shared" si="23"/>
        <v>0</v>
      </c>
      <c r="K303" s="909"/>
      <c r="L303" s="909"/>
      <c r="M303" s="908">
        <f t="shared" si="24"/>
        <v>0</v>
      </c>
    </row>
    <row r="304" spans="1:13" s="278" customFormat="1" ht="13.5">
      <c r="A304" s="277"/>
      <c r="B304" s="277"/>
      <c r="C304" s="276" t="s">
        <v>273</v>
      </c>
      <c r="D304" s="28" t="s">
        <v>274</v>
      </c>
      <c r="E304" s="28" t="s">
        <v>54</v>
      </c>
      <c r="F304" s="27">
        <f>(11+99+31)/1000*1.02</f>
        <v>0.14381999999999998</v>
      </c>
      <c r="G304" s="27"/>
      <c r="H304" s="27"/>
      <c r="I304" s="27"/>
      <c r="J304" s="27">
        <f>I304*F304</f>
        <v>0</v>
      </c>
      <c r="K304" s="27"/>
      <c r="L304" s="27">
        <f>K304*F304</f>
        <v>0</v>
      </c>
      <c r="M304" s="27">
        <f>L304+J304+H304</f>
        <v>0</v>
      </c>
    </row>
    <row r="305" spans="1:13" s="278" customFormat="1" ht="13.5">
      <c r="A305" s="277"/>
      <c r="B305" s="277"/>
      <c r="C305" s="276" t="s">
        <v>276</v>
      </c>
      <c r="D305" s="28" t="s">
        <v>274</v>
      </c>
      <c r="E305" s="28" t="s">
        <v>54</v>
      </c>
      <c r="F305" s="26">
        <f>12/1000*1.02</f>
        <v>0.012240000000000001</v>
      </c>
      <c r="G305" s="27"/>
      <c r="H305" s="27"/>
      <c r="I305" s="27"/>
      <c r="J305" s="27">
        <f>I305*F305</f>
        <v>0</v>
      </c>
      <c r="K305" s="27"/>
      <c r="L305" s="27">
        <f>K305*F305</f>
        <v>0</v>
      </c>
      <c r="M305" s="27">
        <f>L305+J305+H305</f>
        <v>0</v>
      </c>
    </row>
    <row r="306" spans="1:13" s="684" customFormat="1" ht="15.75">
      <c r="A306" s="689"/>
      <c r="B306" s="690"/>
      <c r="C306" s="602" t="s">
        <v>47</v>
      </c>
      <c r="D306" s="658" t="s">
        <v>45</v>
      </c>
      <c r="E306" s="691">
        <v>0.23</v>
      </c>
      <c r="F306" s="710">
        <f>F298*E306</f>
        <v>1.1500000000000001</v>
      </c>
      <c r="G306" s="910"/>
      <c r="H306" s="911"/>
      <c r="I306" s="912"/>
      <c r="J306" s="913">
        <f t="shared" si="23"/>
        <v>0</v>
      </c>
      <c r="K306" s="910"/>
      <c r="L306" s="911"/>
      <c r="M306" s="912">
        <f t="shared" si="24"/>
        <v>0</v>
      </c>
    </row>
    <row r="307" spans="1:13" s="687" customFormat="1" ht="27">
      <c r="A307" s="685">
        <v>9</v>
      </c>
      <c r="B307" s="686" t="s">
        <v>873</v>
      </c>
      <c r="C307" s="135" t="s">
        <v>881</v>
      </c>
      <c r="D307" s="692" t="s">
        <v>46</v>
      </c>
      <c r="E307" s="693"/>
      <c r="F307" s="249">
        <v>6</v>
      </c>
      <c r="G307" s="906"/>
      <c r="H307" s="906"/>
      <c r="I307" s="907"/>
      <c r="J307" s="907"/>
      <c r="K307" s="906"/>
      <c r="L307" s="906"/>
      <c r="M307" s="907"/>
    </row>
    <row r="308" spans="1:13" s="684" customFormat="1" ht="15.75">
      <c r="A308" s="682"/>
      <c r="B308" s="682"/>
      <c r="C308" s="196" t="s">
        <v>43</v>
      </c>
      <c r="D308" s="659" t="s">
        <v>15</v>
      </c>
      <c r="E308" s="660">
        <v>3.27</v>
      </c>
      <c r="F308" s="26">
        <f>F307*E308</f>
        <v>19.62</v>
      </c>
      <c r="G308" s="908"/>
      <c r="H308" s="908">
        <f>F308*G308</f>
        <v>0</v>
      </c>
      <c r="I308" s="909"/>
      <c r="J308" s="909"/>
      <c r="K308" s="909"/>
      <c r="L308" s="909"/>
      <c r="M308" s="908">
        <f>H308</f>
        <v>0</v>
      </c>
    </row>
    <row r="309" spans="1:13" s="684" customFormat="1" ht="15.75">
      <c r="A309" s="682"/>
      <c r="B309" s="683"/>
      <c r="C309" s="196" t="s">
        <v>44</v>
      </c>
      <c r="D309" s="659" t="s">
        <v>45</v>
      </c>
      <c r="E309" s="660">
        <v>1</v>
      </c>
      <c r="F309" s="26">
        <f>F307*E309</f>
        <v>6</v>
      </c>
      <c r="G309" s="909"/>
      <c r="H309" s="909"/>
      <c r="I309" s="909"/>
      <c r="J309" s="909"/>
      <c r="K309" s="908"/>
      <c r="L309" s="908">
        <f>F309*K309</f>
        <v>0</v>
      </c>
      <c r="M309" s="908">
        <f>L309</f>
        <v>0</v>
      </c>
    </row>
    <row r="310" spans="1:13" s="684" customFormat="1" ht="15.75">
      <c r="A310" s="682"/>
      <c r="B310" s="654"/>
      <c r="C310" s="196" t="s">
        <v>876</v>
      </c>
      <c r="D310" s="659" t="s">
        <v>46</v>
      </c>
      <c r="E310" s="660">
        <v>1.015</v>
      </c>
      <c r="F310" s="26">
        <f>F307*E310</f>
        <v>6.09</v>
      </c>
      <c r="G310" s="909"/>
      <c r="H310" s="909"/>
      <c r="I310" s="908"/>
      <c r="J310" s="908">
        <f>F310*I310</f>
        <v>0</v>
      </c>
      <c r="K310" s="909"/>
      <c r="L310" s="909"/>
      <c r="M310" s="908">
        <f>J310</f>
        <v>0</v>
      </c>
    </row>
    <row r="311" spans="1:13" s="684" customFormat="1" ht="15.75">
      <c r="A311" s="682"/>
      <c r="B311" s="683"/>
      <c r="C311" s="196" t="s">
        <v>267</v>
      </c>
      <c r="D311" s="659" t="s">
        <v>16</v>
      </c>
      <c r="E311" s="660">
        <v>0.609</v>
      </c>
      <c r="F311" s="26">
        <f>F307*E311</f>
        <v>3.654</v>
      </c>
      <c r="G311" s="909"/>
      <c r="H311" s="909"/>
      <c r="I311" s="908"/>
      <c r="J311" s="908">
        <f>F311*I311</f>
        <v>0</v>
      </c>
      <c r="K311" s="909"/>
      <c r="L311" s="909"/>
      <c r="M311" s="908">
        <f>J311</f>
        <v>0</v>
      </c>
    </row>
    <row r="312" spans="1:13" s="688" customFormat="1" ht="15.75">
      <c r="A312" s="682"/>
      <c r="B312" s="683"/>
      <c r="C312" s="196" t="s">
        <v>874</v>
      </c>
      <c r="D312" s="659" t="s">
        <v>46</v>
      </c>
      <c r="E312" s="661">
        <f>0.0006+0.0088+0.0008+0.0069</f>
        <v>0.0171</v>
      </c>
      <c r="F312" s="26">
        <f>F307*E312</f>
        <v>0.1026</v>
      </c>
      <c r="G312" s="909"/>
      <c r="H312" s="909"/>
      <c r="I312" s="908"/>
      <c r="J312" s="908">
        <f>F312*I312</f>
        <v>0</v>
      </c>
      <c r="K312" s="909"/>
      <c r="L312" s="909"/>
      <c r="M312" s="908">
        <f>J312</f>
        <v>0</v>
      </c>
    </row>
    <row r="313" spans="1:13" s="684" customFormat="1" ht="15.75">
      <c r="A313" s="689"/>
      <c r="B313" s="690"/>
      <c r="C313" s="196" t="s">
        <v>47</v>
      </c>
      <c r="D313" s="658" t="s">
        <v>45</v>
      </c>
      <c r="E313" s="691">
        <v>0.23</v>
      </c>
      <c r="F313" s="710">
        <f>F307*E313</f>
        <v>1.3800000000000001</v>
      </c>
      <c r="G313" s="910"/>
      <c r="H313" s="911"/>
      <c r="I313" s="912"/>
      <c r="J313" s="913">
        <f>F313*I313</f>
        <v>0</v>
      </c>
      <c r="K313" s="910"/>
      <c r="L313" s="911"/>
      <c r="M313" s="912">
        <f>J313</f>
        <v>0</v>
      </c>
    </row>
    <row r="314" spans="1:13" s="31" customFormat="1" ht="21.75" customHeight="1">
      <c r="A314" s="116"/>
      <c r="C314" s="625" t="s">
        <v>311</v>
      </c>
      <c r="E314" s="25"/>
      <c r="F314" s="35"/>
      <c r="G314" s="914"/>
      <c r="H314" s="915"/>
      <c r="I314" s="916"/>
      <c r="J314" s="201"/>
      <c r="K314" s="914"/>
      <c r="L314" s="915"/>
      <c r="M314" s="916"/>
    </row>
    <row r="315" spans="1:13" s="289" customFormat="1" ht="60" customHeight="1">
      <c r="A315" s="221">
        <v>1</v>
      </c>
      <c r="B315" s="288" t="s">
        <v>312</v>
      </c>
      <c r="C315" s="604" t="s">
        <v>318</v>
      </c>
      <c r="D315" s="33" t="s">
        <v>629</v>
      </c>
      <c r="E315" s="249"/>
      <c r="F315" s="34">
        <f>600/1000</f>
        <v>0.6</v>
      </c>
      <c r="G315" s="34"/>
      <c r="H315" s="34"/>
      <c r="I315" s="885"/>
      <c r="J315" s="885"/>
      <c r="K315" s="885"/>
      <c r="L315" s="885"/>
      <c r="M315" s="34"/>
    </row>
    <row r="316" spans="1:13" s="278" customFormat="1" ht="13.5">
      <c r="A316" s="116"/>
      <c r="B316" s="116"/>
      <c r="C316" s="196" t="s">
        <v>43</v>
      </c>
      <c r="D316" s="28" t="s">
        <v>15</v>
      </c>
      <c r="E316" s="26">
        <v>16.5</v>
      </c>
      <c r="F316" s="27">
        <f>F315*E316</f>
        <v>9.9</v>
      </c>
      <c r="G316" s="27"/>
      <c r="H316" s="27">
        <f>F316*G316</f>
        <v>0</v>
      </c>
      <c r="I316" s="884"/>
      <c r="J316" s="884"/>
      <c r="K316" s="884"/>
      <c r="L316" s="884"/>
      <c r="M316" s="27">
        <f>H316</f>
        <v>0</v>
      </c>
    </row>
    <row r="317" spans="1:13" s="278" customFormat="1" ht="13.5">
      <c r="A317" s="117"/>
      <c r="B317" s="290" t="s">
        <v>313</v>
      </c>
      <c r="C317" s="196" t="s">
        <v>165</v>
      </c>
      <c r="D317" s="28" t="s">
        <v>70</v>
      </c>
      <c r="E317" s="26">
        <v>37</v>
      </c>
      <c r="F317" s="27">
        <f>F315*E317</f>
        <v>22.2</v>
      </c>
      <c r="G317" s="27"/>
      <c r="H317" s="27"/>
      <c r="I317" s="27"/>
      <c r="J317" s="27"/>
      <c r="K317" s="27"/>
      <c r="L317" s="27">
        <f>F317*K317</f>
        <v>0</v>
      </c>
      <c r="M317" s="27">
        <f>L317</f>
        <v>0</v>
      </c>
    </row>
    <row r="318" spans="1:13" s="278" customFormat="1" ht="13.5">
      <c r="A318" s="116"/>
      <c r="B318" s="31"/>
      <c r="C318" s="28"/>
      <c r="D318" s="28"/>
      <c r="E318" s="26"/>
      <c r="F318" s="27"/>
      <c r="G318" s="27"/>
      <c r="H318" s="27"/>
      <c r="I318" s="27"/>
      <c r="J318" s="27"/>
      <c r="K318" s="27"/>
      <c r="L318" s="27"/>
      <c r="M318" s="27"/>
    </row>
    <row r="319" spans="1:13" s="289" customFormat="1" ht="30" customHeight="1">
      <c r="A319" s="255">
        <v>2</v>
      </c>
      <c r="B319" s="291" t="s">
        <v>314</v>
      </c>
      <c r="C319" s="135" t="s">
        <v>801</v>
      </c>
      <c r="D319" s="33" t="s">
        <v>630</v>
      </c>
      <c r="E319" s="34"/>
      <c r="F319" s="34">
        <f>600/100</f>
        <v>6</v>
      </c>
      <c r="G319" s="34"/>
      <c r="H319" s="34"/>
      <c r="I319" s="34"/>
      <c r="J319" s="34"/>
      <c r="K319" s="917"/>
      <c r="L319" s="34"/>
      <c r="M319" s="34"/>
    </row>
    <row r="320" spans="1:13" s="278" customFormat="1" ht="13.5">
      <c r="A320" s="117"/>
      <c r="B320" s="117"/>
      <c r="C320" s="196" t="s">
        <v>43</v>
      </c>
      <c r="D320" s="28" t="s">
        <v>15</v>
      </c>
      <c r="E320" s="27">
        <v>206</v>
      </c>
      <c r="F320" s="27">
        <f>F319*E320</f>
        <v>1236</v>
      </c>
      <c r="G320" s="27"/>
      <c r="H320" s="27">
        <f>F320*G320</f>
        <v>0</v>
      </c>
      <c r="I320" s="884"/>
      <c r="J320" s="884"/>
      <c r="K320" s="884"/>
      <c r="L320" s="884"/>
      <c r="M320" s="27">
        <f>H320</f>
        <v>0</v>
      </c>
    </row>
    <row r="321" spans="1:13" s="31" customFormat="1" ht="29.25" customHeight="1">
      <c r="A321" s="292">
        <v>3</v>
      </c>
      <c r="B321" s="293" t="s">
        <v>315</v>
      </c>
      <c r="C321" s="626" t="s">
        <v>809</v>
      </c>
      <c r="D321" s="293" t="s">
        <v>185</v>
      </c>
      <c r="E321" s="294"/>
      <c r="F321" s="295">
        <f>F319*100*1.8</f>
        <v>1080</v>
      </c>
      <c r="G321" s="918"/>
      <c r="H321" s="295"/>
      <c r="I321" s="919"/>
      <c r="J321" s="920"/>
      <c r="K321" s="919"/>
      <c r="L321" s="920"/>
      <c r="M321" s="918"/>
    </row>
    <row r="322" spans="1:13" s="31" customFormat="1" ht="20.25" customHeight="1">
      <c r="A322" s="117"/>
      <c r="B322" s="118"/>
      <c r="C322" s="196" t="s">
        <v>43</v>
      </c>
      <c r="D322" s="28" t="s">
        <v>15</v>
      </c>
      <c r="E322" s="26">
        <v>0.53</v>
      </c>
      <c r="F322" s="27">
        <f>552*0.328+28*1.8</f>
        <v>231.45600000000002</v>
      </c>
      <c r="G322" s="27"/>
      <c r="H322" s="27">
        <f>F322*G322</f>
        <v>0</v>
      </c>
      <c r="I322" s="884"/>
      <c r="J322" s="884"/>
      <c r="K322" s="884"/>
      <c r="L322" s="884"/>
      <c r="M322" s="27">
        <f>H322</f>
        <v>0</v>
      </c>
    </row>
    <row r="323" spans="1:13" s="31" customFormat="1" ht="13.5">
      <c r="A323" s="22">
        <v>4</v>
      </c>
      <c r="B323" s="23" t="s">
        <v>188</v>
      </c>
      <c r="C323" s="605" t="s">
        <v>186</v>
      </c>
      <c r="D323" s="23"/>
      <c r="E323" s="296"/>
      <c r="F323" s="297">
        <f>(F315*1000+F319*100)*1.8</f>
        <v>2160</v>
      </c>
      <c r="G323" s="921"/>
      <c r="H323" s="922"/>
      <c r="I323" s="921"/>
      <c r="J323" s="922"/>
      <c r="K323" s="921"/>
      <c r="L323" s="922"/>
      <c r="M323" s="921"/>
    </row>
    <row r="324" spans="1:13" s="31" customFormat="1" ht="13.5">
      <c r="A324" s="138"/>
      <c r="B324" s="139" t="s">
        <v>316</v>
      </c>
      <c r="C324" s="606" t="s">
        <v>317</v>
      </c>
      <c r="D324" s="139" t="s">
        <v>185</v>
      </c>
      <c r="E324" s="298">
        <v>1</v>
      </c>
      <c r="F324" s="299">
        <f>F323*E324</f>
        <v>2160</v>
      </c>
      <c r="G324" s="923"/>
      <c r="H324" s="299"/>
      <c r="I324" s="924"/>
      <c r="J324" s="925"/>
      <c r="K324" s="923"/>
      <c r="L324" s="299">
        <f>F324*K324</f>
        <v>0</v>
      </c>
      <c r="M324" s="923">
        <f>L324</f>
        <v>0</v>
      </c>
    </row>
    <row r="325" spans="1:13" s="278" customFormat="1" ht="13.5">
      <c r="A325" s="116">
        <v>5</v>
      </c>
      <c r="B325" s="116" t="s">
        <v>302</v>
      </c>
      <c r="C325" s="627" t="s">
        <v>810</v>
      </c>
      <c r="D325" s="31" t="s">
        <v>46</v>
      </c>
      <c r="E325" s="25"/>
      <c r="F325" s="201">
        <v>20</v>
      </c>
      <c r="G325" s="926"/>
      <c r="H325" s="927"/>
      <c r="I325" s="926"/>
      <c r="J325" s="927"/>
      <c r="K325" s="926"/>
      <c r="L325" s="927"/>
      <c r="M325" s="926"/>
    </row>
    <row r="326" spans="1:13" s="278" customFormat="1" ht="13.5">
      <c r="A326" s="116"/>
      <c r="C326" s="602" t="s">
        <v>43</v>
      </c>
      <c r="D326" s="28" t="s">
        <v>15</v>
      </c>
      <c r="E326" s="26">
        <v>1.64</v>
      </c>
      <c r="F326" s="27">
        <f>F325*E326</f>
        <v>32.8</v>
      </c>
      <c r="G326" s="27"/>
      <c r="H326" s="27">
        <f>F326*G326</f>
        <v>0</v>
      </c>
      <c r="I326" s="884"/>
      <c r="J326" s="884"/>
      <c r="K326" s="884"/>
      <c r="L326" s="884"/>
      <c r="M326" s="27">
        <f>H326</f>
        <v>0</v>
      </c>
    </row>
    <row r="327" spans="1:13" s="278" customFormat="1" ht="13.5">
      <c r="A327" s="116"/>
      <c r="B327" s="31"/>
      <c r="C327" s="276" t="s">
        <v>44</v>
      </c>
      <c r="D327" s="28" t="s">
        <v>45</v>
      </c>
      <c r="E327" s="26">
        <v>0.529</v>
      </c>
      <c r="F327" s="27">
        <f>F325*E327</f>
        <v>10.58</v>
      </c>
      <c r="G327" s="884"/>
      <c r="H327" s="884"/>
      <c r="I327" s="884"/>
      <c r="J327" s="884"/>
      <c r="K327" s="27"/>
      <c r="L327" s="27">
        <f>F327*K327</f>
        <v>0</v>
      </c>
      <c r="M327" s="27">
        <f>L327</f>
        <v>0</v>
      </c>
    </row>
    <row r="328" spans="1:13" s="278" customFormat="1" ht="13.5">
      <c r="A328" s="117"/>
      <c r="B328" s="118"/>
      <c r="C328" s="276" t="s">
        <v>303</v>
      </c>
      <c r="D328" s="28" t="s">
        <v>46</v>
      </c>
      <c r="E328" s="26">
        <v>1.15</v>
      </c>
      <c r="F328" s="27">
        <f>F325*E328</f>
        <v>23</v>
      </c>
      <c r="G328" s="884"/>
      <c r="H328" s="884"/>
      <c r="I328" s="27"/>
      <c r="J328" s="27">
        <f>F328*I328</f>
        <v>0</v>
      </c>
      <c r="K328" s="884"/>
      <c r="L328" s="884"/>
      <c r="M328" s="27">
        <f>J328</f>
        <v>0</v>
      </c>
    </row>
    <row r="329" spans="1:13" s="278" customFormat="1" ht="13.5">
      <c r="A329" s="116">
        <v>6</v>
      </c>
      <c r="B329" s="116" t="s">
        <v>319</v>
      </c>
      <c r="C329" s="607" t="s">
        <v>320</v>
      </c>
      <c r="D329" s="150" t="s">
        <v>46</v>
      </c>
      <c r="E329" s="256"/>
      <c r="F329" s="300">
        <v>8</v>
      </c>
      <c r="G329" s="892"/>
      <c r="H329" s="892"/>
      <c r="I329" s="892"/>
      <c r="J329" s="892"/>
      <c r="K329" s="892"/>
      <c r="L329" s="892"/>
      <c r="M329" s="892"/>
    </row>
    <row r="330" spans="1:13" s="278" customFormat="1" ht="13.5">
      <c r="A330" s="116"/>
      <c r="C330" s="196" t="s">
        <v>43</v>
      </c>
      <c r="D330" s="150" t="s">
        <v>15</v>
      </c>
      <c r="E330" s="256">
        <v>1.37</v>
      </c>
      <c r="F330" s="300">
        <f>F329*E330</f>
        <v>10.96</v>
      </c>
      <c r="G330" s="300"/>
      <c r="H330" s="300">
        <f>F330*G330</f>
        <v>0</v>
      </c>
      <c r="I330" s="892"/>
      <c r="J330" s="892"/>
      <c r="K330" s="892"/>
      <c r="L330" s="892"/>
      <c r="M330" s="300">
        <f>H330</f>
        <v>0</v>
      </c>
    </row>
    <row r="331" spans="1:13" s="278" customFormat="1" ht="13.5">
      <c r="A331" s="116"/>
      <c r="B331" s="31"/>
      <c r="C331" s="276" t="s">
        <v>44</v>
      </c>
      <c r="D331" s="33" t="s">
        <v>45</v>
      </c>
      <c r="E331" s="33">
        <v>0.283</v>
      </c>
      <c r="F331" s="34">
        <f>F329*E331</f>
        <v>2.264</v>
      </c>
      <c r="G331" s="34"/>
      <c r="H331" s="34"/>
      <c r="I331" s="34"/>
      <c r="J331" s="34"/>
      <c r="K331" s="34"/>
      <c r="L331" s="34">
        <f>F331*K331</f>
        <v>0</v>
      </c>
      <c r="M331" s="34">
        <f>L331</f>
        <v>0</v>
      </c>
    </row>
    <row r="332" spans="1:13" s="278" customFormat="1" ht="13.5">
      <c r="A332" s="116"/>
      <c r="B332" s="31"/>
      <c r="C332" s="276" t="s">
        <v>321</v>
      </c>
      <c r="D332" s="33" t="s">
        <v>46</v>
      </c>
      <c r="E332" s="33">
        <v>1.02</v>
      </c>
      <c r="F332" s="34">
        <f>F329*E332</f>
        <v>8.16</v>
      </c>
      <c r="G332" s="34"/>
      <c r="H332" s="34"/>
      <c r="I332" s="34"/>
      <c r="J332" s="34">
        <f>F332*I332</f>
        <v>0</v>
      </c>
      <c r="K332" s="34"/>
      <c r="L332" s="34"/>
      <c r="M332" s="34">
        <f>J332</f>
        <v>0</v>
      </c>
    </row>
    <row r="333" spans="1:13" s="278" customFormat="1" ht="13.5">
      <c r="A333" s="117"/>
      <c r="B333" s="118"/>
      <c r="C333" s="276" t="s">
        <v>47</v>
      </c>
      <c r="D333" s="33" t="s">
        <v>45</v>
      </c>
      <c r="E333" s="33">
        <v>0.62</v>
      </c>
      <c r="F333" s="34">
        <f>F329*E333</f>
        <v>4.96</v>
      </c>
      <c r="G333" s="34"/>
      <c r="H333" s="34"/>
      <c r="I333" s="34"/>
      <c r="J333" s="34">
        <f>F333*I333</f>
        <v>0</v>
      </c>
      <c r="K333" s="34"/>
      <c r="L333" s="34"/>
      <c r="M333" s="34">
        <f>J333</f>
        <v>0</v>
      </c>
    </row>
    <row r="334" spans="1:13" s="302" customFormat="1" ht="31.5" customHeight="1">
      <c r="A334" s="255">
        <v>7</v>
      </c>
      <c r="B334" s="302" t="s">
        <v>326</v>
      </c>
      <c r="C334" s="604" t="s">
        <v>327</v>
      </c>
      <c r="D334" s="33" t="s">
        <v>71</v>
      </c>
      <c r="E334" s="249"/>
      <c r="F334" s="249">
        <f>11.25*5.5/100</f>
        <v>0.61875</v>
      </c>
      <c r="G334" s="881"/>
      <c r="H334" s="881"/>
      <c r="I334" s="881"/>
      <c r="J334" s="881"/>
      <c r="K334" s="881"/>
      <c r="L334" s="881"/>
      <c r="M334" s="881"/>
    </row>
    <row r="335" spans="1:13" s="31" customFormat="1" ht="13.5">
      <c r="A335" s="116"/>
      <c r="B335" s="253"/>
      <c r="C335" s="304" t="s">
        <v>43</v>
      </c>
      <c r="D335" s="33" t="s">
        <v>15</v>
      </c>
      <c r="E335" s="249">
        <v>14</v>
      </c>
      <c r="F335" s="249">
        <f>F334*E335</f>
        <v>8.6625</v>
      </c>
      <c r="G335" s="34"/>
      <c r="H335" s="34">
        <f>F335*G335</f>
        <v>0</v>
      </c>
      <c r="I335" s="881"/>
      <c r="J335" s="881"/>
      <c r="K335" s="881"/>
      <c r="L335" s="881"/>
      <c r="M335" s="34">
        <f>H335</f>
        <v>0</v>
      </c>
    </row>
    <row r="336" spans="1:13" s="29" customFormat="1" ht="13.5">
      <c r="A336" s="116"/>
      <c r="B336" s="31"/>
      <c r="C336" s="304" t="s">
        <v>44</v>
      </c>
      <c r="D336" s="33" t="s">
        <v>45</v>
      </c>
      <c r="E336" s="249">
        <v>2.76</v>
      </c>
      <c r="F336" s="249">
        <f>F334*E336</f>
        <v>1.7077499999999999</v>
      </c>
      <c r="G336" s="881"/>
      <c r="H336" s="881"/>
      <c r="I336" s="881"/>
      <c r="J336" s="881"/>
      <c r="K336" s="34"/>
      <c r="L336" s="34">
        <f>F336*K336</f>
        <v>0</v>
      </c>
      <c r="M336" s="34">
        <f>L336</f>
        <v>0</v>
      </c>
    </row>
    <row r="337" spans="1:13" s="278" customFormat="1" ht="13.5">
      <c r="A337" s="116"/>
      <c r="B337" s="31"/>
      <c r="C337" s="304" t="s">
        <v>68</v>
      </c>
      <c r="D337" s="33" t="s">
        <v>46</v>
      </c>
      <c r="E337" s="249">
        <v>2.5</v>
      </c>
      <c r="F337" s="249">
        <f>F334*E337</f>
        <v>1.546875</v>
      </c>
      <c r="G337" s="881"/>
      <c r="H337" s="881"/>
      <c r="I337" s="34"/>
      <c r="J337" s="34">
        <f>F337*I337</f>
        <v>0</v>
      </c>
      <c r="K337" s="881"/>
      <c r="L337" s="881"/>
      <c r="M337" s="34">
        <f>J337</f>
        <v>0</v>
      </c>
    </row>
    <row r="338" spans="1:13" s="278" customFormat="1" ht="13.5">
      <c r="A338" s="116"/>
      <c r="B338" s="31"/>
      <c r="C338" s="305" t="s">
        <v>325</v>
      </c>
      <c r="D338" s="31" t="s">
        <v>16</v>
      </c>
      <c r="E338" s="249">
        <v>110</v>
      </c>
      <c r="F338" s="249">
        <f>F334*E338</f>
        <v>68.0625</v>
      </c>
      <c r="G338" s="881"/>
      <c r="H338" s="881"/>
      <c r="I338" s="34"/>
      <c r="J338" s="34">
        <f>F338*I338</f>
        <v>0</v>
      </c>
      <c r="K338" s="881"/>
      <c r="L338" s="881"/>
      <c r="M338" s="34">
        <f>J338</f>
        <v>0</v>
      </c>
    </row>
    <row r="339" spans="1:13" s="29" customFormat="1" ht="13.5">
      <c r="A339" s="116"/>
      <c r="B339" s="31"/>
      <c r="C339" s="304" t="s">
        <v>323</v>
      </c>
      <c r="D339" s="33" t="s">
        <v>185</v>
      </c>
      <c r="E339" s="249">
        <v>0.22</v>
      </c>
      <c r="F339" s="249">
        <f>F334*E339</f>
        <v>0.136125</v>
      </c>
      <c r="G339" s="881"/>
      <c r="H339" s="881"/>
      <c r="I339" s="34"/>
      <c r="J339" s="34">
        <f>F339*I339</f>
        <v>0</v>
      </c>
      <c r="K339" s="881"/>
      <c r="L339" s="881"/>
      <c r="M339" s="34">
        <f>J339</f>
        <v>0</v>
      </c>
    </row>
    <row r="340" spans="1:13" s="29" customFormat="1" ht="13.5">
      <c r="A340" s="116"/>
      <c r="B340" s="31"/>
      <c r="C340" s="304" t="s">
        <v>47</v>
      </c>
      <c r="D340" s="33" t="s">
        <v>45</v>
      </c>
      <c r="E340" s="249">
        <v>3.72</v>
      </c>
      <c r="F340" s="249">
        <f>F334*E340</f>
        <v>2.30175</v>
      </c>
      <c r="G340" s="881"/>
      <c r="H340" s="881"/>
      <c r="I340" s="34"/>
      <c r="J340" s="34">
        <f>F340*I340</f>
        <v>0</v>
      </c>
      <c r="K340" s="881"/>
      <c r="L340" s="881"/>
      <c r="M340" s="34">
        <f>J340</f>
        <v>0</v>
      </c>
    </row>
    <row r="341" spans="1:13" s="115" customFormat="1" ht="33" customHeight="1">
      <c r="A341" s="251">
        <v>1</v>
      </c>
      <c r="B341" s="251" t="s">
        <v>328</v>
      </c>
      <c r="C341" s="608" t="s">
        <v>811</v>
      </c>
      <c r="D341" s="28" t="s">
        <v>46</v>
      </c>
      <c r="E341" s="26"/>
      <c r="F341" s="27">
        <v>74</v>
      </c>
      <c r="G341" s="884"/>
      <c r="H341" s="884"/>
      <c r="I341" s="884"/>
      <c r="J341" s="884"/>
      <c r="K341" s="27"/>
      <c r="L341" s="27"/>
      <c r="M341" s="27"/>
    </row>
    <row r="342" spans="1:13" s="115" customFormat="1" ht="13.5">
      <c r="A342" s="116"/>
      <c r="B342" s="116"/>
      <c r="C342" s="609" t="s">
        <v>43</v>
      </c>
      <c r="D342" s="28" t="s">
        <v>15</v>
      </c>
      <c r="E342" s="26">
        <v>9.58</v>
      </c>
      <c r="F342" s="27">
        <f>F341*E342</f>
        <v>708.92</v>
      </c>
      <c r="G342" s="27"/>
      <c r="H342" s="27">
        <f>F342*G342</f>
        <v>0</v>
      </c>
      <c r="I342" s="884"/>
      <c r="J342" s="884"/>
      <c r="K342" s="884"/>
      <c r="L342" s="884"/>
      <c r="M342" s="27">
        <f>H342</f>
        <v>0</v>
      </c>
    </row>
    <row r="343" spans="1:13" s="115" customFormat="1" ht="13.5">
      <c r="A343" s="116"/>
      <c r="B343" s="116"/>
      <c r="C343" s="609" t="s">
        <v>44</v>
      </c>
      <c r="D343" s="28" t="s">
        <v>45</v>
      </c>
      <c r="E343" s="26">
        <v>1.15</v>
      </c>
      <c r="F343" s="27">
        <f>F341*E343</f>
        <v>85.1</v>
      </c>
      <c r="G343" s="884"/>
      <c r="H343" s="884"/>
      <c r="I343" s="884"/>
      <c r="J343" s="884"/>
      <c r="K343" s="27"/>
      <c r="L343" s="27">
        <f>F343*K343</f>
        <v>0</v>
      </c>
      <c r="M343" s="27">
        <f>L343</f>
        <v>0</v>
      </c>
    </row>
    <row r="344" spans="1:13" s="115" customFormat="1" ht="13.5">
      <c r="A344" s="116"/>
      <c r="B344" s="116"/>
      <c r="C344" s="609" t="s">
        <v>272</v>
      </c>
      <c r="D344" s="28" t="s">
        <v>46</v>
      </c>
      <c r="E344" s="26">
        <v>1</v>
      </c>
      <c r="F344" s="27">
        <f>F341*E344</f>
        <v>74</v>
      </c>
      <c r="G344" s="884"/>
      <c r="H344" s="884"/>
      <c r="I344" s="27"/>
      <c r="J344" s="27">
        <f aca="true" t="shared" si="25" ref="J344:J351">F344*I344</f>
        <v>0</v>
      </c>
      <c r="K344" s="884"/>
      <c r="L344" s="884"/>
      <c r="M344" s="27">
        <f aca="true" t="shared" si="26" ref="M344:M351">J344</f>
        <v>0</v>
      </c>
    </row>
    <row r="345" spans="1:13" s="115" customFormat="1" ht="13.5">
      <c r="A345" s="116"/>
      <c r="B345" s="116"/>
      <c r="C345" s="609" t="s">
        <v>267</v>
      </c>
      <c r="D345" s="28" t="s">
        <v>16</v>
      </c>
      <c r="E345" s="26">
        <v>1.76</v>
      </c>
      <c r="F345" s="27">
        <f>F341*E345</f>
        <v>130.24</v>
      </c>
      <c r="G345" s="884"/>
      <c r="H345" s="884"/>
      <c r="I345" s="27"/>
      <c r="J345" s="27">
        <f t="shared" si="25"/>
        <v>0</v>
      </c>
      <c r="K345" s="884"/>
      <c r="L345" s="884"/>
      <c r="M345" s="27">
        <f t="shared" si="26"/>
        <v>0</v>
      </c>
    </row>
    <row r="346" spans="1:13" s="115" customFormat="1" ht="13.5">
      <c r="A346" s="116"/>
      <c r="B346" s="116"/>
      <c r="C346" s="609" t="s">
        <v>329</v>
      </c>
      <c r="D346" s="28" t="s">
        <v>46</v>
      </c>
      <c r="E346" s="30">
        <v>0.0033</v>
      </c>
      <c r="F346" s="27">
        <f>F341*E346</f>
        <v>0.2442</v>
      </c>
      <c r="G346" s="884"/>
      <c r="H346" s="884"/>
      <c r="I346" s="27"/>
      <c r="J346" s="27">
        <f t="shared" si="25"/>
        <v>0</v>
      </c>
      <c r="K346" s="884"/>
      <c r="L346" s="884"/>
      <c r="M346" s="27">
        <f t="shared" si="26"/>
        <v>0</v>
      </c>
    </row>
    <row r="347" spans="1:13" s="115" customFormat="1" ht="13.5">
      <c r="A347" s="116"/>
      <c r="B347" s="116"/>
      <c r="C347" s="609" t="s">
        <v>270</v>
      </c>
      <c r="D347" s="28" t="s">
        <v>46</v>
      </c>
      <c r="E347" s="30">
        <v>0.0366</v>
      </c>
      <c r="F347" s="27">
        <f>F341*E347</f>
        <v>2.7084</v>
      </c>
      <c r="G347" s="884"/>
      <c r="H347" s="884"/>
      <c r="I347" s="27"/>
      <c r="J347" s="27">
        <f t="shared" si="25"/>
        <v>0</v>
      </c>
      <c r="K347" s="884"/>
      <c r="L347" s="884"/>
      <c r="M347" s="27">
        <f t="shared" si="26"/>
        <v>0</v>
      </c>
    </row>
    <row r="348" spans="1:13" s="115" customFormat="1" ht="13.5">
      <c r="A348" s="116"/>
      <c r="B348" s="116"/>
      <c r="C348" s="609" t="s">
        <v>330</v>
      </c>
      <c r="D348" s="28" t="s">
        <v>49</v>
      </c>
      <c r="E348" s="26">
        <v>2.1</v>
      </c>
      <c r="F348" s="27">
        <f>F341*E348</f>
        <v>155.4</v>
      </c>
      <c r="G348" s="884"/>
      <c r="H348" s="884"/>
      <c r="I348" s="27"/>
      <c r="J348" s="27">
        <f t="shared" si="25"/>
        <v>0</v>
      </c>
      <c r="K348" s="884"/>
      <c r="L348" s="884"/>
      <c r="M348" s="27">
        <f t="shared" si="26"/>
        <v>0</v>
      </c>
    </row>
    <row r="349" spans="1:13" s="278" customFormat="1" ht="13.5">
      <c r="A349" s="116"/>
      <c r="B349" s="116"/>
      <c r="C349" s="609" t="s">
        <v>246</v>
      </c>
      <c r="D349" s="28" t="s">
        <v>49</v>
      </c>
      <c r="E349" s="26">
        <v>2.7</v>
      </c>
      <c r="F349" s="27">
        <f>F341*E349</f>
        <v>199.8</v>
      </c>
      <c r="G349" s="884"/>
      <c r="H349" s="884"/>
      <c r="I349" s="27"/>
      <c r="J349" s="27">
        <f t="shared" si="25"/>
        <v>0</v>
      </c>
      <c r="K349" s="884"/>
      <c r="L349" s="884"/>
      <c r="M349" s="27">
        <f t="shared" si="26"/>
        <v>0</v>
      </c>
    </row>
    <row r="350" spans="1:13" s="278" customFormat="1" ht="13.5">
      <c r="A350" s="611"/>
      <c r="B350" s="611"/>
      <c r="C350" s="610" t="s">
        <v>275</v>
      </c>
      <c r="D350" s="28" t="s">
        <v>274</v>
      </c>
      <c r="E350" s="28" t="s">
        <v>54</v>
      </c>
      <c r="F350" s="27">
        <v>4</v>
      </c>
      <c r="G350" s="27"/>
      <c r="H350" s="27"/>
      <c r="I350" s="27"/>
      <c r="J350" s="27">
        <f>I350*F350</f>
        <v>0</v>
      </c>
      <c r="K350" s="27"/>
      <c r="L350" s="27"/>
      <c r="M350" s="27">
        <f>L350+J350+H350</f>
        <v>0</v>
      </c>
    </row>
    <row r="351" spans="1:13" s="115" customFormat="1" ht="13.5">
      <c r="A351" s="117"/>
      <c r="B351" s="117"/>
      <c r="C351" s="609" t="s">
        <v>47</v>
      </c>
      <c r="D351" s="28" t="s">
        <v>45</v>
      </c>
      <c r="E351" s="26">
        <v>0.39</v>
      </c>
      <c r="F351" s="27">
        <f>F341*E351</f>
        <v>28.86</v>
      </c>
      <c r="G351" s="902"/>
      <c r="H351" s="902"/>
      <c r="I351" s="27"/>
      <c r="J351" s="27">
        <f t="shared" si="25"/>
        <v>0</v>
      </c>
      <c r="K351" s="884"/>
      <c r="L351" s="884"/>
      <c r="M351" s="27">
        <f t="shared" si="26"/>
        <v>0</v>
      </c>
    </row>
    <row r="352" spans="1:13" s="308" customFormat="1" ht="40.5">
      <c r="A352" s="306">
        <v>5</v>
      </c>
      <c r="B352" s="307" t="s">
        <v>322</v>
      </c>
      <c r="C352" s="604" t="s">
        <v>333</v>
      </c>
      <c r="D352" s="33" t="s">
        <v>71</v>
      </c>
      <c r="E352" s="249"/>
      <c r="F352" s="34">
        <f>((11.25+5.5)*2*4.5+11.25*5.5)/100</f>
        <v>2.12625</v>
      </c>
      <c r="G352" s="885"/>
      <c r="H352" s="885"/>
      <c r="I352" s="885"/>
      <c r="J352" s="885"/>
      <c r="K352" s="34"/>
      <c r="L352" s="34"/>
      <c r="M352" s="34"/>
    </row>
    <row r="353" spans="1:13" s="115" customFormat="1" ht="13.5">
      <c r="A353" s="116"/>
      <c r="C353" s="196" t="s">
        <v>43</v>
      </c>
      <c r="D353" s="28" t="s">
        <v>15</v>
      </c>
      <c r="E353" s="27">
        <v>47.8</v>
      </c>
      <c r="F353" s="27">
        <f>F352*E353</f>
        <v>101.63475</v>
      </c>
      <c r="G353" s="27"/>
      <c r="H353" s="27">
        <f>F353*G353</f>
        <v>0</v>
      </c>
      <c r="I353" s="884"/>
      <c r="J353" s="884"/>
      <c r="K353" s="884"/>
      <c r="L353" s="884"/>
      <c r="M353" s="27">
        <f>H353</f>
        <v>0</v>
      </c>
    </row>
    <row r="354" spans="1:13" s="115" customFormat="1" ht="13.5">
      <c r="A354" s="116"/>
      <c r="B354" s="31"/>
      <c r="C354" s="309" t="s">
        <v>44</v>
      </c>
      <c r="D354" s="28" t="s">
        <v>45</v>
      </c>
      <c r="E354" s="27">
        <v>3.33</v>
      </c>
      <c r="F354" s="27">
        <f>F352*E354</f>
        <v>7.0804125</v>
      </c>
      <c r="G354" s="884"/>
      <c r="H354" s="884"/>
      <c r="I354" s="884"/>
      <c r="J354" s="884"/>
      <c r="K354" s="27"/>
      <c r="L354" s="27">
        <f>F354*K354</f>
        <v>0</v>
      </c>
      <c r="M354" s="27">
        <f>L354</f>
        <v>0</v>
      </c>
    </row>
    <row r="355" spans="1:13" s="115" customFormat="1" ht="13.5">
      <c r="A355" s="116"/>
      <c r="B355" s="31"/>
      <c r="C355" s="310" t="s">
        <v>324</v>
      </c>
      <c r="D355" s="28" t="s">
        <v>16</v>
      </c>
      <c r="E355" s="27">
        <v>115</v>
      </c>
      <c r="F355" s="27">
        <f>F352*E355</f>
        <v>244.51875</v>
      </c>
      <c r="G355" s="884"/>
      <c r="H355" s="884"/>
      <c r="I355" s="27"/>
      <c r="J355" s="27">
        <f>F355*I355</f>
        <v>0</v>
      </c>
      <c r="K355" s="884"/>
      <c r="L355" s="884"/>
      <c r="M355" s="27">
        <f>J355</f>
        <v>0</v>
      </c>
    </row>
    <row r="356" spans="1:13" s="115" customFormat="1" ht="13.5">
      <c r="A356" s="116"/>
      <c r="B356" s="31"/>
      <c r="C356" s="310" t="s">
        <v>325</v>
      </c>
      <c r="D356" s="28" t="s">
        <v>16</v>
      </c>
      <c r="E356" s="27">
        <v>115</v>
      </c>
      <c r="F356" s="27">
        <f>F353*E356</f>
        <v>11687.99625</v>
      </c>
      <c r="G356" s="884"/>
      <c r="H356" s="884"/>
      <c r="I356" s="27"/>
      <c r="J356" s="27">
        <f>F356*I356</f>
        <v>0</v>
      </c>
      <c r="K356" s="884"/>
      <c r="L356" s="884"/>
      <c r="M356" s="27">
        <f>J356</f>
        <v>0</v>
      </c>
    </row>
    <row r="357" spans="1:13" s="115" customFormat="1" ht="13.5">
      <c r="A357" s="116"/>
      <c r="B357" s="31"/>
      <c r="C357" s="309" t="s">
        <v>323</v>
      </c>
      <c r="D357" s="28" t="s">
        <v>185</v>
      </c>
      <c r="E357" s="27">
        <v>0.44</v>
      </c>
      <c r="F357" s="27">
        <f>F352*E357</f>
        <v>0.9355500000000001</v>
      </c>
      <c r="G357" s="884"/>
      <c r="H357" s="884"/>
      <c r="I357" s="27"/>
      <c r="J357" s="27">
        <f>F357*I357</f>
        <v>0</v>
      </c>
      <c r="K357" s="884"/>
      <c r="L357" s="884"/>
      <c r="M357" s="27">
        <f>J357</f>
        <v>0</v>
      </c>
    </row>
    <row r="358" spans="1:13" s="115" customFormat="1" ht="13.5">
      <c r="A358" s="117"/>
      <c r="B358" s="118"/>
      <c r="C358" s="309" t="s">
        <v>47</v>
      </c>
      <c r="D358" s="28" t="s">
        <v>45</v>
      </c>
      <c r="E358" s="27">
        <v>7.68</v>
      </c>
      <c r="F358" s="27">
        <f>F352*E358</f>
        <v>16.3296</v>
      </c>
      <c r="G358" s="884"/>
      <c r="H358" s="884"/>
      <c r="I358" s="27"/>
      <c r="J358" s="27">
        <f>F358*I358</f>
        <v>0</v>
      </c>
      <c r="K358" s="884"/>
      <c r="L358" s="884"/>
      <c r="M358" s="27">
        <f>J358</f>
        <v>0</v>
      </c>
    </row>
    <row r="359" spans="1:13" s="293" customFormat="1" ht="54">
      <c r="A359" s="292">
        <v>1</v>
      </c>
      <c r="B359" s="312" t="s">
        <v>331</v>
      </c>
      <c r="C359" s="604" t="s">
        <v>803</v>
      </c>
      <c r="D359" s="33" t="s">
        <v>200</v>
      </c>
      <c r="E359" s="249"/>
      <c r="F359" s="249">
        <f>F352</f>
        <v>2.12625</v>
      </c>
      <c r="G359" s="885"/>
      <c r="H359" s="885"/>
      <c r="I359" s="34"/>
      <c r="J359" s="34"/>
      <c r="K359" s="885"/>
      <c r="L359" s="885"/>
      <c r="M359" s="34"/>
    </row>
    <row r="360" spans="1:13" s="29" customFormat="1" ht="13.5">
      <c r="A360" s="116"/>
      <c r="B360" s="116"/>
      <c r="C360" s="196" t="s">
        <v>43</v>
      </c>
      <c r="D360" s="28" t="s">
        <v>15</v>
      </c>
      <c r="E360" s="26">
        <v>38.1</v>
      </c>
      <c r="F360" s="26">
        <f>F359*E360</f>
        <v>81.01012500000002</v>
      </c>
      <c r="G360" s="27"/>
      <c r="H360" s="27">
        <f>F360*G360</f>
        <v>0</v>
      </c>
      <c r="I360" s="884"/>
      <c r="J360" s="884"/>
      <c r="K360" s="884"/>
      <c r="L360" s="884"/>
      <c r="M360" s="27">
        <f>H360</f>
        <v>0</v>
      </c>
    </row>
    <row r="361" spans="1:13" s="29" customFormat="1" ht="13.5">
      <c r="A361" s="116"/>
      <c r="B361" s="313"/>
      <c r="C361" s="196" t="s">
        <v>44</v>
      </c>
      <c r="D361" s="28" t="s">
        <v>45</v>
      </c>
      <c r="E361" s="26">
        <v>1.5</v>
      </c>
      <c r="F361" s="26">
        <f>F359*E361</f>
        <v>3.189375</v>
      </c>
      <c r="G361" s="884"/>
      <c r="H361" s="884"/>
      <c r="I361" s="884"/>
      <c r="J361" s="884"/>
      <c r="K361" s="27"/>
      <c r="L361" s="27">
        <f>F361*K361</f>
        <v>0</v>
      </c>
      <c r="M361" s="27">
        <f>L361</f>
        <v>0</v>
      </c>
    </row>
    <row r="362" spans="1:13" s="31" customFormat="1" ht="13.5">
      <c r="A362" s="116"/>
      <c r="B362" s="313"/>
      <c r="C362" s="196" t="s">
        <v>332</v>
      </c>
      <c r="D362" s="28" t="s">
        <v>46</v>
      </c>
      <c r="E362" s="26">
        <v>3.1</v>
      </c>
      <c r="F362" s="26">
        <f>F359*E362</f>
        <v>6.591375000000001</v>
      </c>
      <c r="G362" s="884"/>
      <c r="H362" s="884"/>
      <c r="I362" s="27"/>
      <c r="J362" s="27">
        <f>F362*I362</f>
        <v>0</v>
      </c>
      <c r="K362" s="884"/>
      <c r="L362" s="884"/>
      <c r="M362" s="27">
        <f>J362</f>
        <v>0</v>
      </c>
    </row>
    <row r="363" spans="1:13" s="31" customFormat="1" ht="13.5">
      <c r="A363" s="116"/>
      <c r="B363" s="313"/>
      <c r="C363" s="196" t="s">
        <v>802</v>
      </c>
      <c r="D363" s="28" t="s">
        <v>242</v>
      </c>
      <c r="E363" s="26">
        <v>50</v>
      </c>
      <c r="F363" s="26">
        <f>F359*E363</f>
        <v>106.31250000000001</v>
      </c>
      <c r="G363" s="884"/>
      <c r="H363" s="884"/>
      <c r="I363" s="27"/>
      <c r="J363" s="27">
        <f>F363*I363</f>
        <v>0</v>
      </c>
      <c r="K363" s="884"/>
      <c r="L363" s="884"/>
      <c r="M363" s="27">
        <f>J363</f>
        <v>0</v>
      </c>
    </row>
    <row r="364" spans="1:13" s="29" customFormat="1" ht="13.5">
      <c r="A364" s="117"/>
      <c r="B364" s="290"/>
      <c r="C364" s="196" t="s">
        <v>47</v>
      </c>
      <c r="D364" s="28" t="s">
        <v>45</v>
      </c>
      <c r="E364" s="26">
        <v>0.36</v>
      </c>
      <c r="F364" s="26">
        <f>F359*E364</f>
        <v>0.7654500000000001</v>
      </c>
      <c r="G364" s="884"/>
      <c r="H364" s="884"/>
      <c r="I364" s="27"/>
      <c r="J364" s="27">
        <f>F364*I364</f>
        <v>0</v>
      </c>
      <c r="K364" s="884"/>
      <c r="L364" s="884"/>
      <c r="M364" s="27">
        <f>J364</f>
        <v>0</v>
      </c>
    </row>
    <row r="365" spans="1:13" ht="13.5">
      <c r="A365" s="258"/>
      <c r="B365" s="258"/>
      <c r="C365" s="270" t="s">
        <v>24</v>
      </c>
      <c r="D365" s="259"/>
      <c r="E365" s="260"/>
      <c r="F365" s="261"/>
      <c r="G365" s="893"/>
      <c r="H365" s="895">
        <f>SUM(H209:H364)</f>
        <v>0</v>
      </c>
      <c r="I365" s="895"/>
      <c r="J365" s="895">
        <f>SUM(J209:J364)</f>
        <v>0</v>
      </c>
      <c r="K365" s="895"/>
      <c r="L365" s="895">
        <f>SUM(L209:L364)</f>
        <v>0</v>
      </c>
      <c r="M365" s="895">
        <f>L365+J365+H365</f>
        <v>0</v>
      </c>
    </row>
    <row r="366" spans="1:13" ht="13.5">
      <c r="A366" s="264"/>
      <c r="B366" s="264"/>
      <c r="C366" s="270" t="s">
        <v>30</v>
      </c>
      <c r="D366" s="265">
        <v>0</v>
      </c>
      <c r="E366" s="260"/>
      <c r="F366" s="266"/>
      <c r="G366" s="893"/>
      <c r="H366" s="894"/>
      <c r="I366" s="894"/>
      <c r="J366" s="894"/>
      <c r="K366" s="894"/>
      <c r="L366" s="262"/>
      <c r="M366" s="895">
        <f>M365*D366</f>
        <v>0</v>
      </c>
    </row>
    <row r="367" spans="1:13" ht="13.5">
      <c r="A367" s="264"/>
      <c r="B367" s="264"/>
      <c r="C367" s="270" t="s">
        <v>0</v>
      </c>
      <c r="D367" s="265"/>
      <c r="E367" s="267"/>
      <c r="F367" s="266"/>
      <c r="G367" s="893"/>
      <c r="H367" s="894"/>
      <c r="I367" s="894"/>
      <c r="J367" s="894"/>
      <c r="K367" s="894"/>
      <c r="L367" s="262"/>
      <c r="M367" s="895">
        <f>M365+M366</f>
        <v>0</v>
      </c>
    </row>
    <row r="368" spans="1:13" ht="13.5">
      <c r="A368" s="264"/>
      <c r="B368" s="264"/>
      <c r="C368" s="270" t="s">
        <v>17</v>
      </c>
      <c r="D368" s="265">
        <v>0</v>
      </c>
      <c r="E368" s="260"/>
      <c r="F368" s="266"/>
      <c r="G368" s="893"/>
      <c r="H368" s="894"/>
      <c r="I368" s="894"/>
      <c r="J368" s="894"/>
      <c r="K368" s="894"/>
      <c r="L368" s="262"/>
      <c r="M368" s="895">
        <f>M367*D368</f>
        <v>0</v>
      </c>
    </row>
    <row r="369" spans="1:13" ht="13.5">
      <c r="A369" s="264"/>
      <c r="B369" s="264"/>
      <c r="C369" s="270" t="s">
        <v>334</v>
      </c>
      <c r="D369" s="259"/>
      <c r="E369" s="260"/>
      <c r="F369" s="266"/>
      <c r="G369" s="893"/>
      <c r="H369" s="894"/>
      <c r="I369" s="894"/>
      <c r="J369" s="894"/>
      <c r="K369" s="894"/>
      <c r="L369" s="262"/>
      <c r="M369" s="895">
        <f>M368+M367</f>
        <v>0</v>
      </c>
    </row>
    <row r="370" spans="1:13" ht="13.5">
      <c r="A370" s="264"/>
      <c r="B370" s="264"/>
      <c r="C370" s="270" t="s">
        <v>812</v>
      </c>
      <c r="D370" s="259"/>
      <c r="E370" s="260"/>
      <c r="F370" s="266"/>
      <c r="G370" s="893"/>
      <c r="H370" s="894"/>
      <c r="I370" s="894"/>
      <c r="J370" s="894"/>
      <c r="K370" s="894"/>
      <c r="L370" s="262"/>
      <c r="M370" s="895">
        <f>M206+M369</f>
        <v>0</v>
      </c>
    </row>
    <row r="371" ht="13.5">
      <c r="C371" s="314"/>
    </row>
    <row r="373" spans="2:9" ht="13.5">
      <c r="B373" s="207"/>
      <c r="C373" s="177"/>
      <c r="G373" s="177"/>
      <c r="I373" s="177"/>
    </row>
    <row r="374" spans="2:9" ht="13.5">
      <c r="B374" s="207"/>
      <c r="C374" s="177"/>
      <c r="G374" s="177"/>
      <c r="I374" s="177"/>
    </row>
    <row r="375" spans="2:9" ht="13.5">
      <c r="B375" s="207"/>
      <c r="C375" s="177"/>
      <c r="G375" s="177"/>
      <c r="I375" s="177"/>
    </row>
  </sheetData>
  <sheetProtection/>
  <autoFilter ref="A9:M364"/>
  <mergeCells count="19">
    <mergeCell ref="D2:J2"/>
    <mergeCell ref="K6:K8"/>
    <mergeCell ref="J6:J8"/>
    <mergeCell ref="G5:H5"/>
    <mergeCell ref="D6:D8"/>
    <mergeCell ref="E6:E8"/>
    <mergeCell ref="D5:F5"/>
    <mergeCell ref="G6:G8"/>
    <mergeCell ref="I6:I8"/>
    <mergeCell ref="C5:C8"/>
    <mergeCell ref="F6:F8"/>
    <mergeCell ref="A1:M1"/>
    <mergeCell ref="A3:M3"/>
    <mergeCell ref="A4:M4"/>
    <mergeCell ref="I5:J5"/>
    <mergeCell ref="K5:L5"/>
    <mergeCell ref="L6:L8"/>
    <mergeCell ref="M6:M8"/>
    <mergeCell ref="H6:H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0"/>
  <sheetViews>
    <sheetView view="pageBreakPreview" zoomScaleSheetLayoutView="100" zoomScalePageLayoutView="0" workbookViewId="0" topLeftCell="A7">
      <selection activeCell="A17" sqref="A17:IV17"/>
    </sheetView>
  </sheetViews>
  <sheetFormatPr defaultColWidth="9.140625" defaultRowHeight="15"/>
  <cols>
    <col min="1" max="1" width="3.57421875" style="86" customWidth="1"/>
    <col min="2" max="2" width="9.28125" style="86" bestFit="1" customWidth="1"/>
    <col min="3" max="3" width="26.57421875" style="103" customWidth="1"/>
    <col min="4" max="5" width="9.28125" style="85" bestFit="1" customWidth="1"/>
    <col min="6" max="6" width="8.421875" style="104" customWidth="1"/>
    <col min="7" max="7" width="10.140625" style="85" bestFit="1" customWidth="1"/>
    <col min="8" max="8" width="11.28125" style="85" customWidth="1"/>
    <col min="9" max="9" width="9.28125" style="85" bestFit="1" customWidth="1"/>
    <col min="10" max="10" width="10.57421875" style="86" customWidth="1"/>
    <col min="11" max="12" width="9.28125" style="86" bestFit="1" customWidth="1"/>
    <col min="13" max="13" width="11.421875" style="86" customWidth="1"/>
    <col min="14" max="14" width="11.28125" style="87" bestFit="1" customWidth="1"/>
    <col min="15" max="16" width="9.140625" style="87" customWidth="1"/>
    <col min="17" max="16384" width="9.140625" style="86" customWidth="1"/>
  </cols>
  <sheetData>
    <row r="1" spans="1:16" s="80" customFormat="1" ht="15">
      <c r="A1" s="1119" t="s">
        <v>1216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5"/>
      <c r="M1" s="1095"/>
      <c r="N1" s="79"/>
      <c r="O1" s="79"/>
      <c r="P1" s="79"/>
    </row>
    <row r="2" spans="1:16" s="82" customFormat="1" ht="15">
      <c r="A2" s="1080" t="s">
        <v>610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  <c r="N2" s="81"/>
      <c r="O2" s="81"/>
      <c r="P2" s="81"/>
    </row>
    <row r="3" spans="1:16" s="84" customFormat="1" ht="15">
      <c r="A3" s="1120" t="s">
        <v>605</v>
      </c>
      <c r="B3" s="1121"/>
      <c r="C3" s="1121"/>
      <c r="D3" s="1121"/>
      <c r="E3" s="1121"/>
      <c r="F3" s="1121"/>
      <c r="G3" s="1121"/>
      <c r="H3" s="1121"/>
      <c r="I3" s="1121"/>
      <c r="J3" s="1121"/>
      <c r="K3" s="1121"/>
      <c r="L3" s="1121"/>
      <c r="M3" s="1121"/>
      <c r="N3" s="83"/>
      <c r="O3" s="83"/>
      <c r="P3" s="83"/>
    </row>
    <row r="4" spans="1:14" s="9" customFormat="1" ht="30" customHeight="1">
      <c r="A4" s="10"/>
      <c r="B4" s="4"/>
      <c r="C4" s="1116" t="s">
        <v>59</v>
      </c>
      <c r="D4" s="1122" t="s">
        <v>612</v>
      </c>
      <c r="E4" s="1123"/>
      <c r="F4" s="1124"/>
      <c r="G4" s="1122" t="s">
        <v>74</v>
      </c>
      <c r="H4" s="1124"/>
      <c r="I4" s="1122" t="s">
        <v>75</v>
      </c>
      <c r="J4" s="1124"/>
      <c r="K4" s="1125" t="s">
        <v>613</v>
      </c>
      <c r="L4" s="1126"/>
      <c r="M4" s="120"/>
      <c r="N4" s="13"/>
    </row>
    <row r="5" spans="1:14" s="9" customFormat="1" ht="9.75" customHeight="1">
      <c r="A5" s="7"/>
      <c r="B5" s="4"/>
      <c r="C5" s="1117"/>
      <c r="D5" s="1116" t="s">
        <v>77</v>
      </c>
      <c r="E5" s="1110" t="s">
        <v>78</v>
      </c>
      <c r="F5" s="1113" t="s">
        <v>37</v>
      </c>
      <c r="G5" s="1116" t="s">
        <v>38</v>
      </c>
      <c r="H5" s="1113" t="s">
        <v>37</v>
      </c>
      <c r="I5" s="1110" t="s">
        <v>38</v>
      </c>
      <c r="J5" s="1113" t="s">
        <v>37</v>
      </c>
      <c r="K5" s="1110" t="s">
        <v>38</v>
      </c>
      <c r="L5" s="1113" t="s">
        <v>37</v>
      </c>
      <c r="M5" s="1107" t="s">
        <v>36</v>
      </c>
      <c r="N5" s="13"/>
    </row>
    <row r="6" spans="1:14" s="9" customFormat="1" ht="13.5">
      <c r="A6" s="7" t="s">
        <v>1</v>
      </c>
      <c r="B6" s="5" t="s">
        <v>35</v>
      </c>
      <c r="C6" s="1117"/>
      <c r="D6" s="1117"/>
      <c r="E6" s="1111"/>
      <c r="F6" s="1114"/>
      <c r="G6" s="1117"/>
      <c r="H6" s="1114"/>
      <c r="I6" s="1111"/>
      <c r="J6" s="1114"/>
      <c r="K6" s="1111"/>
      <c r="L6" s="1114"/>
      <c r="M6" s="1108"/>
      <c r="N6" s="13"/>
    </row>
    <row r="7" spans="1:14" s="9" customFormat="1" ht="6" customHeight="1">
      <c r="A7" s="6"/>
      <c r="B7" s="8"/>
      <c r="C7" s="1118"/>
      <c r="D7" s="1118"/>
      <c r="E7" s="1112"/>
      <c r="F7" s="1115"/>
      <c r="G7" s="1118"/>
      <c r="H7" s="1115"/>
      <c r="I7" s="1112"/>
      <c r="J7" s="1115"/>
      <c r="K7" s="1112"/>
      <c r="L7" s="1115"/>
      <c r="M7" s="1109"/>
      <c r="N7" s="13"/>
    </row>
    <row r="8" spans="1:14" s="16" customFormat="1" ht="14.25" thickBot="1">
      <c r="A8" s="1" t="s">
        <v>2</v>
      </c>
      <c r="B8" s="2" t="s">
        <v>3</v>
      </c>
      <c r="C8" s="3" t="s">
        <v>4</v>
      </c>
      <c r="D8" s="1" t="s">
        <v>5</v>
      </c>
      <c r="E8" s="2" t="s">
        <v>6</v>
      </c>
      <c r="F8" s="17" t="s">
        <v>7</v>
      </c>
      <c r="G8" s="3" t="s">
        <v>8</v>
      </c>
      <c r="H8" s="1" t="s">
        <v>9</v>
      </c>
      <c r="I8" s="2" t="s">
        <v>10</v>
      </c>
      <c r="J8" s="3" t="s">
        <v>11</v>
      </c>
      <c r="K8" s="2" t="s">
        <v>12</v>
      </c>
      <c r="L8" s="1" t="s">
        <v>13</v>
      </c>
      <c r="M8" s="2" t="s">
        <v>14</v>
      </c>
      <c r="N8" s="15"/>
    </row>
    <row r="9" spans="1:14" s="9" customFormat="1" ht="48.75" customHeight="1">
      <c r="A9" s="11"/>
      <c r="B9" s="12"/>
      <c r="C9" s="125" t="s">
        <v>927</v>
      </c>
      <c r="D9" s="126"/>
      <c r="E9" s="127"/>
      <c r="F9" s="128"/>
      <c r="G9" s="129"/>
      <c r="H9" s="129"/>
      <c r="I9" s="129"/>
      <c r="J9" s="129"/>
      <c r="K9" s="129"/>
      <c r="L9" s="130"/>
      <c r="M9" s="131"/>
      <c r="N9" s="13"/>
    </row>
    <row r="10" spans="1:14" s="14" customFormat="1" ht="129" customHeight="1">
      <c r="A10" s="18"/>
      <c r="B10" s="121"/>
      <c r="C10" s="623" t="s">
        <v>804</v>
      </c>
      <c r="D10" s="132" t="s">
        <v>614</v>
      </c>
      <c r="E10" s="133"/>
      <c r="F10" s="622">
        <v>1</v>
      </c>
      <c r="G10" s="122"/>
      <c r="H10" s="122">
        <f>F10*G10</f>
        <v>0</v>
      </c>
      <c r="I10" s="122"/>
      <c r="J10" s="122">
        <f>F10*I10</f>
        <v>0</v>
      </c>
      <c r="K10" s="122">
        <v>0</v>
      </c>
      <c r="L10" s="123">
        <f>F10*K10</f>
        <v>0</v>
      </c>
      <c r="M10" s="124">
        <f>L10+J10+H10</f>
        <v>0</v>
      </c>
      <c r="N10" s="19"/>
    </row>
    <row r="11" spans="1:16" s="89" customFormat="1" ht="15.75">
      <c r="A11" s="90"/>
      <c r="B11" s="90"/>
      <c r="C11" s="621" t="s">
        <v>79</v>
      </c>
      <c r="D11" s="91"/>
      <c r="E11" s="92"/>
      <c r="F11" s="91"/>
      <c r="G11" s="93"/>
      <c r="H11" s="94">
        <f>SUM(H10)</f>
        <v>0</v>
      </c>
      <c r="I11" s="94"/>
      <c r="J11" s="94">
        <f>SUM(J10)</f>
        <v>0</v>
      </c>
      <c r="K11" s="94"/>
      <c r="L11" s="95">
        <f>SUM(L10)</f>
        <v>0</v>
      </c>
      <c r="M11" s="94">
        <f>H11+J11+L11</f>
        <v>0</v>
      </c>
      <c r="N11" s="88"/>
      <c r="O11" s="88"/>
      <c r="P11" s="88"/>
    </row>
    <row r="12" spans="1:16" s="89" customFormat="1" ht="67.5" customHeight="1">
      <c r="A12" s="90"/>
      <c r="B12" s="90"/>
      <c r="C12" s="621" t="s">
        <v>615</v>
      </c>
      <c r="D12" s="91"/>
      <c r="E12" s="92">
        <v>0</v>
      </c>
      <c r="F12" s="91"/>
      <c r="G12" s="93"/>
      <c r="H12" s="94"/>
      <c r="I12" s="94"/>
      <c r="J12" s="94"/>
      <c r="K12" s="94"/>
      <c r="L12" s="95"/>
      <c r="M12" s="624">
        <f>H11*E12</f>
        <v>0</v>
      </c>
      <c r="N12" s="88"/>
      <c r="O12" s="88"/>
      <c r="P12" s="88"/>
    </row>
    <row r="13" spans="1:16" s="89" customFormat="1" ht="15.75">
      <c r="A13" s="90"/>
      <c r="B13" s="90"/>
      <c r="C13" s="621" t="s">
        <v>79</v>
      </c>
      <c r="D13" s="91"/>
      <c r="E13" s="96"/>
      <c r="F13" s="91"/>
      <c r="G13" s="93"/>
      <c r="H13" s="94"/>
      <c r="I13" s="94"/>
      <c r="J13" s="94"/>
      <c r="K13" s="94"/>
      <c r="L13" s="95"/>
      <c r="M13" s="94">
        <f>SUM(M11:M12)</f>
        <v>0</v>
      </c>
      <c r="N13" s="97"/>
      <c r="O13" s="88"/>
      <c r="P13" s="88"/>
    </row>
    <row r="14" spans="1:16" s="89" customFormat="1" ht="63">
      <c r="A14" s="90"/>
      <c r="B14" s="90"/>
      <c r="C14" s="808" t="s">
        <v>888</v>
      </c>
      <c r="D14" s="91"/>
      <c r="E14" s="92">
        <v>0</v>
      </c>
      <c r="F14" s="91"/>
      <c r="G14" s="93"/>
      <c r="H14" s="94"/>
      <c r="I14" s="94"/>
      <c r="J14" s="94"/>
      <c r="K14" s="94"/>
      <c r="L14" s="95"/>
      <c r="M14" s="624">
        <f>(M13-J11)*E14</f>
        <v>0</v>
      </c>
      <c r="N14" s="88"/>
      <c r="O14" s="88"/>
      <c r="P14" s="88"/>
    </row>
    <row r="15" spans="1:16" s="89" customFormat="1" ht="15.75">
      <c r="A15" s="90"/>
      <c r="B15" s="90"/>
      <c r="C15" s="621" t="s">
        <v>79</v>
      </c>
      <c r="D15" s="91"/>
      <c r="E15" s="96"/>
      <c r="F15" s="91"/>
      <c r="G15" s="93"/>
      <c r="H15" s="94"/>
      <c r="I15" s="94"/>
      <c r="J15" s="94"/>
      <c r="K15" s="94"/>
      <c r="L15" s="95"/>
      <c r="M15" s="94">
        <f>SUM(M13:M14)</f>
        <v>0</v>
      </c>
      <c r="N15" s="97"/>
      <c r="O15" s="97"/>
      <c r="P15" s="88"/>
    </row>
    <row r="16" spans="1:16" s="89" customFormat="1" ht="25.5" customHeight="1">
      <c r="A16" s="98"/>
      <c r="B16" s="98"/>
      <c r="C16" s="99"/>
      <c r="D16" s="100"/>
      <c r="E16" s="134"/>
      <c r="F16" s="100"/>
      <c r="G16" s="101"/>
      <c r="H16" s="102"/>
      <c r="I16" s="102"/>
      <c r="J16" s="102"/>
      <c r="K16" s="102"/>
      <c r="L16" s="102"/>
      <c r="M16" s="102"/>
      <c r="N16" s="97"/>
      <c r="O16" s="97"/>
      <c r="P16" s="88"/>
    </row>
    <row r="18" ht="76.5" customHeight="1"/>
    <row r="19" spans="3:10" ht="15">
      <c r="C19" s="74"/>
      <c r="D19" s="105"/>
      <c r="E19" s="106"/>
      <c r="F19" s="107"/>
      <c r="G19" s="107"/>
      <c r="H19" s="107"/>
      <c r="I19" s="108"/>
      <c r="J19" s="75"/>
    </row>
    <row r="20" spans="3:9" ht="15">
      <c r="C20" s="76"/>
      <c r="D20" s="76"/>
      <c r="E20" s="77"/>
      <c r="F20" s="78"/>
      <c r="G20" s="78"/>
      <c r="H20" s="78"/>
      <c r="I20" s="108"/>
    </row>
  </sheetData>
  <sheetProtection/>
  <mergeCells count="18">
    <mergeCell ref="A1:M1"/>
    <mergeCell ref="A2:M2"/>
    <mergeCell ref="A3:M3"/>
    <mergeCell ref="H5:H7"/>
    <mergeCell ref="L5:L7"/>
    <mergeCell ref="C4:C7"/>
    <mergeCell ref="D4:F4"/>
    <mergeCell ref="K4:L4"/>
    <mergeCell ref="G4:H4"/>
    <mergeCell ref="I4:J4"/>
    <mergeCell ref="M5:M7"/>
    <mergeCell ref="K5:K7"/>
    <mergeCell ref="J5:J7"/>
    <mergeCell ref="I5:I7"/>
    <mergeCell ref="D5:D7"/>
    <mergeCell ref="E5:E7"/>
    <mergeCell ref="F5:F7"/>
    <mergeCell ref="G5:G7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view="pageBreakPreview" zoomScale="80" zoomScaleSheetLayoutView="80" zoomScalePageLayoutView="0" workbookViewId="0" topLeftCell="A16">
      <selection activeCell="Q224" sqref="Q224"/>
    </sheetView>
  </sheetViews>
  <sheetFormatPr defaultColWidth="9.140625" defaultRowHeight="15"/>
  <cols>
    <col min="1" max="1" width="3.57421875" style="178" customWidth="1"/>
    <col min="2" max="2" width="9.8515625" style="178" bestFit="1" customWidth="1"/>
    <col min="3" max="3" width="40.57421875" style="199" customWidth="1"/>
    <col min="4" max="4" width="9.8515625" style="178" bestFit="1" customWidth="1"/>
    <col min="5" max="5" width="9.7109375" style="178" bestFit="1" customWidth="1"/>
    <col min="6" max="6" width="9.8515625" style="200" customWidth="1"/>
    <col min="7" max="7" width="11.7109375" style="178" bestFit="1" customWidth="1"/>
    <col min="8" max="8" width="12.421875" style="178" customWidth="1"/>
    <col min="9" max="9" width="13.140625" style="178" customWidth="1"/>
    <col min="10" max="10" width="12.7109375" style="178" customWidth="1"/>
    <col min="11" max="11" width="10.8515625" style="178" bestFit="1" customWidth="1"/>
    <col min="12" max="12" width="11.00390625" style="178" bestFit="1" customWidth="1"/>
    <col min="13" max="13" width="12.28125" style="178" customWidth="1"/>
    <col min="14" max="16384" width="9.140625" style="178" customWidth="1"/>
  </cols>
  <sheetData>
    <row r="1" spans="1:13" s="177" customFormat="1" ht="27.75" customHeight="1">
      <c r="A1" s="1131" t="s">
        <v>1216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</row>
    <row r="2" spans="1:13" s="177" customFormat="1" ht="28.5" customHeight="1">
      <c r="A2" s="1080" t="s">
        <v>610</v>
      </c>
      <c r="B2" s="1095"/>
      <c r="C2" s="1095"/>
      <c r="D2" s="1095"/>
      <c r="E2" s="1095"/>
      <c r="F2" s="1095"/>
      <c r="G2" s="1095"/>
      <c r="H2" s="1095"/>
      <c r="I2" s="1095"/>
      <c r="J2" s="1095"/>
      <c r="K2" s="1095"/>
      <c r="L2" s="1095"/>
      <c r="M2" s="1095"/>
    </row>
    <row r="3" spans="1:13" s="177" customFormat="1" ht="24" customHeight="1">
      <c r="A3" s="1133" t="s">
        <v>631</v>
      </c>
      <c r="B3" s="1132"/>
      <c r="C3" s="1132"/>
      <c r="D3" s="1132"/>
      <c r="E3" s="1132"/>
      <c r="F3" s="1132"/>
      <c r="G3" s="1132"/>
      <c r="H3" s="1132"/>
      <c r="I3" s="1132"/>
      <c r="J3" s="1132"/>
      <c r="K3" s="1132"/>
      <c r="L3" s="1132"/>
      <c r="M3" s="1132"/>
    </row>
    <row r="4" spans="1:13" s="177" customFormat="1" ht="56.25" customHeight="1">
      <c r="A4" s="1134" t="s">
        <v>632</v>
      </c>
      <c r="B4" s="1136" t="s">
        <v>633</v>
      </c>
      <c r="C4" s="1136" t="s">
        <v>634</v>
      </c>
      <c r="D4" s="1136" t="s">
        <v>635</v>
      </c>
      <c r="E4" s="1127" t="s">
        <v>636</v>
      </c>
      <c r="F4" s="1130"/>
      <c r="G4" s="1127" t="s">
        <v>74</v>
      </c>
      <c r="H4" s="1128"/>
      <c r="I4" s="1127" t="s">
        <v>75</v>
      </c>
      <c r="J4" s="1130"/>
      <c r="K4" s="1127" t="s">
        <v>637</v>
      </c>
      <c r="L4" s="1128"/>
      <c r="M4" s="1129" t="s">
        <v>0</v>
      </c>
    </row>
    <row r="5" spans="1:13" s="19" customFormat="1" ht="66">
      <c r="A5" s="1135"/>
      <c r="B5" s="1137"/>
      <c r="C5" s="1137"/>
      <c r="D5" s="1137"/>
      <c r="E5" s="141" t="s">
        <v>638</v>
      </c>
      <c r="F5" s="141" t="s">
        <v>79</v>
      </c>
      <c r="G5" s="141" t="s">
        <v>639</v>
      </c>
      <c r="H5" s="676" t="s">
        <v>79</v>
      </c>
      <c r="I5" s="141" t="s">
        <v>639</v>
      </c>
      <c r="J5" s="141" t="s">
        <v>79</v>
      </c>
      <c r="K5" s="141" t="s">
        <v>639</v>
      </c>
      <c r="L5" s="676" t="s">
        <v>79</v>
      </c>
      <c r="M5" s="1129"/>
    </row>
    <row r="6" spans="1:13" s="179" customFormat="1" ht="16.5">
      <c r="A6" s="142">
        <v>1</v>
      </c>
      <c r="B6" s="143">
        <v>2</v>
      </c>
      <c r="C6" s="144">
        <v>3</v>
      </c>
      <c r="D6" s="144">
        <v>4</v>
      </c>
      <c r="E6" s="144">
        <v>5</v>
      </c>
      <c r="F6" s="144">
        <v>6</v>
      </c>
      <c r="G6" s="145">
        <v>7</v>
      </c>
      <c r="H6" s="146">
        <v>8</v>
      </c>
      <c r="I6" s="145">
        <v>9</v>
      </c>
      <c r="J6" s="145">
        <v>10</v>
      </c>
      <c r="K6" s="145">
        <v>11</v>
      </c>
      <c r="L6" s="146">
        <v>12</v>
      </c>
      <c r="M6" s="142">
        <v>13</v>
      </c>
    </row>
    <row r="7" spans="1:13" s="179" customFormat="1" ht="157.5">
      <c r="A7" s="147"/>
      <c r="B7" s="148" t="s">
        <v>640</v>
      </c>
      <c r="C7" s="154" t="s">
        <v>642</v>
      </c>
      <c r="D7" s="150" t="s">
        <v>58</v>
      </c>
      <c r="E7" s="150"/>
      <c r="F7" s="172">
        <v>2</v>
      </c>
      <c r="G7" s="928"/>
      <c r="H7" s="929">
        <f>F7*G7</f>
        <v>0</v>
      </c>
      <c r="I7" s="928"/>
      <c r="J7" s="929">
        <f aca="true" t="shared" si="0" ref="J7:J56">F7*I7</f>
        <v>0</v>
      </c>
      <c r="K7" s="929"/>
      <c r="L7" s="930">
        <f aca="true" t="shared" si="1" ref="L7:L57">F7*K7</f>
        <v>0</v>
      </c>
      <c r="M7" s="929">
        <f aca="true" t="shared" si="2" ref="M7:M57">H7+J7+L7</f>
        <v>0</v>
      </c>
    </row>
    <row r="8" spans="1:13" s="179" customFormat="1" ht="15.75">
      <c r="A8" s="147"/>
      <c r="B8" s="148"/>
      <c r="C8" s="151" t="s">
        <v>641</v>
      </c>
      <c r="D8" s="152" t="s">
        <v>15</v>
      </c>
      <c r="E8" s="153">
        <v>57.4</v>
      </c>
      <c r="F8" s="173">
        <f>F7*E8</f>
        <v>114.8</v>
      </c>
      <c r="G8" s="929"/>
      <c r="H8" s="929">
        <f aca="true" t="shared" si="3" ref="H8:H66">F8*G8</f>
        <v>0</v>
      </c>
      <c r="I8" s="929"/>
      <c r="J8" s="929">
        <f t="shared" si="0"/>
        <v>0</v>
      </c>
      <c r="K8" s="929"/>
      <c r="L8" s="930">
        <f t="shared" si="1"/>
        <v>0</v>
      </c>
      <c r="M8" s="929">
        <f t="shared" si="2"/>
        <v>0</v>
      </c>
    </row>
    <row r="9" spans="1:13" s="179" customFormat="1" ht="15.75">
      <c r="A9" s="147"/>
      <c r="B9" s="148"/>
      <c r="C9" s="151" t="s">
        <v>44</v>
      </c>
      <c r="D9" s="152" t="s">
        <v>45</v>
      </c>
      <c r="E9" s="153">
        <v>16.7</v>
      </c>
      <c r="F9" s="173">
        <f>F7*E9</f>
        <v>33.4</v>
      </c>
      <c r="G9" s="929"/>
      <c r="H9" s="929">
        <f t="shared" si="3"/>
        <v>0</v>
      </c>
      <c r="I9" s="929"/>
      <c r="J9" s="929">
        <f t="shared" si="0"/>
        <v>0</v>
      </c>
      <c r="K9" s="929"/>
      <c r="L9" s="930">
        <f t="shared" si="1"/>
        <v>0</v>
      </c>
      <c r="M9" s="929">
        <f t="shared" si="2"/>
        <v>0</v>
      </c>
    </row>
    <row r="10" spans="1:13" s="179" customFormat="1" ht="157.5">
      <c r="A10" s="147">
        <v>2</v>
      </c>
      <c r="B10" s="148" t="s">
        <v>640</v>
      </c>
      <c r="C10" s="149" t="s">
        <v>643</v>
      </c>
      <c r="D10" s="150" t="s">
        <v>58</v>
      </c>
      <c r="E10" s="150"/>
      <c r="F10" s="172">
        <v>1</v>
      </c>
      <c r="G10" s="931"/>
      <c r="H10" s="929">
        <f t="shared" si="3"/>
        <v>0</v>
      </c>
      <c r="I10" s="929"/>
      <c r="J10" s="929">
        <f t="shared" si="0"/>
        <v>0</v>
      </c>
      <c r="K10" s="929"/>
      <c r="L10" s="930">
        <f t="shared" si="1"/>
        <v>0</v>
      </c>
      <c r="M10" s="929">
        <f t="shared" si="2"/>
        <v>0</v>
      </c>
    </row>
    <row r="11" spans="1:13" ht="15.75">
      <c r="A11" s="147"/>
      <c r="B11" s="148"/>
      <c r="C11" s="151" t="s">
        <v>641</v>
      </c>
      <c r="D11" s="152" t="s">
        <v>15</v>
      </c>
      <c r="E11" s="153">
        <v>57.4</v>
      </c>
      <c r="F11" s="173">
        <f>F10*E11</f>
        <v>57.4</v>
      </c>
      <c r="G11" s="931"/>
      <c r="H11" s="929">
        <f t="shared" si="3"/>
        <v>0</v>
      </c>
      <c r="I11" s="929"/>
      <c r="J11" s="929">
        <f t="shared" si="0"/>
        <v>0</v>
      </c>
      <c r="K11" s="929"/>
      <c r="L11" s="930">
        <f t="shared" si="1"/>
        <v>0</v>
      </c>
      <c r="M11" s="929">
        <f t="shared" si="2"/>
        <v>0</v>
      </c>
    </row>
    <row r="12" spans="1:13" ht="15.75">
      <c r="A12" s="147"/>
      <c r="B12" s="148"/>
      <c r="C12" s="151" t="s">
        <v>44</v>
      </c>
      <c r="D12" s="152" t="s">
        <v>45</v>
      </c>
      <c r="E12" s="153">
        <v>16.7</v>
      </c>
      <c r="F12" s="173">
        <f>F10*E12</f>
        <v>16.7</v>
      </c>
      <c r="G12" s="931"/>
      <c r="H12" s="929">
        <f t="shared" si="3"/>
        <v>0</v>
      </c>
      <c r="I12" s="929"/>
      <c r="J12" s="929">
        <f t="shared" si="0"/>
        <v>0</v>
      </c>
      <c r="K12" s="929"/>
      <c r="L12" s="930">
        <f t="shared" si="1"/>
        <v>0</v>
      </c>
      <c r="M12" s="929">
        <f t="shared" si="2"/>
        <v>0</v>
      </c>
    </row>
    <row r="13" spans="1:13" ht="126">
      <c r="A13" s="156">
        <v>3</v>
      </c>
      <c r="B13" s="155"/>
      <c r="C13" s="149" t="s">
        <v>644</v>
      </c>
      <c r="D13" s="157" t="s">
        <v>58</v>
      </c>
      <c r="E13" s="155"/>
      <c r="F13" s="174">
        <v>2</v>
      </c>
      <c r="G13" s="932"/>
      <c r="H13" s="929">
        <f t="shared" si="3"/>
        <v>0</v>
      </c>
      <c r="I13" s="932"/>
      <c r="J13" s="929">
        <f t="shared" si="0"/>
        <v>0</v>
      </c>
      <c r="K13" s="933"/>
      <c r="L13" s="930">
        <f t="shared" si="1"/>
        <v>0</v>
      </c>
      <c r="M13" s="929">
        <f t="shared" si="2"/>
        <v>0</v>
      </c>
    </row>
    <row r="14" spans="1:13" ht="15.75">
      <c r="A14" s="147"/>
      <c r="B14" s="148"/>
      <c r="C14" s="151" t="s">
        <v>641</v>
      </c>
      <c r="D14" s="152" t="s">
        <v>58</v>
      </c>
      <c r="E14" s="153"/>
      <c r="F14" s="173">
        <v>2</v>
      </c>
      <c r="G14" s="931"/>
      <c r="H14" s="929">
        <f t="shared" si="3"/>
        <v>0</v>
      </c>
      <c r="I14" s="929"/>
      <c r="J14" s="929">
        <f t="shared" si="0"/>
        <v>0</v>
      </c>
      <c r="K14" s="929"/>
      <c r="L14" s="930">
        <f t="shared" si="1"/>
        <v>0</v>
      </c>
      <c r="M14" s="929">
        <f t="shared" si="2"/>
        <v>0</v>
      </c>
    </row>
    <row r="15" spans="1:13" ht="126">
      <c r="A15" s="147">
        <v>4</v>
      </c>
      <c r="B15" s="148" t="s">
        <v>640</v>
      </c>
      <c r="C15" s="149" t="s">
        <v>645</v>
      </c>
      <c r="D15" s="150" t="s">
        <v>58</v>
      </c>
      <c r="E15" s="150"/>
      <c r="F15" s="172">
        <v>1</v>
      </c>
      <c r="G15" s="931"/>
      <c r="H15" s="929">
        <f t="shared" si="3"/>
        <v>0</v>
      </c>
      <c r="I15" s="931"/>
      <c r="J15" s="929">
        <f t="shared" si="0"/>
        <v>0</v>
      </c>
      <c r="K15" s="929"/>
      <c r="L15" s="930">
        <f t="shared" si="1"/>
        <v>0</v>
      </c>
      <c r="M15" s="929">
        <f t="shared" si="2"/>
        <v>0</v>
      </c>
    </row>
    <row r="16" spans="1:13" ht="15.75">
      <c r="A16" s="147"/>
      <c r="B16" s="148"/>
      <c r="C16" s="151" t="s">
        <v>641</v>
      </c>
      <c r="D16" s="152" t="s">
        <v>58</v>
      </c>
      <c r="E16" s="153"/>
      <c r="F16" s="173">
        <v>1</v>
      </c>
      <c r="G16" s="931"/>
      <c r="H16" s="929">
        <f t="shared" si="3"/>
        <v>0</v>
      </c>
      <c r="I16" s="929"/>
      <c r="J16" s="929">
        <f t="shared" si="0"/>
        <v>0</v>
      </c>
      <c r="K16" s="929"/>
      <c r="L16" s="930">
        <f t="shared" si="1"/>
        <v>0</v>
      </c>
      <c r="M16" s="929">
        <f t="shared" si="2"/>
        <v>0</v>
      </c>
    </row>
    <row r="17" spans="1:13" ht="141.75">
      <c r="A17" s="156">
        <v>5</v>
      </c>
      <c r="B17" s="148" t="s">
        <v>640</v>
      </c>
      <c r="C17" s="154" t="s">
        <v>646</v>
      </c>
      <c r="D17" s="157" t="s">
        <v>58</v>
      </c>
      <c r="E17" s="155"/>
      <c r="F17" s="174">
        <v>12</v>
      </c>
      <c r="G17" s="932"/>
      <c r="H17" s="929">
        <f t="shared" si="3"/>
        <v>0</v>
      </c>
      <c r="I17" s="932"/>
      <c r="J17" s="929">
        <f t="shared" si="0"/>
        <v>0</v>
      </c>
      <c r="K17" s="933"/>
      <c r="L17" s="930">
        <f t="shared" si="1"/>
        <v>0</v>
      </c>
      <c r="M17" s="929">
        <f t="shared" si="2"/>
        <v>0</v>
      </c>
    </row>
    <row r="18" spans="1:13" ht="15.75">
      <c r="A18" s="147"/>
      <c r="B18" s="148"/>
      <c r="C18" s="151" t="s">
        <v>641</v>
      </c>
      <c r="D18" s="152" t="s">
        <v>58</v>
      </c>
      <c r="E18" s="153"/>
      <c r="F18" s="173">
        <v>12</v>
      </c>
      <c r="G18" s="931"/>
      <c r="H18" s="929">
        <f t="shared" si="3"/>
        <v>0</v>
      </c>
      <c r="I18" s="929"/>
      <c r="J18" s="929">
        <f t="shared" si="0"/>
        <v>0</v>
      </c>
      <c r="K18" s="929"/>
      <c r="L18" s="930">
        <f t="shared" si="1"/>
        <v>0</v>
      </c>
      <c r="M18" s="929">
        <f t="shared" si="2"/>
        <v>0</v>
      </c>
    </row>
    <row r="19" spans="1:13" ht="109.5">
      <c r="A19" s="156">
        <v>6</v>
      </c>
      <c r="B19" s="148" t="s">
        <v>640</v>
      </c>
      <c r="C19" s="149" t="s">
        <v>647</v>
      </c>
      <c r="D19" s="157" t="s">
        <v>58</v>
      </c>
      <c r="E19" s="155"/>
      <c r="F19" s="174">
        <v>2</v>
      </c>
      <c r="G19" s="931"/>
      <c r="H19" s="929">
        <f t="shared" si="3"/>
        <v>0</v>
      </c>
      <c r="I19" s="933"/>
      <c r="J19" s="929">
        <f t="shared" si="0"/>
        <v>0</v>
      </c>
      <c r="K19" s="933"/>
      <c r="L19" s="930">
        <f t="shared" si="1"/>
        <v>0</v>
      </c>
      <c r="M19" s="929">
        <f t="shared" si="2"/>
        <v>0</v>
      </c>
    </row>
    <row r="20" spans="1:13" ht="15.75">
      <c r="A20" s="147"/>
      <c r="B20" s="148"/>
      <c r="C20" s="151" t="s">
        <v>641</v>
      </c>
      <c r="D20" s="152" t="s">
        <v>58</v>
      </c>
      <c r="E20" s="153"/>
      <c r="F20" s="173">
        <v>2</v>
      </c>
      <c r="G20" s="931"/>
      <c r="H20" s="929">
        <f t="shared" si="3"/>
        <v>0</v>
      </c>
      <c r="I20" s="929"/>
      <c r="J20" s="929">
        <f t="shared" si="0"/>
        <v>0</v>
      </c>
      <c r="K20" s="929"/>
      <c r="L20" s="930">
        <f t="shared" si="1"/>
        <v>0</v>
      </c>
      <c r="M20" s="929">
        <f t="shared" si="2"/>
        <v>0</v>
      </c>
    </row>
    <row r="21" spans="1:13" ht="109.5">
      <c r="A21" s="156">
        <v>7</v>
      </c>
      <c r="B21" s="155"/>
      <c r="C21" s="149" t="s">
        <v>648</v>
      </c>
      <c r="D21" s="157" t="s">
        <v>58</v>
      </c>
      <c r="E21" s="155"/>
      <c r="F21" s="174">
        <v>1</v>
      </c>
      <c r="G21" s="932"/>
      <c r="H21" s="929">
        <f t="shared" si="3"/>
        <v>0</v>
      </c>
      <c r="I21" s="933"/>
      <c r="J21" s="929">
        <f t="shared" si="0"/>
        <v>0</v>
      </c>
      <c r="K21" s="933"/>
      <c r="L21" s="930">
        <f t="shared" si="1"/>
        <v>0</v>
      </c>
      <c r="M21" s="929">
        <f t="shared" si="2"/>
        <v>0</v>
      </c>
    </row>
    <row r="22" spans="1:13" ht="15.75">
      <c r="A22" s="147"/>
      <c r="B22" s="148"/>
      <c r="C22" s="151" t="s">
        <v>641</v>
      </c>
      <c r="D22" s="152" t="s">
        <v>58</v>
      </c>
      <c r="E22" s="153"/>
      <c r="F22" s="173">
        <v>1</v>
      </c>
      <c r="G22" s="931"/>
      <c r="H22" s="929">
        <f>F22*G22</f>
        <v>0</v>
      </c>
      <c r="I22" s="929"/>
      <c r="J22" s="929">
        <f>F22*I22</f>
        <v>0</v>
      </c>
      <c r="K22" s="929"/>
      <c r="L22" s="930">
        <f>F22*K22</f>
        <v>0</v>
      </c>
      <c r="M22" s="929">
        <f>H22+J22+L22</f>
        <v>0</v>
      </c>
    </row>
    <row r="23" spans="1:13" ht="54" customHeight="1">
      <c r="A23" s="158"/>
      <c r="B23" s="148"/>
      <c r="C23" s="159" t="s">
        <v>649</v>
      </c>
      <c r="D23" s="152"/>
      <c r="E23" s="153"/>
      <c r="F23" s="173"/>
      <c r="G23" s="931"/>
      <c r="H23" s="929">
        <f t="shared" si="3"/>
        <v>0</v>
      </c>
      <c r="I23" s="929"/>
      <c r="J23" s="929">
        <f t="shared" si="0"/>
        <v>0</v>
      </c>
      <c r="K23" s="929"/>
      <c r="L23" s="930">
        <f t="shared" si="1"/>
        <v>0</v>
      </c>
      <c r="M23" s="929">
        <f t="shared" si="2"/>
        <v>0</v>
      </c>
    </row>
    <row r="24" spans="1:13" ht="40.5">
      <c r="A24" s="180">
        <v>1</v>
      </c>
      <c r="B24" s="148" t="s">
        <v>727</v>
      </c>
      <c r="C24" s="37" t="s">
        <v>728</v>
      </c>
      <c r="D24" s="154" t="s">
        <v>729</v>
      </c>
      <c r="E24" s="154"/>
      <c r="F24" s="181">
        <f>F27+F28</f>
        <v>85</v>
      </c>
      <c r="G24" s="929"/>
      <c r="H24" s="929">
        <f t="shared" si="3"/>
        <v>0</v>
      </c>
      <c r="I24" s="929"/>
      <c r="J24" s="929">
        <f t="shared" si="0"/>
        <v>0</v>
      </c>
      <c r="K24" s="929"/>
      <c r="L24" s="930">
        <f t="shared" si="1"/>
        <v>0</v>
      </c>
      <c r="M24" s="929">
        <f t="shared" si="2"/>
        <v>0</v>
      </c>
    </row>
    <row r="25" spans="1:13" ht="15.75">
      <c r="A25" s="182"/>
      <c r="B25" s="148"/>
      <c r="C25" s="151" t="s">
        <v>641</v>
      </c>
      <c r="D25" s="153" t="s">
        <v>31</v>
      </c>
      <c r="E25" s="153">
        <v>1.54</v>
      </c>
      <c r="F25" s="173">
        <f>F24*E25</f>
        <v>130.9</v>
      </c>
      <c r="G25" s="929"/>
      <c r="H25" s="929">
        <f t="shared" si="3"/>
        <v>0</v>
      </c>
      <c r="I25" s="929"/>
      <c r="J25" s="929">
        <f t="shared" si="0"/>
        <v>0</v>
      </c>
      <c r="K25" s="929"/>
      <c r="L25" s="930">
        <f t="shared" si="1"/>
        <v>0</v>
      </c>
      <c r="M25" s="929">
        <f t="shared" si="2"/>
        <v>0</v>
      </c>
    </row>
    <row r="26" spans="1:13" ht="15.75">
      <c r="A26" s="182"/>
      <c r="B26" s="148"/>
      <c r="C26" s="151" t="s">
        <v>44</v>
      </c>
      <c r="D26" s="153" t="s">
        <v>32</v>
      </c>
      <c r="E26" s="153">
        <v>0.0373</v>
      </c>
      <c r="F26" s="173">
        <f>F24*E26</f>
        <v>3.1705</v>
      </c>
      <c r="G26" s="929"/>
      <c r="H26" s="929">
        <f t="shared" si="3"/>
        <v>0</v>
      </c>
      <c r="I26" s="929"/>
      <c r="J26" s="929">
        <f t="shared" si="0"/>
        <v>0</v>
      </c>
      <c r="K26" s="929"/>
      <c r="L26" s="930">
        <f t="shared" si="1"/>
        <v>0</v>
      </c>
      <c r="M26" s="929">
        <f t="shared" si="2"/>
        <v>0</v>
      </c>
    </row>
    <row r="27" spans="1:13" ht="78.75">
      <c r="A27" s="180"/>
      <c r="B27" s="184"/>
      <c r="C27" s="37" t="s">
        <v>650</v>
      </c>
      <c r="D27" s="152" t="s">
        <v>651</v>
      </c>
      <c r="E27" s="153"/>
      <c r="F27" s="173">
        <v>25</v>
      </c>
      <c r="G27" s="929"/>
      <c r="H27" s="929">
        <f t="shared" si="3"/>
        <v>0</v>
      </c>
      <c r="I27" s="929"/>
      <c r="J27" s="929">
        <f>F27*I27</f>
        <v>0</v>
      </c>
      <c r="K27" s="929"/>
      <c r="L27" s="930">
        <f t="shared" si="1"/>
        <v>0</v>
      </c>
      <c r="M27" s="929">
        <f t="shared" si="2"/>
        <v>0</v>
      </c>
    </row>
    <row r="28" spans="1:13" ht="78.75">
      <c r="A28" s="180"/>
      <c r="B28" s="184"/>
      <c r="C28" s="37" t="s">
        <v>652</v>
      </c>
      <c r="D28" s="152" t="s">
        <v>651</v>
      </c>
      <c r="E28" s="153"/>
      <c r="F28" s="173">
        <v>60</v>
      </c>
      <c r="G28" s="929"/>
      <c r="H28" s="929">
        <f t="shared" si="3"/>
        <v>0</v>
      </c>
      <c r="I28" s="929"/>
      <c r="J28" s="929">
        <f>F28*I28</f>
        <v>0</v>
      </c>
      <c r="K28" s="929"/>
      <c r="L28" s="930">
        <f t="shared" si="1"/>
        <v>0</v>
      </c>
      <c r="M28" s="929">
        <f t="shared" si="2"/>
        <v>0</v>
      </c>
    </row>
    <row r="29" spans="1:13" ht="15.75">
      <c r="A29" s="185"/>
      <c r="B29" s="186"/>
      <c r="C29" s="151" t="s">
        <v>742</v>
      </c>
      <c r="D29" s="153" t="s">
        <v>32</v>
      </c>
      <c r="E29" s="153">
        <v>0.169</v>
      </c>
      <c r="F29" s="187">
        <f>F24*E29</f>
        <v>14.365</v>
      </c>
      <c r="G29" s="929"/>
      <c r="H29" s="929">
        <f t="shared" si="3"/>
        <v>0</v>
      </c>
      <c r="I29" s="929"/>
      <c r="J29" s="929">
        <f t="shared" si="0"/>
        <v>0</v>
      </c>
      <c r="K29" s="929"/>
      <c r="L29" s="930">
        <f t="shared" si="1"/>
        <v>0</v>
      </c>
      <c r="M29" s="929">
        <f t="shared" si="2"/>
        <v>0</v>
      </c>
    </row>
    <row r="30" spans="1:13" ht="15.75">
      <c r="A30" s="158"/>
      <c r="B30" s="148"/>
      <c r="C30" s="151"/>
      <c r="D30" s="152"/>
      <c r="E30" s="153"/>
      <c r="F30" s="173"/>
      <c r="G30" s="931"/>
      <c r="H30" s="929">
        <f t="shared" si="3"/>
        <v>0</v>
      </c>
      <c r="I30" s="929"/>
      <c r="J30" s="929">
        <f t="shared" si="0"/>
        <v>0</v>
      </c>
      <c r="K30" s="929"/>
      <c r="L30" s="930">
        <f t="shared" si="1"/>
        <v>0</v>
      </c>
      <c r="M30" s="929">
        <f t="shared" si="2"/>
        <v>0</v>
      </c>
    </row>
    <row r="31" spans="1:13" ht="33">
      <c r="A31" s="158"/>
      <c r="B31" s="148"/>
      <c r="C31" s="160" t="s">
        <v>653</v>
      </c>
      <c r="D31" s="152"/>
      <c r="E31" s="153"/>
      <c r="F31" s="173"/>
      <c r="G31" s="931"/>
      <c r="H31" s="929">
        <f t="shared" si="3"/>
        <v>0</v>
      </c>
      <c r="I31" s="929"/>
      <c r="J31" s="929">
        <f t="shared" si="0"/>
        <v>0</v>
      </c>
      <c r="K31" s="929"/>
      <c r="L31" s="930">
        <f t="shared" si="1"/>
        <v>0</v>
      </c>
      <c r="M31" s="929">
        <f t="shared" si="2"/>
        <v>0</v>
      </c>
    </row>
    <row r="32" spans="1:13" ht="40.5">
      <c r="A32" s="180">
        <v>1</v>
      </c>
      <c r="B32" s="148" t="s">
        <v>730</v>
      </c>
      <c r="C32" s="37" t="s">
        <v>731</v>
      </c>
      <c r="D32" s="44" t="s">
        <v>51</v>
      </c>
      <c r="E32" s="154"/>
      <c r="F32" s="181">
        <f>F35+F36</f>
        <v>8</v>
      </c>
      <c r="G32" s="929"/>
      <c r="H32" s="929">
        <f t="shared" si="3"/>
        <v>0</v>
      </c>
      <c r="I32" s="929"/>
      <c r="J32" s="929">
        <f t="shared" si="0"/>
        <v>0</v>
      </c>
      <c r="K32" s="929"/>
      <c r="L32" s="930">
        <f t="shared" si="1"/>
        <v>0</v>
      </c>
      <c r="M32" s="929">
        <f t="shared" si="2"/>
        <v>0</v>
      </c>
    </row>
    <row r="33" spans="1:13" ht="15.75">
      <c r="A33" s="182"/>
      <c r="B33" s="148"/>
      <c r="C33" s="151" t="s">
        <v>641</v>
      </c>
      <c r="D33" s="153" t="s">
        <v>31</v>
      </c>
      <c r="E33" s="153">
        <v>1.34</v>
      </c>
      <c r="F33" s="173">
        <f>F32*E33</f>
        <v>10.72</v>
      </c>
      <c r="G33" s="929"/>
      <c r="H33" s="929">
        <f t="shared" si="3"/>
        <v>0</v>
      </c>
      <c r="I33" s="929"/>
      <c r="J33" s="929">
        <f t="shared" si="0"/>
        <v>0</v>
      </c>
      <c r="K33" s="929"/>
      <c r="L33" s="930">
        <f t="shared" si="1"/>
        <v>0</v>
      </c>
      <c r="M33" s="929">
        <f t="shared" si="2"/>
        <v>0</v>
      </c>
    </row>
    <row r="34" spans="1:13" ht="15.75">
      <c r="A34" s="182"/>
      <c r="B34" s="148"/>
      <c r="C34" s="151" t="s">
        <v>44</v>
      </c>
      <c r="D34" s="153" t="s">
        <v>32</v>
      </c>
      <c r="E34" s="153">
        <v>0.05</v>
      </c>
      <c r="F34" s="173">
        <f>F32*E34</f>
        <v>0.4</v>
      </c>
      <c r="G34" s="929"/>
      <c r="H34" s="929">
        <f t="shared" si="3"/>
        <v>0</v>
      </c>
      <c r="I34" s="929"/>
      <c r="J34" s="929">
        <f t="shared" si="0"/>
        <v>0</v>
      </c>
      <c r="K34" s="929"/>
      <c r="L34" s="930">
        <f t="shared" si="1"/>
        <v>0</v>
      </c>
      <c r="M34" s="929">
        <f t="shared" si="2"/>
        <v>0</v>
      </c>
    </row>
    <row r="35" spans="1:13" ht="45.75">
      <c r="A35" s="180"/>
      <c r="B35" s="184"/>
      <c r="C35" s="151" t="s">
        <v>654</v>
      </c>
      <c r="D35" s="152" t="s">
        <v>614</v>
      </c>
      <c r="E35" s="153"/>
      <c r="F35" s="173">
        <v>6</v>
      </c>
      <c r="G35" s="931"/>
      <c r="H35" s="929">
        <f t="shared" si="3"/>
        <v>0</v>
      </c>
      <c r="I35" s="929"/>
      <c r="J35" s="929">
        <f t="shared" si="0"/>
        <v>0</v>
      </c>
      <c r="K35" s="929"/>
      <c r="L35" s="930">
        <f t="shared" si="1"/>
        <v>0</v>
      </c>
      <c r="M35" s="929">
        <f t="shared" si="2"/>
        <v>0</v>
      </c>
    </row>
    <row r="36" spans="1:13" ht="45.75">
      <c r="A36" s="180"/>
      <c r="B36" s="184"/>
      <c r="C36" s="151" t="s">
        <v>655</v>
      </c>
      <c r="D36" s="152" t="s">
        <v>614</v>
      </c>
      <c r="E36" s="153"/>
      <c r="F36" s="173">
        <v>2</v>
      </c>
      <c r="G36" s="931"/>
      <c r="H36" s="929">
        <f t="shared" si="3"/>
        <v>0</v>
      </c>
      <c r="I36" s="929"/>
      <c r="J36" s="929">
        <f t="shared" si="0"/>
        <v>0</v>
      </c>
      <c r="K36" s="929"/>
      <c r="L36" s="930">
        <f t="shared" si="1"/>
        <v>0</v>
      </c>
      <c r="M36" s="929">
        <f t="shared" si="2"/>
        <v>0</v>
      </c>
    </row>
    <row r="37" spans="1:13" ht="15.75">
      <c r="A37" s="185"/>
      <c r="B37" s="186"/>
      <c r="C37" s="151" t="s">
        <v>742</v>
      </c>
      <c r="D37" s="153" t="s">
        <v>32</v>
      </c>
      <c r="E37" s="153">
        <v>0.16</v>
      </c>
      <c r="F37" s="187">
        <f>F32*E37</f>
        <v>1.28</v>
      </c>
      <c r="G37" s="929"/>
      <c r="H37" s="929">
        <f t="shared" si="3"/>
        <v>0</v>
      </c>
      <c r="I37" s="929"/>
      <c r="J37" s="929">
        <f t="shared" si="0"/>
        <v>0</v>
      </c>
      <c r="K37" s="929"/>
      <c r="L37" s="930">
        <f t="shared" si="1"/>
        <v>0</v>
      </c>
      <c r="M37" s="929">
        <f t="shared" si="2"/>
        <v>0</v>
      </c>
    </row>
    <row r="38" spans="1:13" ht="15">
      <c r="A38" s="188"/>
      <c r="B38" s="186"/>
      <c r="C38" s="183"/>
      <c r="D38" s="153"/>
      <c r="E38" s="153"/>
      <c r="F38" s="187"/>
      <c r="G38" s="929"/>
      <c r="H38" s="929">
        <f t="shared" si="3"/>
        <v>0</v>
      </c>
      <c r="I38" s="929"/>
      <c r="J38" s="929">
        <f t="shared" si="0"/>
        <v>0</v>
      </c>
      <c r="K38" s="929"/>
      <c r="L38" s="930">
        <f t="shared" si="1"/>
        <v>0</v>
      </c>
      <c r="M38" s="929">
        <f t="shared" si="2"/>
        <v>0</v>
      </c>
    </row>
    <row r="39" spans="1:13" ht="40.5">
      <c r="A39" s="180">
        <v>1</v>
      </c>
      <c r="B39" s="148" t="s">
        <v>727</v>
      </c>
      <c r="C39" s="37" t="s">
        <v>728</v>
      </c>
      <c r="D39" s="154" t="s">
        <v>729</v>
      </c>
      <c r="E39" s="154"/>
      <c r="F39" s="181">
        <f>F42+F43+F44</f>
        <v>58</v>
      </c>
      <c r="G39" s="929"/>
      <c r="H39" s="929">
        <f t="shared" si="3"/>
        <v>0</v>
      </c>
      <c r="I39" s="929"/>
      <c r="J39" s="929">
        <f t="shared" si="0"/>
        <v>0</v>
      </c>
      <c r="K39" s="929"/>
      <c r="L39" s="930">
        <f t="shared" si="1"/>
        <v>0</v>
      </c>
      <c r="M39" s="929">
        <f t="shared" si="2"/>
        <v>0</v>
      </c>
    </row>
    <row r="40" spans="1:13" ht="15.75">
      <c r="A40" s="182"/>
      <c r="B40" s="148"/>
      <c r="C40" s="151" t="s">
        <v>641</v>
      </c>
      <c r="D40" s="153" t="s">
        <v>31</v>
      </c>
      <c r="E40" s="153">
        <v>1.54</v>
      </c>
      <c r="F40" s="173">
        <f>F39*E40</f>
        <v>89.32000000000001</v>
      </c>
      <c r="G40" s="929"/>
      <c r="H40" s="929">
        <f t="shared" si="3"/>
        <v>0</v>
      </c>
      <c r="I40" s="929"/>
      <c r="J40" s="929">
        <f t="shared" si="0"/>
        <v>0</v>
      </c>
      <c r="K40" s="929"/>
      <c r="L40" s="930">
        <f t="shared" si="1"/>
        <v>0</v>
      </c>
      <c r="M40" s="929">
        <f t="shared" si="2"/>
        <v>0</v>
      </c>
    </row>
    <row r="41" spans="1:13" ht="15.75">
      <c r="A41" s="182"/>
      <c r="B41" s="148"/>
      <c r="C41" s="151" t="s">
        <v>44</v>
      </c>
      <c r="D41" s="153" t="s">
        <v>32</v>
      </c>
      <c r="E41" s="153">
        <v>0.0373</v>
      </c>
      <c r="F41" s="173">
        <f>F39*E41</f>
        <v>2.1634</v>
      </c>
      <c r="G41" s="929"/>
      <c r="H41" s="929">
        <f t="shared" si="3"/>
        <v>0</v>
      </c>
      <c r="I41" s="929"/>
      <c r="J41" s="929">
        <f t="shared" si="0"/>
        <v>0</v>
      </c>
      <c r="K41" s="929"/>
      <c r="L41" s="930">
        <f t="shared" si="1"/>
        <v>0</v>
      </c>
      <c r="M41" s="929">
        <f t="shared" si="2"/>
        <v>0</v>
      </c>
    </row>
    <row r="42" spans="1:13" ht="47.25">
      <c r="A42" s="158"/>
      <c r="B42" s="148"/>
      <c r="C42" s="37" t="s">
        <v>656</v>
      </c>
      <c r="D42" s="152" t="s">
        <v>651</v>
      </c>
      <c r="E42" s="153"/>
      <c r="F42" s="173">
        <v>9</v>
      </c>
      <c r="G42" s="934"/>
      <c r="H42" s="929">
        <f t="shared" si="3"/>
        <v>0</v>
      </c>
      <c r="I42" s="931"/>
      <c r="J42" s="929">
        <f>I42*F42</f>
        <v>0</v>
      </c>
      <c r="K42" s="929"/>
      <c r="L42" s="930">
        <f t="shared" si="1"/>
        <v>0</v>
      </c>
      <c r="M42" s="929">
        <f t="shared" si="2"/>
        <v>0</v>
      </c>
    </row>
    <row r="43" spans="1:13" ht="47.25">
      <c r="A43" s="158"/>
      <c r="B43" s="148"/>
      <c r="C43" s="37" t="s">
        <v>657</v>
      </c>
      <c r="D43" s="152" t="s">
        <v>651</v>
      </c>
      <c r="E43" s="153"/>
      <c r="F43" s="173">
        <v>44</v>
      </c>
      <c r="G43" s="934"/>
      <c r="H43" s="929">
        <f t="shared" si="3"/>
        <v>0</v>
      </c>
      <c r="I43" s="931"/>
      <c r="J43" s="929">
        <f aca="true" t="shared" si="4" ref="J43:J48">I43*F43</f>
        <v>0</v>
      </c>
      <c r="K43" s="929"/>
      <c r="L43" s="930">
        <f t="shared" si="1"/>
        <v>0</v>
      </c>
      <c r="M43" s="929">
        <f t="shared" si="2"/>
        <v>0</v>
      </c>
    </row>
    <row r="44" spans="1:13" ht="47.25">
      <c r="A44" s="158"/>
      <c r="B44" s="148"/>
      <c r="C44" s="37" t="s">
        <v>658</v>
      </c>
      <c r="D44" s="152" t="s">
        <v>651</v>
      </c>
      <c r="E44" s="153"/>
      <c r="F44" s="173">
        <v>5</v>
      </c>
      <c r="G44" s="934"/>
      <c r="H44" s="929">
        <f t="shared" si="3"/>
        <v>0</v>
      </c>
      <c r="I44" s="931"/>
      <c r="J44" s="929">
        <f t="shared" si="4"/>
        <v>0</v>
      </c>
      <c r="K44" s="929"/>
      <c r="L44" s="930">
        <f t="shared" si="1"/>
        <v>0</v>
      </c>
      <c r="M44" s="929">
        <f t="shared" si="2"/>
        <v>0</v>
      </c>
    </row>
    <row r="45" spans="1:13" ht="47.25">
      <c r="A45" s="158"/>
      <c r="B45" s="148"/>
      <c r="C45" s="151" t="s">
        <v>659</v>
      </c>
      <c r="D45" s="152" t="s">
        <v>614</v>
      </c>
      <c r="E45" s="153"/>
      <c r="F45" s="173">
        <v>1</v>
      </c>
      <c r="G45" s="934"/>
      <c r="H45" s="929">
        <f t="shared" si="3"/>
        <v>0</v>
      </c>
      <c r="I45" s="931"/>
      <c r="J45" s="929">
        <f t="shared" si="4"/>
        <v>0</v>
      </c>
      <c r="K45" s="929"/>
      <c r="L45" s="930">
        <f t="shared" si="1"/>
        <v>0</v>
      </c>
      <c r="M45" s="929">
        <f t="shared" si="2"/>
        <v>0</v>
      </c>
    </row>
    <row r="46" spans="1:13" ht="47.25">
      <c r="A46" s="158"/>
      <c r="B46" s="148"/>
      <c r="C46" s="151" t="s">
        <v>660</v>
      </c>
      <c r="D46" s="152" t="s">
        <v>651</v>
      </c>
      <c r="E46" s="153"/>
      <c r="F46" s="173">
        <v>64</v>
      </c>
      <c r="G46" s="934"/>
      <c r="H46" s="929">
        <f t="shared" si="3"/>
        <v>0</v>
      </c>
      <c r="I46" s="931"/>
      <c r="J46" s="929">
        <f t="shared" si="4"/>
        <v>0</v>
      </c>
      <c r="K46" s="929"/>
      <c r="L46" s="930">
        <f t="shared" si="1"/>
        <v>0</v>
      </c>
      <c r="M46" s="929">
        <f t="shared" si="2"/>
        <v>0</v>
      </c>
    </row>
    <row r="47" spans="1:13" ht="15.75">
      <c r="A47" s="158"/>
      <c r="B47" s="148"/>
      <c r="C47" s="151" t="s">
        <v>661</v>
      </c>
      <c r="D47" s="152" t="s">
        <v>614</v>
      </c>
      <c r="E47" s="153"/>
      <c r="F47" s="173">
        <v>1</v>
      </c>
      <c r="G47" s="934"/>
      <c r="H47" s="929">
        <f t="shared" si="3"/>
        <v>0</v>
      </c>
      <c r="I47" s="931"/>
      <c r="J47" s="929">
        <f t="shared" si="4"/>
        <v>0</v>
      </c>
      <c r="K47" s="929"/>
      <c r="L47" s="930">
        <f t="shared" si="1"/>
        <v>0</v>
      </c>
      <c r="M47" s="929">
        <f t="shared" si="2"/>
        <v>0</v>
      </c>
    </row>
    <row r="48" spans="1:13" ht="15.75">
      <c r="A48" s="185"/>
      <c r="B48" s="186"/>
      <c r="C48" s="151" t="s">
        <v>742</v>
      </c>
      <c r="D48" s="153" t="s">
        <v>32</v>
      </c>
      <c r="E48" s="153">
        <v>0.169</v>
      </c>
      <c r="F48" s="187">
        <f>F39*E48</f>
        <v>9.802000000000001</v>
      </c>
      <c r="G48" s="934"/>
      <c r="H48" s="929">
        <f t="shared" si="3"/>
        <v>0</v>
      </c>
      <c r="I48" s="929"/>
      <c r="J48" s="929">
        <f t="shared" si="4"/>
        <v>0</v>
      </c>
      <c r="K48" s="929"/>
      <c r="L48" s="930">
        <f t="shared" si="1"/>
        <v>0</v>
      </c>
      <c r="M48" s="929">
        <f t="shared" si="2"/>
        <v>0</v>
      </c>
    </row>
    <row r="49" spans="1:13" ht="15.75">
      <c r="A49" s="158"/>
      <c r="B49" s="148"/>
      <c r="C49" s="151"/>
      <c r="D49" s="152"/>
      <c r="E49" s="153"/>
      <c r="F49" s="173"/>
      <c r="G49" s="931"/>
      <c r="H49" s="929">
        <f t="shared" si="3"/>
        <v>0</v>
      </c>
      <c r="I49" s="929"/>
      <c r="J49" s="929">
        <f t="shared" si="0"/>
        <v>0</v>
      </c>
      <c r="K49" s="929"/>
      <c r="L49" s="930">
        <f t="shared" si="1"/>
        <v>0</v>
      </c>
      <c r="M49" s="929">
        <f t="shared" si="2"/>
        <v>0</v>
      </c>
    </row>
    <row r="50" spans="1:13" ht="33">
      <c r="A50" s="158"/>
      <c r="B50" s="148"/>
      <c r="C50" s="160" t="s">
        <v>662</v>
      </c>
      <c r="D50" s="152"/>
      <c r="E50" s="153"/>
      <c r="F50" s="173"/>
      <c r="G50" s="931"/>
      <c r="H50" s="929">
        <f t="shared" si="3"/>
        <v>0</v>
      </c>
      <c r="I50" s="929"/>
      <c r="J50" s="929">
        <f t="shared" si="0"/>
        <v>0</v>
      </c>
      <c r="K50" s="929"/>
      <c r="L50" s="930">
        <f t="shared" si="1"/>
        <v>0</v>
      </c>
      <c r="M50" s="929">
        <f t="shared" si="2"/>
        <v>0</v>
      </c>
    </row>
    <row r="51" spans="1:13" ht="40.5">
      <c r="A51" s="180">
        <v>1</v>
      </c>
      <c r="B51" s="148" t="s">
        <v>730</v>
      </c>
      <c r="C51" s="37" t="s">
        <v>731</v>
      </c>
      <c r="D51" s="44" t="s">
        <v>51</v>
      </c>
      <c r="E51" s="154"/>
      <c r="F51" s="181">
        <f>F54</f>
        <v>4</v>
      </c>
      <c r="G51" s="929"/>
      <c r="H51" s="929">
        <f t="shared" si="3"/>
        <v>0</v>
      </c>
      <c r="I51" s="929"/>
      <c r="J51" s="929">
        <f t="shared" si="0"/>
        <v>0</v>
      </c>
      <c r="K51" s="929"/>
      <c r="L51" s="930">
        <f t="shared" si="1"/>
        <v>0</v>
      </c>
      <c r="M51" s="929">
        <f t="shared" si="2"/>
        <v>0</v>
      </c>
    </row>
    <row r="52" spans="1:13" ht="15.75">
      <c r="A52" s="182"/>
      <c r="B52" s="148"/>
      <c r="C52" s="151" t="s">
        <v>641</v>
      </c>
      <c r="D52" s="153" t="s">
        <v>31</v>
      </c>
      <c r="E52" s="153">
        <v>1.34</v>
      </c>
      <c r="F52" s="173">
        <f>F51*E52</f>
        <v>5.36</v>
      </c>
      <c r="G52" s="929"/>
      <c r="H52" s="929">
        <f t="shared" si="3"/>
        <v>0</v>
      </c>
      <c r="I52" s="929"/>
      <c r="J52" s="929">
        <f t="shared" si="0"/>
        <v>0</v>
      </c>
      <c r="K52" s="929"/>
      <c r="L52" s="930">
        <f t="shared" si="1"/>
        <v>0</v>
      </c>
      <c r="M52" s="929">
        <f t="shared" si="2"/>
        <v>0</v>
      </c>
    </row>
    <row r="53" spans="1:13" ht="15.75">
      <c r="A53" s="182"/>
      <c r="B53" s="148"/>
      <c r="C53" s="151" t="s">
        <v>44</v>
      </c>
      <c r="D53" s="153" t="s">
        <v>32</v>
      </c>
      <c r="E53" s="153">
        <v>0.05</v>
      </c>
      <c r="F53" s="173">
        <f>F51*E53</f>
        <v>0.2</v>
      </c>
      <c r="G53" s="929"/>
      <c r="H53" s="929">
        <f t="shared" si="3"/>
        <v>0</v>
      </c>
      <c r="I53" s="929"/>
      <c r="J53" s="929">
        <f t="shared" si="0"/>
        <v>0</v>
      </c>
      <c r="K53" s="929"/>
      <c r="L53" s="930">
        <f t="shared" si="1"/>
        <v>0</v>
      </c>
      <c r="M53" s="929">
        <f t="shared" si="2"/>
        <v>0</v>
      </c>
    </row>
    <row r="54" spans="1:13" ht="45.75">
      <c r="A54" s="180"/>
      <c r="B54" s="184"/>
      <c r="C54" s="151" t="s">
        <v>663</v>
      </c>
      <c r="D54" s="152" t="s">
        <v>614</v>
      </c>
      <c r="E54" s="153"/>
      <c r="F54" s="173">
        <v>4</v>
      </c>
      <c r="G54" s="931"/>
      <c r="H54" s="929">
        <f t="shared" si="3"/>
        <v>0</v>
      </c>
      <c r="I54" s="929"/>
      <c r="J54" s="929">
        <f t="shared" si="0"/>
        <v>0</v>
      </c>
      <c r="K54" s="929"/>
      <c r="L54" s="930">
        <f t="shared" si="1"/>
        <v>0</v>
      </c>
      <c r="M54" s="929">
        <f t="shared" si="2"/>
        <v>0</v>
      </c>
    </row>
    <row r="55" spans="1:13" ht="15.75">
      <c r="A55" s="185"/>
      <c r="B55" s="186"/>
      <c r="C55" s="151" t="s">
        <v>742</v>
      </c>
      <c r="D55" s="153" t="s">
        <v>32</v>
      </c>
      <c r="E55" s="153">
        <v>0.16</v>
      </c>
      <c r="F55" s="187">
        <f>F51*E55</f>
        <v>0.64</v>
      </c>
      <c r="G55" s="929"/>
      <c r="H55" s="929">
        <f t="shared" si="3"/>
        <v>0</v>
      </c>
      <c r="I55" s="929"/>
      <c r="J55" s="929">
        <f t="shared" si="0"/>
        <v>0</v>
      </c>
      <c r="K55" s="929"/>
      <c r="L55" s="930">
        <f t="shared" si="1"/>
        <v>0</v>
      </c>
      <c r="M55" s="929">
        <f t="shared" si="2"/>
        <v>0</v>
      </c>
    </row>
    <row r="56" spans="1:13" ht="40.5">
      <c r="A56" s="180">
        <v>1</v>
      </c>
      <c r="B56" s="148" t="s">
        <v>727</v>
      </c>
      <c r="C56" s="37" t="s">
        <v>728</v>
      </c>
      <c r="D56" s="154" t="s">
        <v>729</v>
      </c>
      <c r="E56" s="154"/>
      <c r="F56" s="181">
        <f>F59+F60</f>
        <v>21</v>
      </c>
      <c r="G56" s="929"/>
      <c r="H56" s="929">
        <f t="shared" si="3"/>
        <v>0</v>
      </c>
      <c r="I56" s="929"/>
      <c r="J56" s="929">
        <f t="shared" si="0"/>
        <v>0</v>
      </c>
      <c r="K56" s="929"/>
      <c r="L56" s="930">
        <f t="shared" si="1"/>
        <v>0</v>
      </c>
      <c r="M56" s="929">
        <f t="shared" si="2"/>
        <v>0</v>
      </c>
    </row>
    <row r="57" spans="1:13" ht="15.75">
      <c r="A57" s="182"/>
      <c r="B57" s="148"/>
      <c r="C57" s="151" t="s">
        <v>641</v>
      </c>
      <c r="D57" s="153" t="s">
        <v>31</v>
      </c>
      <c r="E57" s="153">
        <v>1.54</v>
      </c>
      <c r="F57" s="173">
        <f>F56*E57</f>
        <v>32.34</v>
      </c>
      <c r="G57" s="929"/>
      <c r="H57" s="929">
        <f t="shared" si="3"/>
        <v>0</v>
      </c>
      <c r="I57" s="929"/>
      <c r="J57" s="929">
        <f>F57*I57</f>
        <v>0</v>
      </c>
      <c r="K57" s="929"/>
      <c r="L57" s="930">
        <f t="shared" si="1"/>
        <v>0</v>
      </c>
      <c r="M57" s="929">
        <f t="shared" si="2"/>
        <v>0</v>
      </c>
    </row>
    <row r="58" spans="1:13" ht="15.75">
      <c r="A58" s="182"/>
      <c r="B58" s="148"/>
      <c r="C58" s="151" t="s">
        <v>44</v>
      </c>
      <c r="D58" s="153" t="s">
        <v>32</v>
      </c>
      <c r="E58" s="153">
        <v>0.0373</v>
      </c>
      <c r="F58" s="173">
        <f>F56*E58</f>
        <v>0.7833</v>
      </c>
      <c r="G58" s="929"/>
      <c r="H58" s="929">
        <f t="shared" si="3"/>
        <v>0</v>
      </c>
      <c r="I58" s="929"/>
      <c r="J58" s="929">
        <f>F58*I58</f>
        <v>0</v>
      </c>
      <c r="K58" s="929"/>
      <c r="L58" s="930">
        <f aca="true" t="shared" si="5" ref="L58:L107">F58*K58</f>
        <v>0</v>
      </c>
      <c r="M58" s="929">
        <f aca="true" t="shared" si="6" ref="M58:M107">H58+J58+L58</f>
        <v>0</v>
      </c>
    </row>
    <row r="59" spans="1:13" ht="47.25">
      <c r="A59" s="158"/>
      <c r="B59" s="148"/>
      <c r="C59" s="37" t="s">
        <v>656</v>
      </c>
      <c r="D59" s="152" t="s">
        <v>651</v>
      </c>
      <c r="E59" s="153"/>
      <c r="F59" s="173">
        <v>18</v>
      </c>
      <c r="G59" s="934"/>
      <c r="H59" s="929">
        <f t="shared" si="3"/>
        <v>0</v>
      </c>
      <c r="I59" s="931"/>
      <c r="J59" s="929">
        <f aca="true" t="shared" si="7" ref="J59:J64">I59*F59</f>
        <v>0</v>
      </c>
      <c r="K59" s="929"/>
      <c r="L59" s="930">
        <f t="shared" si="5"/>
        <v>0</v>
      </c>
      <c r="M59" s="929">
        <f t="shared" si="6"/>
        <v>0</v>
      </c>
    </row>
    <row r="60" spans="1:13" ht="47.25">
      <c r="A60" s="158"/>
      <c r="B60" s="148"/>
      <c r="C60" s="37" t="s">
        <v>657</v>
      </c>
      <c r="D60" s="152" t="s">
        <v>651</v>
      </c>
      <c r="E60" s="153"/>
      <c r="F60" s="173">
        <v>3</v>
      </c>
      <c r="G60" s="934"/>
      <c r="H60" s="929">
        <f t="shared" si="3"/>
        <v>0</v>
      </c>
      <c r="I60" s="931"/>
      <c r="J60" s="929">
        <f t="shared" si="7"/>
        <v>0</v>
      </c>
      <c r="K60" s="929"/>
      <c r="L60" s="930">
        <f t="shared" si="5"/>
        <v>0</v>
      </c>
      <c r="M60" s="929">
        <f t="shared" si="6"/>
        <v>0</v>
      </c>
    </row>
    <row r="61" spans="1:13" ht="47.25">
      <c r="A61" s="158"/>
      <c r="B61" s="148"/>
      <c r="C61" s="151" t="s">
        <v>664</v>
      </c>
      <c r="D61" s="152" t="s">
        <v>614</v>
      </c>
      <c r="E61" s="153"/>
      <c r="F61" s="173">
        <v>1</v>
      </c>
      <c r="G61" s="934"/>
      <c r="H61" s="929">
        <f t="shared" si="3"/>
        <v>0</v>
      </c>
      <c r="I61" s="931"/>
      <c r="J61" s="929">
        <f t="shared" si="7"/>
        <v>0</v>
      </c>
      <c r="K61" s="929"/>
      <c r="L61" s="930">
        <f t="shared" si="5"/>
        <v>0</v>
      </c>
      <c r="M61" s="929">
        <f t="shared" si="6"/>
        <v>0</v>
      </c>
    </row>
    <row r="62" spans="1:13" ht="47.25">
      <c r="A62" s="158"/>
      <c r="B62" s="148"/>
      <c r="C62" s="151" t="s">
        <v>660</v>
      </c>
      <c r="D62" s="152" t="s">
        <v>651</v>
      </c>
      <c r="E62" s="153"/>
      <c r="F62" s="173">
        <v>24</v>
      </c>
      <c r="G62" s="934"/>
      <c r="H62" s="929">
        <f t="shared" si="3"/>
        <v>0</v>
      </c>
      <c r="I62" s="931"/>
      <c r="J62" s="929">
        <f t="shared" si="7"/>
        <v>0</v>
      </c>
      <c r="K62" s="929"/>
      <c r="L62" s="930">
        <f t="shared" si="5"/>
        <v>0</v>
      </c>
      <c r="M62" s="929">
        <f t="shared" si="6"/>
        <v>0</v>
      </c>
    </row>
    <row r="63" spans="1:13" ht="15.75">
      <c r="A63" s="158"/>
      <c r="B63" s="148"/>
      <c r="C63" s="151" t="s">
        <v>665</v>
      </c>
      <c r="D63" s="152" t="s">
        <v>614</v>
      </c>
      <c r="E63" s="153"/>
      <c r="F63" s="173">
        <v>1</v>
      </c>
      <c r="G63" s="934"/>
      <c r="H63" s="929">
        <f t="shared" si="3"/>
        <v>0</v>
      </c>
      <c r="I63" s="931"/>
      <c r="J63" s="929">
        <f t="shared" si="7"/>
        <v>0</v>
      </c>
      <c r="K63" s="929"/>
      <c r="L63" s="930">
        <f t="shared" si="5"/>
        <v>0</v>
      </c>
      <c r="M63" s="929">
        <f t="shared" si="6"/>
        <v>0</v>
      </c>
    </row>
    <row r="64" spans="1:13" ht="15.75">
      <c r="A64" s="185"/>
      <c r="B64" s="186"/>
      <c r="C64" s="151" t="s">
        <v>742</v>
      </c>
      <c r="D64" s="153" t="s">
        <v>32</v>
      </c>
      <c r="E64" s="153">
        <v>0.169</v>
      </c>
      <c r="F64" s="187">
        <f>F56*E64</f>
        <v>3.5490000000000004</v>
      </c>
      <c r="G64" s="200"/>
      <c r="H64" s="929">
        <f t="shared" si="3"/>
        <v>0</v>
      </c>
      <c r="I64" s="929"/>
      <c r="J64" s="929">
        <f t="shared" si="7"/>
        <v>0</v>
      </c>
      <c r="K64" s="929"/>
      <c r="L64" s="930">
        <f t="shared" si="5"/>
        <v>0</v>
      </c>
      <c r="M64" s="929">
        <f t="shared" si="6"/>
        <v>0</v>
      </c>
    </row>
    <row r="65" spans="1:13" ht="33">
      <c r="A65" s="158"/>
      <c r="B65" s="148"/>
      <c r="C65" s="160" t="s">
        <v>666</v>
      </c>
      <c r="D65" s="152"/>
      <c r="E65" s="153"/>
      <c r="F65" s="173"/>
      <c r="G65" s="931"/>
      <c r="H65" s="929">
        <f t="shared" si="3"/>
        <v>0</v>
      </c>
      <c r="I65" s="929"/>
      <c r="J65" s="929">
        <f>F65*I65</f>
        <v>0</v>
      </c>
      <c r="K65" s="929"/>
      <c r="L65" s="930">
        <f t="shared" si="5"/>
        <v>0</v>
      </c>
      <c r="M65" s="929">
        <f t="shared" si="6"/>
        <v>0</v>
      </c>
    </row>
    <row r="66" spans="1:13" ht="40.5">
      <c r="A66" s="180">
        <v>1</v>
      </c>
      <c r="B66" s="148" t="s">
        <v>730</v>
      </c>
      <c r="C66" s="37" t="s">
        <v>731</v>
      </c>
      <c r="D66" s="44" t="s">
        <v>51</v>
      </c>
      <c r="E66" s="154"/>
      <c r="F66" s="181">
        <f>F69</f>
        <v>7</v>
      </c>
      <c r="G66" s="929"/>
      <c r="H66" s="929">
        <f t="shared" si="3"/>
        <v>0</v>
      </c>
      <c r="I66" s="929"/>
      <c r="J66" s="929">
        <f>F66*I66</f>
        <v>0</v>
      </c>
      <c r="K66" s="929"/>
      <c r="L66" s="930">
        <f t="shared" si="5"/>
        <v>0</v>
      </c>
      <c r="M66" s="929">
        <f t="shared" si="6"/>
        <v>0</v>
      </c>
    </row>
    <row r="67" spans="1:13" ht="15.75">
      <c r="A67" s="182"/>
      <c r="B67" s="148"/>
      <c r="C67" s="151" t="s">
        <v>641</v>
      </c>
      <c r="D67" s="153" t="s">
        <v>31</v>
      </c>
      <c r="E67" s="153">
        <v>1.34</v>
      </c>
      <c r="F67" s="173">
        <f>F66*E67</f>
        <v>9.38</v>
      </c>
      <c r="G67" s="929"/>
      <c r="H67" s="929">
        <f aca="true" t="shared" si="8" ref="H67:H131">F67*G67</f>
        <v>0</v>
      </c>
      <c r="I67" s="929"/>
      <c r="J67" s="929">
        <f aca="true" t="shared" si="9" ref="J67:J131">F67*I67</f>
        <v>0</v>
      </c>
      <c r="K67" s="929"/>
      <c r="L67" s="930">
        <f t="shared" si="5"/>
        <v>0</v>
      </c>
      <c r="M67" s="929">
        <f t="shared" si="6"/>
        <v>0</v>
      </c>
    </row>
    <row r="68" spans="1:13" ht="15.75">
      <c r="A68" s="182"/>
      <c r="B68" s="148"/>
      <c r="C68" s="151" t="s">
        <v>44</v>
      </c>
      <c r="D68" s="153" t="s">
        <v>32</v>
      </c>
      <c r="E68" s="153">
        <v>0.05</v>
      </c>
      <c r="F68" s="173">
        <f>F66*E68</f>
        <v>0.35000000000000003</v>
      </c>
      <c r="G68" s="929"/>
      <c r="H68" s="929">
        <f t="shared" si="8"/>
        <v>0</v>
      </c>
      <c r="I68" s="929"/>
      <c r="J68" s="929">
        <f t="shared" si="9"/>
        <v>0</v>
      </c>
      <c r="K68" s="929"/>
      <c r="L68" s="930">
        <f t="shared" si="5"/>
        <v>0</v>
      </c>
      <c r="M68" s="929">
        <f t="shared" si="6"/>
        <v>0</v>
      </c>
    </row>
    <row r="69" spans="1:13" ht="45.75">
      <c r="A69" s="180"/>
      <c r="B69" s="184"/>
      <c r="C69" s="151" t="s">
        <v>663</v>
      </c>
      <c r="D69" s="152" t="s">
        <v>614</v>
      </c>
      <c r="E69" s="153"/>
      <c r="F69" s="173">
        <v>7</v>
      </c>
      <c r="G69" s="931"/>
      <c r="H69" s="929">
        <f t="shared" si="8"/>
        <v>0</v>
      </c>
      <c r="I69" s="929"/>
      <c r="J69" s="929">
        <f t="shared" si="9"/>
        <v>0</v>
      </c>
      <c r="K69" s="929"/>
      <c r="L69" s="930">
        <f t="shared" si="5"/>
        <v>0</v>
      </c>
      <c r="M69" s="929">
        <f t="shared" si="6"/>
        <v>0</v>
      </c>
    </row>
    <row r="70" spans="1:13" ht="15.75">
      <c r="A70" s="185"/>
      <c r="B70" s="186"/>
      <c r="C70" s="151" t="s">
        <v>742</v>
      </c>
      <c r="D70" s="153" t="s">
        <v>32</v>
      </c>
      <c r="E70" s="153">
        <v>0.16</v>
      </c>
      <c r="F70" s="187">
        <f>F66*E70</f>
        <v>1.12</v>
      </c>
      <c r="G70" s="929"/>
      <c r="H70" s="929">
        <f t="shared" si="8"/>
        <v>0</v>
      </c>
      <c r="I70" s="929"/>
      <c r="J70" s="929">
        <f t="shared" si="9"/>
        <v>0</v>
      </c>
      <c r="K70" s="929"/>
      <c r="L70" s="930">
        <f t="shared" si="5"/>
        <v>0</v>
      </c>
      <c r="M70" s="929">
        <f t="shared" si="6"/>
        <v>0</v>
      </c>
    </row>
    <row r="71" spans="1:13" ht="40.5">
      <c r="A71" s="180">
        <v>1</v>
      </c>
      <c r="B71" s="148" t="s">
        <v>727</v>
      </c>
      <c r="C71" s="37" t="s">
        <v>728</v>
      </c>
      <c r="D71" s="154" t="s">
        <v>729</v>
      </c>
      <c r="E71" s="154"/>
      <c r="F71" s="181">
        <f>F74+F75+F76</f>
        <v>32</v>
      </c>
      <c r="G71" s="929"/>
      <c r="H71" s="929">
        <f t="shared" si="8"/>
        <v>0</v>
      </c>
      <c r="I71" s="929"/>
      <c r="J71" s="929">
        <f t="shared" si="9"/>
        <v>0</v>
      </c>
      <c r="K71" s="929"/>
      <c r="L71" s="930">
        <f t="shared" si="5"/>
        <v>0</v>
      </c>
      <c r="M71" s="929">
        <f t="shared" si="6"/>
        <v>0</v>
      </c>
    </row>
    <row r="72" spans="1:13" ht="15.75">
      <c r="A72" s="182"/>
      <c r="B72" s="148"/>
      <c r="C72" s="151" t="s">
        <v>641</v>
      </c>
      <c r="D72" s="153" t="s">
        <v>31</v>
      </c>
      <c r="E72" s="153">
        <v>1.54</v>
      </c>
      <c r="F72" s="173">
        <f>F71*E72</f>
        <v>49.28</v>
      </c>
      <c r="G72" s="929"/>
      <c r="H72" s="929">
        <f t="shared" si="8"/>
        <v>0</v>
      </c>
      <c r="I72" s="929"/>
      <c r="J72" s="929">
        <f t="shared" si="9"/>
        <v>0</v>
      </c>
      <c r="K72" s="929"/>
      <c r="L72" s="930">
        <f t="shared" si="5"/>
        <v>0</v>
      </c>
      <c r="M72" s="929">
        <f t="shared" si="6"/>
        <v>0</v>
      </c>
    </row>
    <row r="73" spans="1:13" ht="15.75">
      <c r="A73" s="182"/>
      <c r="B73" s="148"/>
      <c r="C73" s="151" t="s">
        <v>44</v>
      </c>
      <c r="D73" s="153" t="s">
        <v>32</v>
      </c>
      <c r="E73" s="153">
        <v>0.0373</v>
      </c>
      <c r="F73" s="173">
        <f>F71*E73</f>
        <v>1.1936</v>
      </c>
      <c r="G73" s="929"/>
      <c r="H73" s="929">
        <f t="shared" si="8"/>
        <v>0</v>
      </c>
      <c r="I73" s="929"/>
      <c r="J73" s="929">
        <f t="shared" si="9"/>
        <v>0</v>
      </c>
      <c r="K73" s="929"/>
      <c r="L73" s="930">
        <f t="shared" si="5"/>
        <v>0</v>
      </c>
      <c r="M73" s="929">
        <f t="shared" si="6"/>
        <v>0</v>
      </c>
    </row>
    <row r="74" spans="1:13" ht="47.25">
      <c r="A74" s="158"/>
      <c r="B74" s="148"/>
      <c r="C74" s="37" t="s">
        <v>656</v>
      </c>
      <c r="D74" s="152" t="s">
        <v>651</v>
      </c>
      <c r="E74" s="153"/>
      <c r="F74" s="173">
        <v>17</v>
      </c>
      <c r="G74" s="934"/>
      <c r="H74" s="929">
        <f t="shared" si="8"/>
        <v>0</v>
      </c>
      <c r="I74" s="931"/>
      <c r="J74" s="929">
        <f t="shared" si="9"/>
        <v>0</v>
      </c>
      <c r="K74" s="929"/>
      <c r="L74" s="930">
        <f t="shared" si="5"/>
        <v>0</v>
      </c>
      <c r="M74" s="929">
        <f t="shared" si="6"/>
        <v>0</v>
      </c>
    </row>
    <row r="75" spans="1:13" ht="47.25">
      <c r="A75" s="158"/>
      <c r="B75" s="148"/>
      <c r="C75" s="37" t="s">
        <v>657</v>
      </c>
      <c r="D75" s="152" t="s">
        <v>651</v>
      </c>
      <c r="E75" s="153"/>
      <c r="F75" s="173">
        <v>10</v>
      </c>
      <c r="G75" s="934"/>
      <c r="H75" s="929">
        <f t="shared" si="8"/>
        <v>0</v>
      </c>
      <c r="I75" s="931"/>
      <c r="J75" s="929">
        <f t="shared" si="9"/>
        <v>0</v>
      </c>
      <c r="K75" s="929"/>
      <c r="L75" s="930">
        <f t="shared" si="5"/>
        <v>0</v>
      </c>
      <c r="M75" s="929">
        <f t="shared" si="6"/>
        <v>0</v>
      </c>
    </row>
    <row r="76" spans="1:13" ht="47.25">
      <c r="A76" s="158"/>
      <c r="B76" s="148"/>
      <c r="C76" s="37" t="s">
        <v>658</v>
      </c>
      <c r="D76" s="152" t="s">
        <v>651</v>
      </c>
      <c r="E76" s="153"/>
      <c r="F76" s="173">
        <v>5</v>
      </c>
      <c r="G76" s="934"/>
      <c r="H76" s="929">
        <f t="shared" si="8"/>
        <v>0</v>
      </c>
      <c r="I76" s="931"/>
      <c r="J76" s="929">
        <f t="shared" si="9"/>
        <v>0</v>
      </c>
      <c r="K76" s="929"/>
      <c r="L76" s="930">
        <f t="shared" si="5"/>
        <v>0</v>
      </c>
      <c r="M76" s="929">
        <f t="shared" si="6"/>
        <v>0</v>
      </c>
    </row>
    <row r="77" spans="1:13" ht="47.25">
      <c r="A77" s="158"/>
      <c r="B77" s="148"/>
      <c r="C77" s="151" t="s">
        <v>667</v>
      </c>
      <c r="D77" s="152" t="s">
        <v>614</v>
      </c>
      <c r="E77" s="153"/>
      <c r="F77" s="173">
        <v>1</v>
      </c>
      <c r="G77" s="934"/>
      <c r="H77" s="929">
        <f t="shared" si="8"/>
        <v>0</v>
      </c>
      <c r="I77" s="931"/>
      <c r="J77" s="929">
        <f t="shared" si="9"/>
        <v>0</v>
      </c>
      <c r="K77" s="929"/>
      <c r="L77" s="930">
        <f t="shared" si="5"/>
        <v>0</v>
      </c>
      <c r="M77" s="929">
        <f t="shared" si="6"/>
        <v>0</v>
      </c>
    </row>
    <row r="78" spans="1:13" ht="47.25">
      <c r="A78" s="158"/>
      <c r="B78" s="148"/>
      <c r="C78" s="151" t="s">
        <v>660</v>
      </c>
      <c r="D78" s="152" t="s">
        <v>651</v>
      </c>
      <c r="E78" s="153"/>
      <c r="F78" s="173">
        <v>38</v>
      </c>
      <c r="G78" s="934"/>
      <c r="H78" s="929">
        <f t="shared" si="8"/>
        <v>0</v>
      </c>
      <c r="I78" s="931"/>
      <c r="J78" s="929">
        <f t="shared" si="9"/>
        <v>0</v>
      </c>
      <c r="K78" s="929"/>
      <c r="L78" s="930">
        <f t="shared" si="5"/>
        <v>0</v>
      </c>
      <c r="M78" s="929">
        <f t="shared" si="6"/>
        <v>0</v>
      </c>
    </row>
    <row r="79" spans="1:13" ht="15.75">
      <c r="A79" s="158"/>
      <c r="B79" s="148"/>
      <c r="C79" s="151" t="s">
        <v>668</v>
      </c>
      <c r="D79" s="152" t="s">
        <v>614</v>
      </c>
      <c r="E79" s="153"/>
      <c r="F79" s="173">
        <v>1</v>
      </c>
      <c r="G79" s="934"/>
      <c r="H79" s="929">
        <f t="shared" si="8"/>
        <v>0</v>
      </c>
      <c r="I79" s="931"/>
      <c r="J79" s="929">
        <f t="shared" si="9"/>
        <v>0</v>
      </c>
      <c r="K79" s="929"/>
      <c r="L79" s="930">
        <f t="shared" si="5"/>
        <v>0</v>
      </c>
      <c r="M79" s="929">
        <f t="shared" si="6"/>
        <v>0</v>
      </c>
    </row>
    <row r="80" spans="1:13" ht="15.75">
      <c r="A80" s="185"/>
      <c r="B80" s="186"/>
      <c r="C80" s="151" t="s">
        <v>742</v>
      </c>
      <c r="D80" s="153" t="s">
        <v>32</v>
      </c>
      <c r="E80" s="153">
        <v>0.169</v>
      </c>
      <c r="F80" s="187">
        <f>F71*E80</f>
        <v>5.408</v>
      </c>
      <c r="G80" s="200"/>
      <c r="H80" s="929">
        <f t="shared" si="8"/>
        <v>0</v>
      </c>
      <c r="I80" s="929"/>
      <c r="J80" s="929">
        <f t="shared" si="9"/>
        <v>0</v>
      </c>
      <c r="K80" s="929"/>
      <c r="L80" s="930">
        <f t="shared" si="5"/>
        <v>0</v>
      </c>
      <c r="M80" s="929">
        <f t="shared" si="6"/>
        <v>0</v>
      </c>
    </row>
    <row r="81" spans="1:13" ht="16.5">
      <c r="A81" s="158"/>
      <c r="B81" s="148"/>
      <c r="C81" s="161" t="s">
        <v>669</v>
      </c>
      <c r="D81" s="152"/>
      <c r="E81" s="153"/>
      <c r="F81" s="173"/>
      <c r="G81" s="931"/>
      <c r="H81" s="929">
        <f t="shared" si="8"/>
        <v>0</v>
      </c>
      <c r="I81" s="929"/>
      <c r="J81" s="929">
        <f t="shared" si="9"/>
        <v>0</v>
      </c>
      <c r="K81" s="929"/>
      <c r="L81" s="930">
        <f t="shared" si="5"/>
        <v>0</v>
      </c>
      <c r="M81" s="929">
        <f t="shared" si="6"/>
        <v>0</v>
      </c>
    </row>
    <row r="82" spans="1:13" ht="63">
      <c r="A82" s="180">
        <v>1</v>
      </c>
      <c r="B82" s="148" t="s">
        <v>732</v>
      </c>
      <c r="C82" s="162" t="s">
        <v>670</v>
      </c>
      <c r="D82" s="44" t="s">
        <v>58</v>
      </c>
      <c r="E82" s="44"/>
      <c r="F82" s="189">
        <v>1</v>
      </c>
      <c r="G82" s="929"/>
      <c r="H82" s="929">
        <f t="shared" si="8"/>
        <v>0</v>
      </c>
      <c r="I82" s="929"/>
      <c r="J82" s="929">
        <f t="shared" si="9"/>
        <v>0</v>
      </c>
      <c r="K82" s="929"/>
      <c r="L82" s="930">
        <f t="shared" si="5"/>
        <v>0</v>
      </c>
      <c r="M82" s="929">
        <f t="shared" si="6"/>
        <v>0</v>
      </c>
    </row>
    <row r="83" spans="1:13" ht="15.75">
      <c r="A83" s="182"/>
      <c r="B83" s="148"/>
      <c r="C83" s="151" t="s">
        <v>641</v>
      </c>
      <c r="D83" s="153" t="s">
        <v>31</v>
      </c>
      <c r="E83" s="153">
        <v>28.6</v>
      </c>
      <c r="F83" s="173">
        <f>F82*E83</f>
        <v>28.6</v>
      </c>
      <c r="G83" s="929"/>
      <c r="H83" s="929">
        <f t="shared" si="8"/>
        <v>0</v>
      </c>
      <c r="I83" s="929"/>
      <c r="J83" s="929">
        <f t="shared" si="9"/>
        <v>0</v>
      </c>
      <c r="K83" s="929"/>
      <c r="L83" s="930">
        <f t="shared" si="5"/>
        <v>0</v>
      </c>
      <c r="M83" s="929">
        <f t="shared" si="6"/>
        <v>0</v>
      </c>
    </row>
    <row r="84" spans="1:13" ht="15.75">
      <c r="A84" s="182"/>
      <c r="B84" s="148"/>
      <c r="C84" s="151" t="s">
        <v>44</v>
      </c>
      <c r="D84" s="153" t="s">
        <v>32</v>
      </c>
      <c r="E84" s="153">
        <v>1.43</v>
      </c>
      <c r="F84" s="173">
        <f>F82*E84</f>
        <v>1.43</v>
      </c>
      <c r="G84" s="929"/>
      <c r="H84" s="929">
        <f t="shared" si="8"/>
        <v>0</v>
      </c>
      <c r="I84" s="929"/>
      <c r="J84" s="929">
        <f t="shared" si="9"/>
        <v>0</v>
      </c>
      <c r="K84" s="929"/>
      <c r="L84" s="930">
        <f t="shared" si="5"/>
        <v>0</v>
      </c>
      <c r="M84" s="929">
        <f t="shared" si="6"/>
        <v>0</v>
      </c>
    </row>
    <row r="85" spans="1:13" ht="63">
      <c r="A85" s="182"/>
      <c r="B85" s="148"/>
      <c r="C85" s="162" t="s">
        <v>670</v>
      </c>
      <c r="D85" s="44" t="s">
        <v>58</v>
      </c>
      <c r="E85" s="44"/>
      <c r="F85" s="189">
        <v>1</v>
      </c>
      <c r="G85" s="929"/>
      <c r="H85" s="929">
        <f t="shared" si="8"/>
        <v>0</v>
      </c>
      <c r="I85" s="929"/>
      <c r="J85" s="929">
        <f t="shared" si="9"/>
        <v>0</v>
      </c>
      <c r="K85" s="929"/>
      <c r="L85" s="930">
        <f t="shared" si="5"/>
        <v>0</v>
      </c>
      <c r="M85" s="929">
        <f t="shared" si="6"/>
        <v>0</v>
      </c>
    </row>
    <row r="86" spans="1:13" ht="15.75">
      <c r="A86" s="158"/>
      <c r="B86" s="148"/>
      <c r="C86" s="151" t="s">
        <v>671</v>
      </c>
      <c r="D86" s="152" t="s">
        <v>614</v>
      </c>
      <c r="E86" s="153"/>
      <c r="F86" s="173">
        <v>2</v>
      </c>
      <c r="G86" s="931"/>
      <c r="H86" s="929">
        <f t="shared" si="8"/>
        <v>0</v>
      </c>
      <c r="I86" s="929"/>
      <c r="J86" s="929">
        <f t="shared" si="9"/>
        <v>0</v>
      </c>
      <c r="K86" s="929"/>
      <c r="L86" s="930">
        <f t="shared" si="5"/>
        <v>0</v>
      </c>
      <c r="M86" s="929">
        <f t="shared" si="6"/>
        <v>0</v>
      </c>
    </row>
    <row r="87" spans="1:13" ht="15.75">
      <c r="A87" s="185"/>
      <c r="B87" s="186"/>
      <c r="C87" s="151" t="s">
        <v>742</v>
      </c>
      <c r="D87" s="153" t="s">
        <v>32</v>
      </c>
      <c r="E87" s="153">
        <v>5.16</v>
      </c>
      <c r="F87" s="187">
        <f>F82*E87</f>
        <v>5.16</v>
      </c>
      <c r="G87" s="929"/>
      <c r="H87" s="929">
        <f t="shared" si="8"/>
        <v>0</v>
      </c>
      <c r="I87" s="929"/>
      <c r="J87" s="929">
        <f t="shared" si="9"/>
        <v>0</v>
      </c>
      <c r="K87" s="929"/>
      <c r="L87" s="930">
        <f t="shared" si="5"/>
        <v>0</v>
      </c>
      <c r="M87" s="929">
        <f t="shared" si="6"/>
        <v>0</v>
      </c>
    </row>
    <row r="88" spans="1:13" ht="45.75">
      <c r="A88" s="180">
        <v>1</v>
      </c>
      <c r="B88" s="148" t="s">
        <v>732</v>
      </c>
      <c r="C88" s="162" t="s">
        <v>672</v>
      </c>
      <c r="D88" s="44" t="s">
        <v>58</v>
      </c>
      <c r="E88" s="44"/>
      <c r="F88" s="189">
        <v>1</v>
      </c>
      <c r="G88" s="929"/>
      <c r="H88" s="929">
        <f t="shared" si="8"/>
        <v>0</v>
      </c>
      <c r="I88" s="929"/>
      <c r="J88" s="929">
        <f t="shared" si="9"/>
        <v>0</v>
      </c>
      <c r="K88" s="929"/>
      <c r="L88" s="930">
        <f t="shared" si="5"/>
        <v>0</v>
      </c>
      <c r="M88" s="929">
        <f t="shared" si="6"/>
        <v>0</v>
      </c>
    </row>
    <row r="89" spans="1:13" ht="15.75">
      <c r="A89" s="182"/>
      <c r="B89" s="148"/>
      <c r="C89" s="151" t="s">
        <v>641</v>
      </c>
      <c r="D89" s="153" t="s">
        <v>31</v>
      </c>
      <c r="E89" s="153">
        <v>28.6</v>
      </c>
      <c r="F89" s="173">
        <f>F88*E89</f>
        <v>28.6</v>
      </c>
      <c r="G89" s="929"/>
      <c r="H89" s="929">
        <f t="shared" si="8"/>
        <v>0</v>
      </c>
      <c r="I89" s="929"/>
      <c r="J89" s="929">
        <f t="shared" si="9"/>
        <v>0</v>
      </c>
      <c r="K89" s="929"/>
      <c r="L89" s="930">
        <f t="shared" si="5"/>
        <v>0</v>
      </c>
      <c r="M89" s="929">
        <f t="shared" si="6"/>
        <v>0</v>
      </c>
    </row>
    <row r="90" spans="1:13" ht="15.75">
      <c r="A90" s="182"/>
      <c r="B90" s="148"/>
      <c r="C90" s="151" t="s">
        <v>44</v>
      </c>
      <c r="D90" s="153" t="s">
        <v>32</v>
      </c>
      <c r="E90" s="153">
        <v>1.43</v>
      </c>
      <c r="F90" s="173">
        <f>F88*E90</f>
        <v>1.43</v>
      </c>
      <c r="G90" s="929"/>
      <c r="H90" s="929">
        <f t="shared" si="8"/>
        <v>0</v>
      </c>
      <c r="I90" s="929"/>
      <c r="J90" s="929">
        <f t="shared" si="9"/>
        <v>0</v>
      </c>
      <c r="K90" s="929"/>
      <c r="L90" s="930">
        <f t="shared" si="5"/>
        <v>0</v>
      </c>
      <c r="M90" s="929">
        <f t="shared" si="6"/>
        <v>0</v>
      </c>
    </row>
    <row r="91" spans="1:13" ht="45.75">
      <c r="A91" s="182"/>
      <c r="B91" s="148"/>
      <c r="C91" s="162" t="s">
        <v>672</v>
      </c>
      <c r="D91" s="44" t="s">
        <v>58</v>
      </c>
      <c r="E91" s="44"/>
      <c r="F91" s="189">
        <v>1</v>
      </c>
      <c r="G91" s="929"/>
      <c r="H91" s="929">
        <f t="shared" si="8"/>
        <v>0</v>
      </c>
      <c r="I91" s="929"/>
      <c r="J91" s="929">
        <f t="shared" si="9"/>
        <v>0</v>
      </c>
      <c r="K91" s="929"/>
      <c r="L91" s="930">
        <f t="shared" si="5"/>
        <v>0</v>
      </c>
      <c r="M91" s="929">
        <f t="shared" si="6"/>
        <v>0</v>
      </c>
    </row>
    <row r="92" spans="1:13" ht="15.75">
      <c r="A92" s="185"/>
      <c r="B92" s="186"/>
      <c r="C92" s="151" t="s">
        <v>742</v>
      </c>
      <c r="D92" s="153" t="s">
        <v>32</v>
      </c>
      <c r="E92" s="153">
        <v>5.16</v>
      </c>
      <c r="F92" s="187">
        <f>F88*E92</f>
        <v>5.16</v>
      </c>
      <c r="G92" s="929"/>
      <c r="H92" s="929">
        <f t="shared" si="8"/>
        <v>0</v>
      </c>
      <c r="I92" s="929"/>
      <c r="J92" s="929">
        <f t="shared" si="9"/>
        <v>0</v>
      </c>
      <c r="K92" s="929"/>
      <c r="L92" s="930">
        <f t="shared" si="5"/>
        <v>0</v>
      </c>
      <c r="M92" s="929">
        <f t="shared" si="6"/>
        <v>0</v>
      </c>
    </row>
    <row r="93" spans="1:13" ht="45.75">
      <c r="A93" s="180">
        <v>1</v>
      </c>
      <c r="B93" s="148" t="s">
        <v>730</v>
      </c>
      <c r="C93" s="151" t="s">
        <v>654</v>
      </c>
      <c r="D93" s="44" t="s">
        <v>51</v>
      </c>
      <c r="E93" s="154"/>
      <c r="F93" s="181">
        <v>7</v>
      </c>
      <c r="G93" s="929"/>
      <c r="H93" s="929">
        <f t="shared" si="8"/>
        <v>0</v>
      </c>
      <c r="I93" s="929"/>
      <c r="J93" s="929">
        <f t="shared" si="9"/>
        <v>0</v>
      </c>
      <c r="K93" s="929"/>
      <c r="L93" s="930">
        <f t="shared" si="5"/>
        <v>0</v>
      </c>
      <c r="M93" s="929">
        <f t="shared" si="6"/>
        <v>0</v>
      </c>
    </row>
    <row r="94" spans="1:13" ht="15.75">
      <c r="A94" s="182"/>
      <c r="B94" s="148"/>
      <c r="C94" s="151" t="s">
        <v>641</v>
      </c>
      <c r="D94" s="153" t="s">
        <v>31</v>
      </c>
      <c r="E94" s="153">
        <v>1.34</v>
      </c>
      <c r="F94" s="173">
        <f>F93*E94</f>
        <v>9.38</v>
      </c>
      <c r="G94" s="929"/>
      <c r="H94" s="929">
        <f t="shared" si="8"/>
        <v>0</v>
      </c>
      <c r="I94" s="929"/>
      <c r="J94" s="929">
        <f t="shared" si="9"/>
        <v>0</v>
      </c>
      <c r="K94" s="929"/>
      <c r="L94" s="930">
        <f t="shared" si="5"/>
        <v>0</v>
      </c>
      <c r="M94" s="929">
        <f t="shared" si="6"/>
        <v>0</v>
      </c>
    </row>
    <row r="95" spans="1:13" ht="15.75">
      <c r="A95" s="182"/>
      <c r="B95" s="148"/>
      <c r="C95" s="151" t="s">
        <v>44</v>
      </c>
      <c r="D95" s="153" t="s">
        <v>32</v>
      </c>
      <c r="E95" s="153">
        <v>0.05</v>
      </c>
      <c r="F95" s="173">
        <f>F93*E95</f>
        <v>0.35000000000000003</v>
      </c>
      <c r="G95" s="929"/>
      <c r="H95" s="929">
        <f t="shared" si="8"/>
        <v>0</v>
      </c>
      <c r="I95" s="929"/>
      <c r="J95" s="929">
        <f t="shared" si="9"/>
        <v>0</v>
      </c>
      <c r="K95" s="929"/>
      <c r="L95" s="930">
        <f t="shared" si="5"/>
        <v>0</v>
      </c>
      <c r="M95" s="929">
        <f t="shared" si="6"/>
        <v>0</v>
      </c>
    </row>
    <row r="96" spans="1:13" ht="45.75">
      <c r="A96" s="180"/>
      <c r="B96" s="184"/>
      <c r="C96" s="151" t="s">
        <v>654</v>
      </c>
      <c r="D96" s="152" t="s">
        <v>614</v>
      </c>
      <c r="E96" s="153"/>
      <c r="F96" s="173">
        <v>7</v>
      </c>
      <c r="G96" s="931"/>
      <c r="H96" s="929">
        <f t="shared" si="8"/>
        <v>0</v>
      </c>
      <c r="I96" s="929"/>
      <c r="J96" s="929">
        <f t="shared" si="9"/>
        <v>0</v>
      </c>
      <c r="K96" s="929"/>
      <c r="L96" s="930">
        <f t="shared" si="5"/>
        <v>0</v>
      </c>
      <c r="M96" s="929">
        <f t="shared" si="6"/>
        <v>0</v>
      </c>
    </row>
    <row r="97" spans="1:13" ht="15.75">
      <c r="A97" s="185"/>
      <c r="B97" s="186"/>
      <c r="C97" s="151" t="s">
        <v>742</v>
      </c>
      <c r="D97" s="153" t="s">
        <v>32</v>
      </c>
      <c r="E97" s="153">
        <v>0.16</v>
      </c>
      <c r="F97" s="187">
        <f>F93*E97</f>
        <v>1.12</v>
      </c>
      <c r="G97" s="929"/>
      <c r="H97" s="929">
        <f t="shared" si="8"/>
        <v>0</v>
      </c>
      <c r="I97" s="929"/>
      <c r="J97" s="929">
        <f t="shared" si="9"/>
        <v>0</v>
      </c>
      <c r="K97" s="929"/>
      <c r="L97" s="930">
        <f t="shared" si="5"/>
        <v>0</v>
      </c>
      <c r="M97" s="929">
        <f t="shared" si="6"/>
        <v>0</v>
      </c>
    </row>
    <row r="98" spans="1:13" ht="45.75">
      <c r="A98" s="180">
        <v>1</v>
      </c>
      <c r="B98" s="148" t="s">
        <v>730</v>
      </c>
      <c r="C98" s="151" t="s">
        <v>655</v>
      </c>
      <c r="D98" s="44" t="s">
        <v>51</v>
      </c>
      <c r="E98" s="154"/>
      <c r="F98" s="181">
        <v>2</v>
      </c>
      <c r="G98" s="929"/>
      <c r="H98" s="929">
        <f t="shared" si="8"/>
        <v>0</v>
      </c>
      <c r="I98" s="929"/>
      <c r="J98" s="929">
        <f t="shared" si="9"/>
        <v>0</v>
      </c>
      <c r="K98" s="929"/>
      <c r="L98" s="930">
        <f t="shared" si="5"/>
        <v>0</v>
      </c>
      <c r="M98" s="929">
        <f t="shared" si="6"/>
        <v>0</v>
      </c>
    </row>
    <row r="99" spans="1:13" ht="15.75">
      <c r="A99" s="182"/>
      <c r="B99" s="148"/>
      <c r="C99" s="151" t="s">
        <v>641</v>
      </c>
      <c r="D99" s="153" t="s">
        <v>31</v>
      </c>
      <c r="E99" s="153">
        <v>1.34</v>
      </c>
      <c r="F99" s="173">
        <f>F98*E99</f>
        <v>2.68</v>
      </c>
      <c r="G99" s="929"/>
      <c r="H99" s="929">
        <f t="shared" si="8"/>
        <v>0</v>
      </c>
      <c r="I99" s="929"/>
      <c r="J99" s="929">
        <f t="shared" si="9"/>
        <v>0</v>
      </c>
      <c r="K99" s="929"/>
      <c r="L99" s="930">
        <f t="shared" si="5"/>
        <v>0</v>
      </c>
      <c r="M99" s="929">
        <f t="shared" si="6"/>
        <v>0</v>
      </c>
    </row>
    <row r="100" spans="1:13" ht="15.75">
      <c r="A100" s="182"/>
      <c r="B100" s="148"/>
      <c r="C100" s="151" t="s">
        <v>44</v>
      </c>
      <c r="D100" s="153" t="s">
        <v>32</v>
      </c>
      <c r="E100" s="153">
        <v>0.05</v>
      </c>
      <c r="F100" s="173">
        <f>F98*E100</f>
        <v>0.1</v>
      </c>
      <c r="G100" s="929"/>
      <c r="H100" s="929">
        <f t="shared" si="8"/>
        <v>0</v>
      </c>
      <c r="I100" s="929"/>
      <c r="J100" s="929">
        <f t="shared" si="9"/>
        <v>0</v>
      </c>
      <c r="K100" s="929"/>
      <c r="L100" s="930">
        <f t="shared" si="5"/>
        <v>0</v>
      </c>
      <c r="M100" s="929">
        <f t="shared" si="6"/>
        <v>0</v>
      </c>
    </row>
    <row r="101" spans="1:13" ht="45.75">
      <c r="A101" s="180"/>
      <c r="B101" s="184"/>
      <c r="C101" s="151" t="s">
        <v>655</v>
      </c>
      <c r="D101" s="152" t="s">
        <v>614</v>
      </c>
      <c r="E101" s="153"/>
      <c r="F101" s="173">
        <v>2</v>
      </c>
      <c r="G101" s="931"/>
      <c r="H101" s="929">
        <f t="shared" si="8"/>
        <v>0</v>
      </c>
      <c r="I101" s="929"/>
      <c r="J101" s="929">
        <f t="shared" si="9"/>
        <v>0</v>
      </c>
      <c r="K101" s="929"/>
      <c r="L101" s="930">
        <f t="shared" si="5"/>
        <v>0</v>
      </c>
      <c r="M101" s="929">
        <f t="shared" si="6"/>
        <v>0</v>
      </c>
    </row>
    <row r="102" spans="1:13" ht="15.75">
      <c r="A102" s="185"/>
      <c r="B102" s="186"/>
      <c r="C102" s="151" t="s">
        <v>742</v>
      </c>
      <c r="D102" s="153" t="s">
        <v>32</v>
      </c>
      <c r="E102" s="153">
        <v>0.16</v>
      </c>
      <c r="F102" s="187">
        <f>F98*E102</f>
        <v>0.32</v>
      </c>
      <c r="G102" s="929"/>
      <c r="H102" s="929">
        <f t="shared" si="8"/>
        <v>0</v>
      </c>
      <c r="I102" s="929"/>
      <c r="J102" s="929">
        <f t="shared" si="9"/>
        <v>0</v>
      </c>
      <c r="K102" s="929"/>
      <c r="L102" s="930">
        <f t="shared" si="5"/>
        <v>0</v>
      </c>
      <c r="M102" s="929">
        <f t="shared" si="6"/>
        <v>0</v>
      </c>
    </row>
    <row r="103" spans="1:13" ht="15">
      <c r="A103" s="188"/>
      <c r="B103" s="186"/>
      <c r="C103" s="183"/>
      <c r="D103" s="153"/>
      <c r="E103" s="153"/>
      <c r="F103" s="187"/>
      <c r="G103" s="929"/>
      <c r="H103" s="929">
        <f t="shared" si="8"/>
        <v>0</v>
      </c>
      <c r="I103" s="929"/>
      <c r="J103" s="929">
        <f t="shared" si="9"/>
        <v>0</v>
      </c>
      <c r="K103" s="929"/>
      <c r="L103" s="930">
        <f t="shared" si="5"/>
        <v>0</v>
      </c>
      <c r="M103" s="929">
        <f t="shared" si="6"/>
        <v>0</v>
      </c>
    </row>
    <row r="104" spans="1:13" ht="40.5">
      <c r="A104" s="180">
        <v>1</v>
      </c>
      <c r="B104" s="148" t="s">
        <v>733</v>
      </c>
      <c r="C104" s="37" t="s">
        <v>734</v>
      </c>
      <c r="D104" s="44" t="s">
        <v>51</v>
      </c>
      <c r="E104" s="154"/>
      <c r="F104" s="181">
        <f>F107</f>
        <v>1</v>
      </c>
      <c r="G104" s="929"/>
      <c r="H104" s="929">
        <f t="shared" si="8"/>
        <v>0</v>
      </c>
      <c r="I104" s="929"/>
      <c r="J104" s="929">
        <f t="shared" si="9"/>
        <v>0</v>
      </c>
      <c r="K104" s="929"/>
      <c r="L104" s="930">
        <f t="shared" si="5"/>
        <v>0</v>
      </c>
      <c r="M104" s="929">
        <f t="shared" si="6"/>
        <v>0</v>
      </c>
    </row>
    <row r="105" spans="1:13" ht="15.75">
      <c r="A105" s="182"/>
      <c r="B105" s="148"/>
      <c r="C105" s="151" t="s">
        <v>641</v>
      </c>
      <c r="D105" s="153" t="s">
        <v>31</v>
      </c>
      <c r="E105" s="153">
        <v>3.03</v>
      </c>
      <c r="F105" s="173">
        <f>F104*E105</f>
        <v>3.03</v>
      </c>
      <c r="G105" s="929"/>
      <c r="H105" s="929">
        <f t="shared" si="8"/>
        <v>0</v>
      </c>
      <c r="I105" s="929"/>
      <c r="J105" s="929">
        <f t="shared" si="9"/>
        <v>0</v>
      </c>
      <c r="K105" s="929"/>
      <c r="L105" s="930">
        <f t="shared" si="5"/>
        <v>0</v>
      </c>
      <c r="M105" s="929">
        <f t="shared" si="6"/>
        <v>0</v>
      </c>
    </row>
    <row r="106" spans="1:13" ht="15.75">
      <c r="A106" s="182"/>
      <c r="B106" s="148"/>
      <c r="C106" s="151" t="s">
        <v>44</v>
      </c>
      <c r="D106" s="153" t="s">
        <v>32</v>
      </c>
      <c r="E106" s="153">
        <v>0.12</v>
      </c>
      <c r="F106" s="173">
        <f>F104*E106</f>
        <v>0.12</v>
      </c>
      <c r="G106" s="929"/>
      <c r="H106" s="929">
        <f t="shared" si="8"/>
        <v>0</v>
      </c>
      <c r="I106" s="929"/>
      <c r="J106" s="929">
        <f t="shared" si="9"/>
        <v>0</v>
      </c>
      <c r="K106" s="929"/>
      <c r="L106" s="930">
        <f t="shared" si="5"/>
        <v>0</v>
      </c>
      <c r="M106" s="929">
        <f t="shared" si="6"/>
        <v>0</v>
      </c>
    </row>
    <row r="107" spans="1:13" ht="15.75">
      <c r="A107" s="180"/>
      <c r="B107" s="184"/>
      <c r="C107" s="151" t="s">
        <v>673</v>
      </c>
      <c r="D107" s="44" t="s">
        <v>51</v>
      </c>
      <c r="E107" s="44"/>
      <c r="F107" s="189">
        <v>1</v>
      </c>
      <c r="G107" s="929"/>
      <c r="H107" s="929">
        <f t="shared" si="8"/>
        <v>0</v>
      </c>
      <c r="I107" s="929"/>
      <c r="J107" s="929">
        <f t="shared" si="9"/>
        <v>0</v>
      </c>
      <c r="K107" s="929"/>
      <c r="L107" s="930">
        <f t="shared" si="5"/>
        <v>0</v>
      </c>
      <c r="M107" s="929">
        <f t="shared" si="6"/>
        <v>0</v>
      </c>
    </row>
    <row r="108" spans="1:13" ht="40.5">
      <c r="A108" s="180">
        <v>1</v>
      </c>
      <c r="B108" s="148" t="s">
        <v>727</v>
      </c>
      <c r="C108" s="37" t="s">
        <v>728</v>
      </c>
      <c r="D108" s="154" t="s">
        <v>729</v>
      </c>
      <c r="E108" s="154"/>
      <c r="F108" s="181">
        <f>F111+F112</f>
        <v>45</v>
      </c>
      <c r="G108" s="929"/>
      <c r="H108" s="929">
        <f t="shared" si="8"/>
        <v>0</v>
      </c>
      <c r="I108" s="929"/>
      <c r="J108" s="929">
        <f t="shared" si="9"/>
        <v>0</v>
      </c>
      <c r="K108" s="929"/>
      <c r="L108" s="930">
        <f aca="true" t="shared" si="10" ref="L108:L171">F108*K108</f>
        <v>0</v>
      </c>
      <c r="M108" s="929">
        <f aca="true" t="shared" si="11" ref="M108:M171">H108+J108+L108</f>
        <v>0</v>
      </c>
    </row>
    <row r="109" spans="1:13" ht="15.75">
      <c r="A109" s="182"/>
      <c r="B109" s="148"/>
      <c r="C109" s="151" t="s">
        <v>641</v>
      </c>
      <c r="D109" s="153" t="s">
        <v>31</v>
      </c>
      <c r="E109" s="153">
        <v>1.54</v>
      </c>
      <c r="F109" s="173">
        <f>F108*E109</f>
        <v>69.3</v>
      </c>
      <c r="G109" s="929"/>
      <c r="H109" s="929">
        <f t="shared" si="8"/>
        <v>0</v>
      </c>
      <c r="I109" s="929"/>
      <c r="J109" s="929">
        <f t="shared" si="9"/>
        <v>0</v>
      </c>
      <c r="K109" s="929"/>
      <c r="L109" s="930">
        <f t="shared" si="10"/>
        <v>0</v>
      </c>
      <c r="M109" s="929">
        <f t="shared" si="11"/>
        <v>0</v>
      </c>
    </row>
    <row r="110" spans="1:13" ht="15.75">
      <c r="A110" s="182"/>
      <c r="B110" s="148"/>
      <c r="C110" s="151" t="s">
        <v>44</v>
      </c>
      <c r="D110" s="153" t="s">
        <v>32</v>
      </c>
      <c r="E110" s="153">
        <v>0.0373</v>
      </c>
      <c r="F110" s="173">
        <f>F108*E110</f>
        <v>1.6785</v>
      </c>
      <c r="G110" s="929"/>
      <c r="H110" s="929">
        <f t="shared" si="8"/>
        <v>0</v>
      </c>
      <c r="I110" s="929"/>
      <c r="J110" s="929">
        <f t="shared" si="9"/>
        <v>0</v>
      </c>
      <c r="K110" s="929"/>
      <c r="L110" s="930">
        <f t="shared" si="10"/>
        <v>0</v>
      </c>
      <c r="M110" s="929">
        <f t="shared" si="11"/>
        <v>0</v>
      </c>
    </row>
    <row r="111" spans="1:13" ht="47.25">
      <c r="A111" s="158"/>
      <c r="B111" s="148"/>
      <c r="C111" s="37" t="s">
        <v>656</v>
      </c>
      <c r="D111" s="152" t="s">
        <v>651</v>
      </c>
      <c r="E111" s="153"/>
      <c r="F111" s="173">
        <v>17</v>
      </c>
      <c r="G111" s="934"/>
      <c r="H111" s="929">
        <f t="shared" si="8"/>
        <v>0</v>
      </c>
      <c r="I111" s="931"/>
      <c r="J111" s="929">
        <f t="shared" si="9"/>
        <v>0</v>
      </c>
      <c r="K111" s="929"/>
      <c r="L111" s="930">
        <f t="shared" si="10"/>
        <v>0</v>
      </c>
      <c r="M111" s="929">
        <f t="shared" si="11"/>
        <v>0</v>
      </c>
    </row>
    <row r="112" spans="1:13" ht="47.25">
      <c r="A112" s="158"/>
      <c r="B112" s="148"/>
      <c r="C112" s="37" t="s">
        <v>657</v>
      </c>
      <c r="D112" s="152" t="s">
        <v>651</v>
      </c>
      <c r="E112" s="153"/>
      <c r="F112" s="173">
        <v>28</v>
      </c>
      <c r="G112" s="934"/>
      <c r="H112" s="929">
        <f t="shared" si="8"/>
        <v>0</v>
      </c>
      <c r="I112" s="931"/>
      <c r="J112" s="929">
        <f t="shared" si="9"/>
        <v>0</v>
      </c>
      <c r="K112" s="929"/>
      <c r="L112" s="930">
        <f t="shared" si="10"/>
        <v>0</v>
      </c>
      <c r="M112" s="929">
        <f t="shared" si="11"/>
        <v>0</v>
      </c>
    </row>
    <row r="113" spans="1:13" ht="15.75">
      <c r="A113" s="185"/>
      <c r="B113" s="186"/>
      <c r="C113" s="151" t="s">
        <v>742</v>
      </c>
      <c r="D113" s="153" t="s">
        <v>32</v>
      </c>
      <c r="E113" s="153">
        <v>0.169</v>
      </c>
      <c r="F113" s="187">
        <f>F108*E113</f>
        <v>7.605</v>
      </c>
      <c r="G113" s="934"/>
      <c r="H113" s="929">
        <f t="shared" si="8"/>
        <v>0</v>
      </c>
      <c r="I113" s="929"/>
      <c r="J113" s="929">
        <f t="shared" si="9"/>
        <v>0</v>
      </c>
      <c r="K113" s="929"/>
      <c r="L113" s="930">
        <f t="shared" si="10"/>
        <v>0</v>
      </c>
      <c r="M113" s="929">
        <f t="shared" si="11"/>
        <v>0</v>
      </c>
    </row>
    <row r="114" spans="1:13" ht="16.5">
      <c r="A114" s="158"/>
      <c r="B114" s="148"/>
      <c r="C114" s="161" t="s">
        <v>674</v>
      </c>
      <c r="D114" s="152"/>
      <c r="E114" s="153"/>
      <c r="F114" s="173"/>
      <c r="G114" s="931"/>
      <c r="H114" s="929">
        <f t="shared" si="8"/>
        <v>0</v>
      </c>
      <c r="I114" s="929"/>
      <c r="J114" s="929">
        <f t="shared" si="9"/>
        <v>0</v>
      </c>
      <c r="K114" s="929"/>
      <c r="L114" s="930">
        <f t="shared" si="10"/>
        <v>0</v>
      </c>
      <c r="M114" s="929">
        <f t="shared" si="11"/>
        <v>0</v>
      </c>
    </row>
    <row r="115" spans="1:13" ht="63">
      <c r="A115" s="180">
        <v>1</v>
      </c>
      <c r="B115" s="148" t="s">
        <v>732</v>
      </c>
      <c r="C115" s="162" t="s">
        <v>675</v>
      </c>
      <c r="D115" s="44" t="s">
        <v>58</v>
      </c>
      <c r="E115" s="44"/>
      <c r="F115" s="189">
        <v>1</v>
      </c>
      <c r="G115" s="929"/>
      <c r="H115" s="929">
        <f t="shared" si="8"/>
        <v>0</v>
      </c>
      <c r="I115" s="929"/>
      <c r="J115" s="929">
        <f t="shared" si="9"/>
        <v>0</v>
      </c>
      <c r="K115" s="929"/>
      <c r="L115" s="930">
        <f t="shared" si="10"/>
        <v>0</v>
      </c>
      <c r="M115" s="929">
        <f t="shared" si="11"/>
        <v>0</v>
      </c>
    </row>
    <row r="116" spans="1:13" ht="15.75">
      <c r="A116" s="182"/>
      <c r="B116" s="148"/>
      <c r="C116" s="151" t="s">
        <v>641</v>
      </c>
      <c r="D116" s="153" t="s">
        <v>31</v>
      </c>
      <c r="E116" s="153">
        <v>28.6</v>
      </c>
      <c r="F116" s="173">
        <f>F115*E116</f>
        <v>28.6</v>
      </c>
      <c r="G116" s="929"/>
      <c r="H116" s="929">
        <f t="shared" si="8"/>
        <v>0</v>
      </c>
      <c r="I116" s="929"/>
      <c r="J116" s="929">
        <f t="shared" si="9"/>
        <v>0</v>
      </c>
      <c r="K116" s="929"/>
      <c r="L116" s="930">
        <f t="shared" si="10"/>
        <v>0</v>
      </c>
      <c r="M116" s="929">
        <f t="shared" si="11"/>
        <v>0</v>
      </c>
    </row>
    <row r="117" spans="1:13" ht="15.75">
      <c r="A117" s="182"/>
      <c r="B117" s="148"/>
      <c r="C117" s="151" t="s">
        <v>44</v>
      </c>
      <c r="D117" s="153" t="s">
        <v>32</v>
      </c>
      <c r="E117" s="153">
        <v>1.43</v>
      </c>
      <c r="F117" s="173">
        <f>F115*E117</f>
        <v>1.43</v>
      </c>
      <c r="G117" s="929"/>
      <c r="H117" s="929">
        <f t="shared" si="8"/>
        <v>0</v>
      </c>
      <c r="I117" s="929"/>
      <c r="J117" s="929">
        <f t="shared" si="9"/>
        <v>0</v>
      </c>
      <c r="K117" s="929"/>
      <c r="L117" s="930">
        <f t="shared" si="10"/>
        <v>0</v>
      </c>
      <c r="M117" s="929">
        <f t="shared" si="11"/>
        <v>0</v>
      </c>
    </row>
    <row r="118" spans="1:13" ht="63">
      <c r="A118" s="182"/>
      <c r="B118" s="148"/>
      <c r="C118" s="162" t="s">
        <v>675</v>
      </c>
      <c r="D118" s="44" t="s">
        <v>58</v>
      </c>
      <c r="E118" s="44"/>
      <c r="F118" s="189">
        <v>1</v>
      </c>
      <c r="G118" s="934"/>
      <c r="H118" s="929">
        <f t="shared" si="8"/>
        <v>0</v>
      </c>
      <c r="I118" s="929"/>
      <c r="J118" s="929">
        <f t="shared" si="9"/>
        <v>0</v>
      </c>
      <c r="K118" s="929"/>
      <c r="L118" s="930">
        <f t="shared" si="10"/>
        <v>0</v>
      </c>
      <c r="M118" s="929">
        <f t="shared" si="11"/>
        <v>0</v>
      </c>
    </row>
    <row r="119" spans="1:13" ht="15.75">
      <c r="A119" s="158"/>
      <c r="B119" s="148"/>
      <c r="C119" s="151" t="s">
        <v>671</v>
      </c>
      <c r="D119" s="152" t="s">
        <v>614</v>
      </c>
      <c r="E119" s="153"/>
      <c r="F119" s="173">
        <v>2</v>
      </c>
      <c r="G119" s="934"/>
      <c r="H119" s="929">
        <f t="shared" si="8"/>
        <v>0</v>
      </c>
      <c r="I119" s="931"/>
      <c r="J119" s="929">
        <f t="shared" si="9"/>
        <v>0</v>
      </c>
      <c r="K119" s="929"/>
      <c r="L119" s="930">
        <f t="shared" si="10"/>
        <v>0</v>
      </c>
      <c r="M119" s="929">
        <f t="shared" si="11"/>
        <v>0</v>
      </c>
    </row>
    <row r="120" spans="1:13" ht="15.75">
      <c r="A120" s="185"/>
      <c r="B120" s="186"/>
      <c r="C120" s="151" t="s">
        <v>742</v>
      </c>
      <c r="D120" s="153" t="s">
        <v>32</v>
      </c>
      <c r="E120" s="153">
        <v>5.16</v>
      </c>
      <c r="F120" s="187">
        <f>F115*E120</f>
        <v>5.16</v>
      </c>
      <c r="G120" s="934"/>
      <c r="H120" s="929">
        <f t="shared" si="8"/>
        <v>0</v>
      </c>
      <c r="I120" s="929"/>
      <c r="J120" s="929">
        <f t="shared" si="9"/>
        <v>0</v>
      </c>
      <c r="K120" s="929"/>
      <c r="L120" s="930">
        <f t="shared" si="10"/>
        <v>0</v>
      </c>
      <c r="M120" s="929">
        <f t="shared" si="11"/>
        <v>0</v>
      </c>
    </row>
    <row r="121" spans="1:13" ht="15">
      <c r="A121" s="188"/>
      <c r="B121" s="186"/>
      <c r="C121" s="183"/>
      <c r="D121" s="153"/>
      <c r="E121" s="153"/>
      <c r="F121" s="187"/>
      <c r="G121" s="929"/>
      <c r="H121" s="929">
        <f t="shared" si="8"/>
        <v>0</v>
      </c>
      <c r="I121" s="929"/>
      <c r="J121" s="929">
        <f t="shared" si="9"/>
        <v>0</v>
      </c>
      <c r="K121" s="929"/>
      <c r="L121" s="930">
        <f t="shared" si="10"/>
        <v>0</v>
      </c>
      <c r="M121" s="929">
        <f t="shared" si="11"/>
        <v>0</v>
      </c>
    </row>
    <row r="122" spans="1:13" ht="40.5">
      <c r="A122" s="180">
        <v>1</v>
      </c>
      <c r="B122" s="148" t="s">
        <v>730</v>
      </c>
      <c r="C122" s="151" t="s">
        <v>735</v>
      </c>
      <c r="D122" s="44" t="s">
        <v>51</v>
      </c>
      <c r="E122" s="154"/>
      <c r="F122" s="181">
        <f>F125+F126</f>
        <v>3</v>
      </c>
      <c r="G122" s="929"/>
      <c r="H122" s="929">
        <f t="shared" si="8"/>
        <v>0</v>
      </c>
      <c r="I122" s="929"/>
      <c r="J122" s="929">
        <f t="shared" si="9"/>
        <v>0</v>
      </c>
      <c r="K122" s="929"/>
      <c r="L122" s="930">
        <f t="shared" si="10"/>
        <v>0</v>
      </c>
      <c r="M122" s="929">
        <f t="shared" si="11"/>
        <v>0</v>
      </c>
    </row>
    <row r="123" spans="1:13" ht="15.75">
      <c r="A123" s="182"/>
      <c r="B123" s="148"/>
      <c r="C123" s="151" t="s">
        <v>641</v>
      </c>
      <c r="D123" s="153" t="s">
        <v>31</v>
      </c>
      <c r="E123" s="153">
        <v>1.34</v>
      </c>
      <c r="F123" s="173">
        <f>F122*E123</f>
        <v>4.0200000000000005</v>
      </c>
      <c r="G123" s="929"/>
      <c r="H123" s="929">
        <f t="shared" si="8"/>
        <v>0</v>
      </c>
      <c r="I123" s="929"/>
      <c r="J123" s="929">
        <f t="shared" si="9"/>
        <v>0</v>
      </c>
      <c r="K123" s="929"/>
      <c r="L123" s="930">
        <f t="shared" si="10"/>
        <v>0</v>
      </c>
      <c r="M123" s="929">
        <f t="shared" si="11"/>
        <v>0</v>
      </c>
    </row>
    <row r="124" spans="1:13" ht="15.75">
      <c r="A124" s="182"/>
      <c r="B124" s="148"/>
      <c r="C124" s="151" t="s">
        <v>44</v>
      </c>
      <c r="D124" s="153" t="s">
        <v>32</v>
      </c>
      <c r="E124" s="153">
        <v>0.05</v>
      </c>
      <c r="F124" s="173">
        <f>F122*E124</f>
        <v>0.15000000000000002</v>
      </c>
      <c r="G124" s="929"/>
      <c r="H124" s="929">
        <f t="shared" si="8"/>
        <v>0</v>
      </c>
      <c r="I124" s="929"/>
      <c r="J124" s="929">
        <f t="shared" si="9"/>
        <v>0</v>
      </c>
      <c r="K124" s="929"/>
      <c r="L124" s="930">
        <f t="shared" si="10"/>
        <v>0</v>
      </c>
      <c r="M124" s="929">
        <f t="shared" si="11"/>
        <v>0</v>
      </c>
    </row>
    <row r="125" spans="1:13" ht="15.75">
      <c r="A125" s="180"/>
      <c r="B125" s="184"/>
      <c r="C125" s="151" t="s">
        <v>676</v>
      </c>
      <c r="D125" s="152" t="s">
        <v>614</v>
      </c>
      <c r="E125" s="153"/>
      <c r="F125" s="173">
        <v>1</v>
      </c>
      <c r="G125" s="934"/>
      <c r="H125" s="929">
        <f t="shared" si="8"/>
        <v>0</v>
      </c>
      <c r="I125" s="931"/>
      <c r="J125" s="929">
        <f t="shared" si="9"/>
        <v>0</v>
      </c>
      <c r="K125" s="929"/>
      <c r="L125" s="930">
        <f t="shared" si="10"/>
        <v>0</v>
      </c>
      <c r="M125" s="929">
        <f t="shared" si="11"/>
        <v>0</v>
      </c>
    </row>
    <row r="126" spans="1:13" ht="15.75">
      <c r="A126" s="180"/>
      <c r="B126" s="184"/>
      <c r="C126" s="151" t="s">
        <v>677</v>
      </c>
      <c r="D126" s="152" t="s">
        <v>614</v>
      </c>
      <c r="E126" s="153"/>
      <c r="F126" s="173">
        <v>2</v>
      </c>
      <c r="G126" s="934"/>
      <c r="H126" s="929">
        <f t="shared" si="8"/>
        <v>0</v>
      </c>
      <c r="I126" s="931"/>
      <c r="J126" s="929">
        <f t="shared" si="9"/>
        <v>0</v>
      </c>
      <c r="K126" s="929"/>
      <c r="L126" s="930">
        <f t="shared" si="10"/>
        <v>0</v>
      </c>
      <c r="M126" s="929">
        <f t="shared" si="11"/>
        <v>0</v>
      </c>
    </row>
    <row r="127" spans="1:13" ht="15.75">
      <c r="A127" s="185"/>
      <c r="B127" s="186"/>
      <c r="C127" s="151" t="s">
        <v>742</v>
      </c>
      <c r="D127" s="153" t="s">
        <v>32</v>
      </c>
      <c r="E127" s="153">
        <v>0.16</v>
      </c>
      <c r="F127" s="187">
        <f>F122*E127</f>
        <v>0.48</v>
      </c>
      <c r="G127" s="934"/>
      <c r="H127" s="929">
        <f t="shared" si="8"/>
        <v>0</v>
      </c>
      <c r="I127" s="929"/>
      <c r="J127" s="929">
        <f t="shared" si="9"/>
        <v>0</v>
      </c>
      <c r="K127" s="929"/>
      <c r="L127" s="930">
        <f t="shared" si="10"/>
        <v>0</v>
      </c>
      <c r="M127" s="929">
        <f t="shared" si="11"/>
        <v>0</v>
      </c>
    </row>
    <row r="128" spans="1:13" ht="40.5">
      <c r="A128" s="180">
        <v>1</v>
      </c>
      <c r="B128" s="148" t="s">
        <v>727</v>
      </c>
      <c r="C128" s="37" t="s">
        <v>728</v>
      </c>
      <c r="D128" s="154" t="s">
        <v>729</v>
      </c>
      <c r="E128" s="154"/>
      <c r="F128" s="181">
        <f>F131</f>
        <v>7</v>
      </c>
      <c r="G128" s="929"/>
      <c r="H128" s="929">
        <f t="shared" si="8"/>
        <v>0</v>
      </c>
      <c r="I128" s="929"/>
      <c r="J128" s="929">
        <f t="shared" si="9"/>
        <v>0</v>
      </c>
      <c r="K128" s="929"/>
      <c r="L128" s="930">
        <f t="shared" si="10"/>
        <v>0</v>
      </c>
      <c r="M128" s="929">
        <f t="shared" si="11"/>
        <v>0</v>
      </c>
    </row>
    <row r="129" spans="1:13" ht="15.75">
      <c r="A129" s="182"/>
      <c r="B129" s="148"/>
      <c r="C129" s="151" t="s">
        <v>641</v>
      </c>
      <c r="D129" s="153" t="s">
        <v>31</v>
      </c>
      <c r="E129" s="153">
        <v>1.54</v>
      </c>
      <c r="F129" s="173">
        <f>F128*E129</f>
        <v>10.780000000000001</v>
      </c>
      <c r="G129" s="929"/>
      <c r="H129" s="929">
        <f t="shared" si="8"/>
        <v>0</v>
      </c>
      <c r="I129" s="929"/>
      <c r="J129" s="929">
        <f t="shared" si="9"/>
        <v>0</v>
      </c>
      <c r="K129" s="929"/>
      <c r="L129" s="930">
        <f t="shared" si="10"/>
        <v>0</v>
      </c>
      <c r="M129" s="929">
        <f t="shared" si="11"/>
        <v>0</v>
      </c>
    </row>
    <row r="130" spans="1:13" ht="15.75">
      <c r="A130" s="182"/>
      <c r="B130" s="148"/>
      <c r="C130" s="151" t="s">
        <v>44</v>
      </c>
      <c r="D130" s="153" t="s">
        <v>32</v>
      </c>
      <c r="E130" s="153">
        <v>0.0373</v>
      </c>
      <c r="F130" s="173">
        <f>F128*E130</f>
        <v>0.2611</v>
      </c>
      <c r="G130" s="929"/>
      <c r="H130" s="929">
        <f t="shared" si="8"/>
        <v>0</v>
      </c>
      <c r="I130" s="929"/>
      <c r="J130" s="929">
        <f t="shared" si="9"/>
        <v>0</v>
      </c>
      <c r="K130" s="929"/>
      <c r="L130" s="930">
        <f t="shared" si="10"/>
        <v>0</v>
      </c>
      <c r="M130" s="929">
        <f t="shared" si="11"/>
        <v>0</v>
      </c>
    </row>
    <row r="131" spans="1:13" ht="47.25">
      <c r="A131" s="158"/>
      <c r="B131" s="148"/>
      <c r="C131" s="37" t="s">
        <v>656</v>
      </c>
      <c r="D131" s="152" t="s">
        <v>651</v>
      </c>
      <c r="E131" s="153"/>
      <c r="F131" s="173">
        <v>7</v>
      </c>
      <c r="G131" s="200"/>
      <c r="H131" s="929">
        <f t="shared" si="8"/>
        <v>0</v>
      </c>
      <c r="I131" s="931"/>
      <c r="J131" s="929">
        <f t="shared" si="9"/>
        <v>0</v>
      </c>
      <c r="K131" s="929"/>
      <c r="L131" s="930">
        <f t="shared" si="10"/>
        <v>0</v>
      </c>
      <c r="M131" s="929">
        <f t="shared" si="11"/>
        <v>0</v>
      </c>
    </row>
    <row r="132" spans="1:13" ht="15.75">
      <c r="A132" s="158"/>
      <c r="B132" s="148"/>
      <c r="C132" s="151" t="s">
        <v>678</v>
      </c>
      <c r="D132" s="152" t="s">
        <v>614</v>
      </c>
      <c r="E132" s="153"/>
      <c r="F132" s="173">
        <v>1</v>
      </c>
      <c r="G132" s="200"/>
      <c r="H132" s="929">
        <f>F132*G132</f>
        <v>0</v>
      </c>
      <c r="I132" s="931"/>
      <c r="J132" s="929">
        <f>F132*I132</f>
        <v>0</v>
      </c>
      <c r="K132" s="929"/>
      <c r="L132" s="930">
        <f t="shared" si="10"/>
        <v>0</v>
      </c>
      <c r="M132" s="929">
        <f t="shared" si="11"/>
        <v>0</v>
      </c>
    </row>
    <row r="133" spans="1:13" ht="15.75">
      <c r="A133" s="185"/>
      <c r="B133" s="186"/>
      <c r="C133" s="151" t="s">
        <v>742</v>
      </c>
      <c r="D133" s="153" t="s">
        <v>32</v>
      </c>
      <c r="E133" s="153">
        <v>0.169</v>
      </c>
      <c r="F133" s="187">
        <f>F128*E133</f>
        <v>1.183</v>
      </c>
      <c r="G133" s="200"/>
      <c r="H133" s="929">
        <f>F133*G133</f>
        <v>0</v>
      </c>
      <c r="I133" s="929"/>
      <c r="J133" s="929">
        <f>F133*I133</f>
        <v>0</v>
      </c>
      <c r="K133" s="929"/>
      <c r="L133" s="930">
        <f t="shared" si="10"/>
        <v>0</v>
      </c>
      <c r="M133" s="929">
        <f t="shared" si="11"/>
        <v>0</v>
      </c>
    </row>
    <row r="134" spans="1:13" ht="16.5">
      <c r="A134" s="158"/>
      <c r="B134" s="148"/>
      <c r="C134" s="161" t="s">
        <v>679</v>
      </c>
      <c r="D134" s="152"/>
      <c r="E134" s="153"/>
      <c r="F134" s="173"/>
      <c r="G134" s="931"/>
      <c r="H134" s="929">
        <f>F134*G134</f>
        <v>0</v>
      </c>
      <c r="I134" s="929"/>
      <c r="J134" s="929">
        <f>F134*I134</f>
        <v>0</v>
      </c>
      <c r="K134" s="929"/>
      <c r="L134" s="930">
        <f t="shared" si="10"/>
        <v>0</v>
      </c>
      <c r="M134" s="929">
        <f t="shared" si="11"/>
        <v>0</v>
      </c>
    </row>
    <row r="135" spans="1:13" ht="63">
      <c r="A135" s="180">
        <v>1</v>
      </c>
      <c r="B135" s="148" t="s">
        <v>732</v>
      </c>
      <c r="C135" s="162" t="s">
        <v>680</v>
      </c>
      <c r="D135" s="44" t="s">
        <v>58</v>
      </c>
      <c r="E135" s="44"/>
      <c r="F135" s="189">
        <v>1</v>
      </c>
      <c r="G135" s="929"/>
      <c r="H135" s="929">
        <f aca="true" t="shared" si="12" ref="H135:H194">F135*G135</f>
        <v>0</v>
      </c>
      <c r="I135" s="929"/>
      <c r="J135" s="929">
        <f aca="true" t="shared" si="13" ref="J135:J194">F135*I135</f>
        <v>0</v>
      </c>
      <c r="K135" s="929"/>
      <c r="L135" s="930">
        <f t="shared" si="10"/>
        <v>0</v>
      </c>
      <c r="M135" s="929">
        <f t="shared" si="11"/>
        <v>0</v>
      </c>
    </row>
    <row r="136" spans="1:13" ht="15.75">
      <c r="A136" s="182"/>
      <c r="B136" s="148"/>
      <c r="C136" s="151" t="s">
        <v>641</v>
      </c>
      <c r="D136" s="153" t="s">
        <v>31</v>
      </c>
      <c r="E136" s="153">
        <v>28.6</v>
      </c>
      <c r="F136" s="173">
        <f>F135*E136</f>
        <v>28.6</v>
      </c>
      <c r="G136" s="929"/>
      <c r="H136" s="929">
        <f t="shared" si="12"/>
        <v>0</v>
      </c>
      <c r="I136" s="929"/>
      <c r="J136" s="929">
        <f t="shared" si="13"/>
        <v>0</v>
      </c>
      <c r="K136" s="929"/>
      <c r="L136" s="930">
        <f t="shared" si="10"/>
        <v>0</v>
      </c>
      <c r="M136" s="929">
        <f t="shared" si="11"/>
        <v>0</v>
      </c>
    </row>
    <row r="137" spans="1:13" ht="15.75">
      <c r="A137" s="182"/>
      <c r="B137" s="148"/>
      <c r="C137" s="151" t="s">
        <v>44</v>
      </c>
      <c r="D137" s="153" t="s">
        <v>32</v>
      </c>
      <c r="E137" s="153">
        <v>1.43</v>
      </c>
      <c r="F137" s="173">
        <f>F135*E137</f>
        <v>1.43</v>
      </c>
      <c r="G137" s="929"/>
      <c r="H137" s="929">
        <f t="shared" si="12"/>
        <v>0</v>
      </c>
      <c r="I137" s="929"/>
      <c r="J137" s="929">
        <f t="shared" si="13"/>
        <v>0</v>
      </c>
      <c r="K137" s="929"/>
      <c r="L137" s="930">
        <f t="shared" si="10"/>
        <v>0</v>
      </c>
      <c r="M137" s="929">
        <f t="shared" si="11"/>
        <v>0</v>
      </c>
    </row>
    <row r="138" spans="1:13" ht="63">
      <c r="A138" s="182"/>
      <c r="B138" s="148"/>
      <c r="C138" s="162" t="s">
        <v>680</v>
      </c>
      <c r="D138" s="44" t="s">
        <v>58</v>
      </c>
      <c r="E138" s="44"/>
      <c r="F138" s="189">
        <v>1</v>
      </c>
      <c r="G138" s="929"/>
      <c r="H138" s="929">
        <f t="shared" si="12"/>
        <v>0</v>
      </c>
      <c r="I138" s="929"/>
      <c r="J138" s="929">
        <f t="shared" si="13"/>
        <v>0</v>
      </c>
      <c r="K138" s="929"/>
      <c r="L138" s="930">
        <f t="shared" si="10"/>
        <v>0</v>
      </c>
      <c r="M138" s="929">
        <f t="shared" si="11"/>
        <v>0</v>
      </c>
    </row>
    <row r="139" spans="1:13" ht="15.75">
      <c r="A139" s="158"/>
      <c r="B139" s="148"/>
      <c r="C139" s="151" t="s">
        <v>671</v>
      </c>
      <c r="D139" s="152" t="s">
        <v>614</v>
      </c>
      <c r="E139" s="153"/>
      <c r="F139" s="173">
        <v>2</v>
      </c>
      <c r="G139" s="929"/>
      <c r="H139" s="929">
        <f t="shared" si="12"/>
        <v>0</v>
      </c>
      <c r="I139" s="931"/>
      <c r="J139" s="929">
        <f t="shared" si="13"/>
        <v>0</v>
      </c>
      <c r="K139" s="929"/>
      <c r="L139" s="930">
        <f t="shared" si="10"/>
        <v>0</v>
      </c>
      <c r="M139" s="929">
        <f t="shared" si="11"/>
        <v>0</v>
      </c>
    </row>
    <row r="140" spans="1:13" ht="15.75">
      <c r="A140" s="185"/>
      <c r="B140" s="186"/>
      <c r="C140" s="151" t="s">
        <v>742</v>
      </c>
      <c r="D140" s="153" t="s">
        <v>32</v>
      </c>
      <c r="E140" s="153">
        <v>5.16</v>
      </c>
      <c r="F140" s="187">
        <f>F135*E140</f>
        <v>5.16</v>
      </c>
      <c r="G140" s="929"/>
      <c r="H140" s="929">
        <f t="shared" si="12"/>
        <v>0</v>
      </c>
      <c r="I140" s="929"/>
      <c r="J140" s="929">
        <f t="shared" si="13"/>
        <v>0</v>
      </c>
      <c r="K140" s="929"/>
      <c r="L140" s="930">
        <f t="shared" si="10"/>
        <v>0</v>
      </c>
      <c r="M140" s="929">
        <f t="shared" si="11"/>
        <v>0</v>
      </c>
    </row>
    <row r="141" spans="1:13" ht="40.5">
      <c r="A141" s="180">
        <v>1</v>
      </c>
      <c r="B141" s="148" t="s">
        <v>730</v>
      </c>
      <c r="C141" s="151" t="s">
        <v>677</v>
      </c>
      <c r="D141" s="44" t="s">
        <v>51</v>
      </c>
      <c r="E141" s="154"/>
      <c r="F141" s="181">
        <f>F144</f>
        <v>2</v>
      </c>
      <c r="G141" s="929"/>
      <c r="H141" s="929">
        <f t="shared" si="12"/>
        <v>0</v>
      </c>
      <c r="I141" s="929"/>
      <c r="J141" s="929">
        <f t="shared" si="13"/>
        <v>0</v>
      </c>
      <c r="K141" s="929"/>
      <c r="L141" s="930">
        <f t="shared" si="10"/>
        <v>0</v>
      </c>
      <c r="M141" s="929">
        <f t="shared" si="11"/>
        <v>0</v>
      </c>
    </row>
    <row r="142" spans="1:13" ht="15.75">
      <c r="A142" s="182"/>
      <c r="B142" s="148"/>
      <c r="C142" s="151" t="s">
        <v>641</v>
      </c>
      <c r="D142" s="153" t="s">
        <v>31</v>
      </c>
      <c r="E142" s="153">
        <v>1.34</v>
      </c>
      <c r="F142" s="173">
        <f>F141*E142</f>
        <v>2.68</v>
      </c>
      <c r="G142" s="929"/>
      <c r="H142" s="929">
        <f t="shared" si="12"/>
        <v>0</v>
      </c>
      <c r="I142" s="929"/>
      <c r="J142" s="929">
        <f t="shared" si="13"/>
        <v>0</v>
      </c>
      <c r="K142" s="929"/>
      <c r="L142" s="930">
        <f t="shared" si="10"/>
        <v>0</v>
      </c>
      <c r="M142" s="929">
        <f t="shared" si="11"/>
        <v>0</v>
      </c>
    </row>
    <row r="143" spans="1:13" ht="15.75">
      <c r="A143" s="182"/>
      <c r="B143" s="148"/>
      <c r="C143" s="151" t="s">
        <v>44</v>
      </c>
      <c r="D143" s="153" t="s">
        <v>32</v>
      </c>
      <c r="E143" s="153">
        <v>0.05</v>
      </c>
      <c r="F143" s="173">
        <f>F141*E143</f>
        <v>0.1</v>
      </c>
      <c r="G143" s="929"/>
      <c r="H143" s="929">
        <f t="shared" si="12"/>
        <v>0</v>
      </c>
      <c r="I143" s="929"/>
      <c r="J143" s="929">
        <f t="shared" si="13"/>
        <v>0</v>
      </c>
      <c r="K143" s="929"/>
      <c r="L143" s="930">
        <f t="shared" si="10"/>
        <v>0</v>
      </c>
      <c r="M143" s="929">
        <f t="shared" si="11"/>
        <v>0</v>
      </c>
    </row>
    <row r="144" spans="1:13" ht="15.75">
      <c r="A144" s="180"/>
      <c r="B144" s="184"/>
      <c r="C144" s="151" t="s">
        <v>677</v>
      </c>
      <c r="D144" s="152" t="s">
        <v>614</v>
      </c>
      <c r="E144" s="153"/>
      <c r="F144" s="173">
        <v>2</v>
      </c>
      <c r="G144" s="931"/>
      <c r="H144" s="929">
        <f t="shared" si="12"/>
        <v>0</v>
      </c>
      <c r="I144" s="929"/>
      <c r="J144" s="929">
        <f t="shared" si="13"/>
        <v>0</v>
      </c>
      <c r="K144" s="929"/>
      <c r="L144" s="930">
        <f t="shared" si="10"/>
        <v>0</v>
      </c>
      <c r="M144" s="929">
        <f t="shared" si="11"/>
        <v>0</v>
      </c>
    </row>
    <row r="145" spans="1:13" ht="15.75">
      <c r="A145" s="185"/>
      <c r="B145" s="186"/>
      <c r="C145" s="151" t="s">
        <v>742</v>
      </c>
      <c r="D145" s="153" t="s">
        <v>32</v>
      </c>
      <c r="E145" s="153">
        <v>0.16</v>
      </c>
      <c r="F145" s="187">
        <f>F141*E145</f>
        <v>0.32</v>
      </c>
      <c r="G145" s="929"/>
      <c r="H145" s="929">
        <f t="shared" si="12"/>
        <v>0</v>
      </c>
      <c r="I145" s="929"/>
      <c r="J145" s="929">
        <f t="shared" si="13"/>
        <v>0</v>
      </c>
      <c r="K145" s="929"/>
      <c r="L145" s="930">
        <f t="shared" si="10"/>
        <v>0</v>
      </c>
      <c r="M145" s="929">
        <f t="shared" si="11"/>
        <v>0</v>
      </c>
    </row>
    <row r="146" spans="1:13" ht="40.5">
      <c r="A146" s="180">
        <v>1</v>
      </c>
      <c r="B146" s="148" t="s">
        <v>727</v>
      </c>
      <c r="C146" s="37" t="s">
        <v>728</v>
      </c>
      <c r="D146" s="154" t="s">
        <v>729</v>
      </c>
      <c r="E146" s="154"/>
      <c r="F146" s="181">
        <f>F149</f>
        <v>6</v>
      </c>
      <c r="G146" s="929"/>
      <c r="H146" s="929">
        <f t="shared" si="12"/>
        <v>0</v>
      </c>
      <c r="I146" s="929"/>
      <c r="J146" s="929">
        <f t="shared" si="13"/>
        <v>0</v>
      </c>
      <c r="K146" s="929"/>
      <c r="L146" s="930">
        <f t="shared" si="10"/>
        <v>0</v>
      </c>
      <c r="M146" s="929">
        <f t="shared" si="11"/>
        <v>0</v>
      </c>
    </row>
    <row r="147" spans="1:13" ht="15.75">
      <c r="A147" s="182"/>
      <c r="B147" s="148"/>
      <c r="C147" s="151" t="s">
        <v>641</v>
      </c>
      <c r="D147" s="153" t="s">
        <v>31</v>
      </c>
      <c r="E147" s="153">
        <v>1.54</v>
      </c>
      <c r="F147" s="173">
        <f>F146*E147</f>
        <v>9.24</v>
      </c>
      <c r="G147" s="929"/>
      <c r="H147" s="929">
        <f t="shared" si="12"/>
        <v>0</v>
      </c>
      <c r="I147" s="929"/>
      <c r="J147" s="929">
        <f t="shared" si="13"/>
        <v>0</v>
      </c>
      <c r="K147" s="929"/>
      <c r="L147" s="930">
        <f t="shared" si="10"/>
        <v>0</v>
      </c>
      <c r="M147" s="929">
        <f t="shared" si="11"/>
        <v>0</v>
      </c>
    </row>
    <row r="148" spans="1:13" ht="15.75">
      <c r="A148" s="182"/>
      <c r="B148" s="148"/>
      <c r="C148" s="151" t="s">
        <v>44</v>
      </c>
      <c r="D148" s="153" t="s">
        <v>32</v>
      </c>
      <c r="E148" s="153">
        <v>0.0373</v>
      </c>
      <c r="F148" s="173">
        <f>F146*E148</f>
        <v>0.2238</v>
      </c>
      <c r="G148" s="929"/>
      <c r="H148" s="929">
        <f t="shared" si="12"/>
        <v>0</v>
      </c>
      <c r="I148" s="929"/>
      <c r="J148" s="929">
        <f t="shared" si="13"/>
        <v>0</v>
      </c>
      <c r="K148" s="929"/>
      <c r="L148" s="930">
        <f t="shared" si="10"/>
        <v>0</v>
      </c>
      <c r="M148" s="929">
        <f t="shared" si="11"/>
        <v>0</v>
      </c>
    </row>
    <row r="149" spans="1:13" ht="47.25">
      <c r="A149" s="158"/>
      <c r="B149" s="148"/>
      <c r="C149" s="37" t="s">
        <v>656</v>
      </c>
      <c r="D149" s="152" t="s">
        <v>651</v>
      </c>
      <c r="E149" s="153"/>
      <c r="F149" s="173">
        <v>6</v>
      </c>
      <c r="G149" s="934"/>
      <c r="H149" s="929">
        <f t="shared" si="12"/>
        <v>0</v>
      </c>
      <c r="I149" s="931"/>
      <c r="J149" s="929">
        <f t="shared" si="13"/>
        <v>0</v>
      </c>
      <c r="K149" s="929"/>
      <c r="L149" s="930">
        <f t="shared" si="10"/>
        <v>0</v>
      </c>
      <c r="M149" s="929">
        <f t="shared" si="11"/>
        <v>0</v>
      </c>
    </row>
    <row r="150" spans="1:13" ht="15.75">
      <c r="A150" s="158"/>
      <c r="B150" s="148"/>
      <c r="C150" s="151" t="s">
        <v>681</v>
      </c>
      <c r="D150" s="152" t="s">
        <v>651</v>
      </c>
      <c r="E150" s="153"/>
      <c r="F150" s="173">
        <v>0.05</v>
      </c>
      <c r="G150" s="934"/>
      <c r="H150" s="929">
        <f t="shared" si="12"/>
        <v>0</v>
      </c>
      <c r="I150" s="931"/>
      <c r="J150" s="929">
        <f t="shared" si="13"/>
        <v>0</v>
      </c>
      <c r="K150" s="929"/>
      <c r="L150" s="930">
        <f t="shared" si="10"/>
        <v>0</v>
      </c>
      <c r="M150" s="929">
        <f t="shared" si="11"/>
        <v>0</v>
      </c>
    </row>
    <row r="151" spans="1:13" ht="15.75">
      <c r="A151" s="185"/>
      <c r="B151" s="186"/>
      <c r="C151" s="151" t="s">
        <v>742</v>
      </c>
      <c r="D151" s="153" t="s">
        <v>32</v>
      </c>
      <c r="E151" s="153">
        <v>0.169</v>
      </c>
      <c r="F151" s="187">
        <f>F146*E151</f>
        <v>1.014</v>
      </c>
      <c r="G151" s="934"/>
      <c r="H151" s="929">
        <f t="shared" si="12"/>
        <v>0</v>
      </c>
      <c r="I151" s="929"/>
      <c r="J151" s="929">
        <f t="shared" si="13"/>
        <v>0</v>
      </c>
      <c r="K151" s="929"/>
      <c r="L151" s="930">
        <f t="shared" si="10"/>
        <v>0</v>
      </c>
      <c r="M151" s="929">
        <f t="shared" si="11"/>
        <v>0</v>
      </c>
    </row>
    <row r="152" spans="1:13" ht="16.5">
      <c r="A152" s="158"/>
      <c r="B152" s="148"/>
      <c r="C152" s="161" t="s">
        <v>682</v>
      </c>
      <c r="D152" s="152"/>
      <c r="E152" s="153"/>
      <c r="F152" s="173"/>
      <c r="G152" s="931"/>
      <c r="H152" s="929">
        <f t="shared" si="12"/>
        <v>0</v>
      </c>
      <c r="I152" s="929"/>
      <c r="J152" s="929">
        <f t="shared" si="13"/>
        <v>0</v>
      </c>
      <c r="K152" s="929"/>
      <c r="L152" s="930">
        <f t="shared" si="10"/>
        <v>0</v>
      </c>
      <c r="M152" s="929">
        <f t="shared" si="11"/>
        <v>0</v>
      </c>
    </row>
    <row r="153" spans="1:13" ht="63">
      <c r="A153" s="180">
        <v>1</v>
      </c>
      <c r="B153" s="148" t="s">
        <v>732</v>
      </c>
      <c r="C153" s="162" t="s">
        <v>683</v>
      </c>
      <c r="D153" s="44" t="s">
        <v>58</v>
      </c>
      <c r="E153" s="44"/>
      <c r="F153" s="189">
        <v>1</v>
      </c>
      <c r="G153" s="929"/>
      <c r="H153" s="929">
        <f t="shared" si="12"/>
        <v>0</v>
      </c>
      <c r="I153" s="929"/>
      <c r="J153" s="929">
        <f t="shared" si="13"/>
        <v>0</v>
      </c>
      <c r="K153" s="929"/>
      <c r="L153" s="930">
        <f t="shared" si="10"/>
        <v>0</v>
      </c>
      <c r="M153" s="929">
        <f t="shared" si="11"/>
        <v>0</v>
      </c>
    </row>
    <row r="154" spans="1:13" ht="15.75">
      <c r="A154" s="182"/>
      <c r="B154" s="148"/>
      <c r="C154" s="151" t="s">
        <v>641</v>
      </c>
      <c r="D154" s="153" t="s">
        <v>31</v>
      </c>
      <c r="E154" s="153">
        <v>28.6</v>
      </c>
      <c r="F154" s="173">
        <f>F153*E154</f>
        <v>28.6</v>
      </c>
      <c r="G154" s="929"/>
      <c r="H154" s="929">
        <f t="shared" si="12"/>
        <v>0</v>
      </c>
      <c r="I154" s="929"/>
      <c r="J154" s="929">
        <f t="shared" si="13"/>
        <v>0</v>
      </c>
      <c r="K154" s="929"/>
      <c r="L154" s="930">
        <f t="shared" si="10"/>
        <v>0</v>
      </c>
      <c r="M154" s="929">
        <f t="shared" si="11"/>
        <v>0</v>
      </c>
    </row>
    <row r="155" spans="1:13" ht="15.75">
      <c r="A155" s="182"/>
      <c r="B155" s="148"/>
      <c r="C155" s="151" t="s">
        <v>44</v>
      </c>
      <c r="D155" s="153" t="s">
        <v>32</v>
      </c>
      <c r="E155" s="153">
        <v>1.43</v>
      </c>
      <c r="F155" s="173">
        <f>F153*E155</f>
        <v>1.43</v>
      </c>
      <c r="G155" s="929"/>
      <c r="H155" s="929">
        <f t="shared" si="12"/>
        <v>0</v>
      </c>
      <c r="I155" s="929"/>
      <c r="J155" s="929">
        <f t="shared" si="13"/>
        <v>0</v>
      </c>
      <c r="K155" s="929"/>
      <c r="L155" s="930">
        <f t="shared" si="10"/>
        <v>0</v>
      </c>
      <c r="M155" s="929">
        <f t="shared" si="11"/>
        <v>0</v>
      </c>
    </row>
    <row r="156" spans="1:13" ht="63">
      <c r="A156" s="182"/>
      <c r="B156" s="148"/>
      <c r="C156" s="162" t="s">
        <v>683</v>
      </c>
      <c r="D156" s="44" t="s">
        <v>58</v>
      </c>
      <c r="E156" s="44"/>
      <c r="F156" s="189">
        <v>1</v>
      </c>
      <c r="G156" s="200"/>
      <c r="H156" s="929">
        <f t="shared" si="12"/>
        <v>0</v>
      </c>
      <c r="I156" s="929"/>
      <c r="J156" s="929">
        <f t="shared" si="13"/>
        <v>0</v>
      </c>
      <c r="K156" s="929"/>
      <c r="L156" s="930">
        <f t="shared" si="10"/>
        <v>0</v>
      </c>
      <c r="M156" s="929">
        <f t="shared" si="11"/>
        <v>0</v>
      </c>
    </row>
    <row r="157" spans="1:13" ht="15.75">
      <c r="A157" s="158"/>
      <c r="B157" s="148"/>
      <c r="C157" s="151" t="s">
        <v>671</v>
      </c>
      <c r="D157" s="152" t="s">
        <v>614</v>
      </c>
      <c r="E157" s="153"/>
      <c r="F157" s="173">
        <v>2</v>
      </c>
      <c r="G157" s="200"/>
      <c r="H157" s="929">
        <f t="shared" si="12"/>
        <v>0</v>
      </c>
      <c r="I157" s="931"/>
      <c r="J157" s="929">
        <f t="shared" si="13"/>
        <v>0</v>
      </c>
      <c r="K157" s="929"/>
      <c r="L157" s="930">
        <f t="shared" si="10"/>
        <v>0</v>
      </c>
      <c r="M157" s="929">
        <f t="shared" si="11"/>
        <v>0</v>
      </c>
    </row>
    <row r="158" spans="1:13" ht="15.75">
      <c r="A158" s="185"/>
      <c r="B158" s="186"/>
      <c r="C158" s="151" t="s">
        <v>742</v>
      </c>
      <c r="D158" s="153" t="s">
        <v>32</v>
      </c>
      <c r="E158" s="153">
        <v>5.16</v>
      </c>
      <c r="F158" s="187">
        <f>F153*E158</f>
        <v>5.16</v>
      </c>
      <c r="G158" s="200"/>
      <c r="H158" s="929">
        <f t="shared" si="12"/>
        <v>0</v>
      </c>
      <c r="I158" s="929"/>
      <c r="J158" s="929">
        <f t="shared" si="13"/>
        <v>0</v>
      </c>
      <c r="K158" s="929"/>
      <c r="L158" s="930">
        <f t="shared" si="10"/>
        <v>0</v>
      </c>
      <c r="M158" s="929">
        <f t="shared" si="11"/>
        <v>0</v>
      </c>
    </row>
    <row r="159" spans="1:13" ht="40.5">
      <c r="A159" s="180">
        <v>1</v>
      </c>
      <c r="B159" s="148" t="s">
        <v>732</v>
      </c>
      <c r="C159" s="162" t="s">
        <v>684</v>
      </c>
      <c r="D159" s="152" t="s">
        <v>614</v>
      </c>
      <c r="E159" s="153"/>
      <c r="F159" s="173">
        <v>1</v>
      </c>
      <c r="G159" s="929"/>
      <c r="H159" s="929">
        <f t="shared" si="12"/>
        <v>0</v>
      </c>
      <c r="I159" s="929"/>
      <c r="J159" s="929">
        <f t="shared" si="13"/>
        <v>0</v>
      </c>
      <c r="K159" s="929"/>
      <c r="L159" s="930">
        <f t="shared" si="10"/>
        <v>0</v>
      </c>
      <c r="M159" s="929">
        <f t="shared" si="11"/>
        <v>0</v>
      </c>
    </row>
    <row r="160" spans="1:13" ht="15.75">
      <c r="A160" s="182"/>
      <c r="B160" s="148"/>
      <c r="C160" s="151" t="s">
        <v>641</v>
      </c>
      <c r="D160" s="153" t="s">
        <v>31</v>
      </c>
      <c r="E160" s="153">
        <v>28.6</v>
      </c>
      <c r="F160" s="173">
        <f>F159*E160</f>
        <v>28.6</v>
      </c>
      <c r="G160" s="929"/>
      <c r="H160" s="929">
        <f t="shared" si="12"/>
        <v>0</v>
      </c>
      <c r="I160" s="929"/>
      <c r="J160" s="929">
        <f t="shared" si="13"/>
        <v>0</v>
      </c>
      <c r="K160" s="929"/>
      <c r="L160" s="930">
        <f t="shared" si="10"/>
        <v>0</v>
      </c>
      <c r="M160" s="929">
        <f t="shared" si="11"/>
        <v>0</v>
      </c>
    </row>
    <row r="161" spans="1:13" ht="15.75">
      <c r="A161" s="182"/>
      <c r="B161" s="148"/>
      <c r="C161" s="151" t="s">
        <v>44</v>
      </c>
      <c r="D161" s="153" t="s">
        <v>32</v>
      </c>
      <c r="E161" s="153">
        <v>1.43</v>
      </c>
      <c r="F161" s="173">
        <f>F159*E161</f>
        <v>1.43</v>
      </c>
      <c r="G161" s="929"/>
      <c r="H161" s="929">
        <f t="shared" si="12"/>
        <v>0</v>
      </c>
      <c r="I161" s="929"/>
      <c r="J161" s="929">
        <f t="shared" si="13"/>
        <v>0</v>
      </c>
      <c r="K161" s="929"/>
      <c r="L161" s="930">
        <f t="shared" si="10"/>
        <v>0</v>
      </c>
      <c r="M161" s="929">
        <f t="shared" si="11"/>
        <v>0</v>
      </c>
    </row>
    <row r="162" spans="1:13" ht="31.5">
      <c r="A162" s="182"/>
      <c r="B162" s="148"/>
      <c r="C162" s="162" t="s">
        <v>684</v>
      </c>
      <c r="D162" s="152" t="s">
        <v>614</v>
      </c>
      <c r="E162" s="153"/>
      <c r="F162" s="173">
        <v>1</v>
      </c>
      <c r="G162" s="929"/>
      <c r="H162" s="929">
        <f t="shared" si="12"/>
        <v>0</v>
      </c>
      <c r="I162" s="929"/>
      <c r="J162" s="929">
        <f t="shared" si="13"/>
        <v>0</v>
      </c>
      <c r="K162" s="929"/>
      <c r="L162" s="930">
        <f t="shared" si="10"/>
        <v>0</v>
      </c>
      <c r="M162" s="929">
        <f t="shared" si="11"/>
        <v>0</v>
      </c>
    </row>
    <row r="163" spans="1:13" ht="15.75">
      <c r="A163" s="185"/>
      <c r="B163" s="186"/>
      <c r="C163" s="151" t="s">
        <v>742</v>
      </c>
      <c r="D163" s="153" t="s">
        <v>32</v>
      </c>
      <c r="E163" s="153">
        <v>5.16</v>
      </c>
      <c r="F163" s="187">
        <f>F159*E163</f>
        <v>5.16</v>
      </c>
      <c r="G163" s="929"/>
      <c r="H163" s="929">
        <f t="shared" si="12"/>
        <v>0</v>
      </c>
      <c r="I163" s="929"/>
      <c r="J163" s="929">
        <f t="shared" si="13"/>
        <v>0</v>
      </c>
      <c r="K163" s="929"/>
      <c r="L163" s="930">
        <f t="shared" si="10"/>
        <v>0</v>
      </c>
      <c r="M163" s="929">
        <f t="shared" si="11"/>
        <v>0</v>
      </c>
    </row>
    <row r="164" spans="1:13" ht="45.75">
      <c r="A164" s="180">
        <v>1</v>
      </c>
      <c r="B164" s="148" t="s">
        <v>730</v>
      </c>
      <c r="C164" s="151" t="s">
        <v>663</v>
      </c>
      <c r="D164" s="44" t="s">
        <v>51</v>
      </c>
      <c r="E164" s="154"/>
      <c r="F164" s="181">
        <v>5</v>
      </c>
      <c r="G164" s="929"/>
      <c r="H164" s="929">
        <f t="shared" si="12"/>
        <v>0</v>
      </c>
      <c r="I164" s="929"/>
      <c r="J164" s="929">
        <f t="shared" si="13"/>
        <v>0</v>
      </c>
      <c r="K164" s="929"/>
      <c r="L164" s="930">
        <f t="shared" si="10"/>
        <v>0</v>
      </c>
      <c r="M164" s="929">
        <f t="shared" si="11"/>
        <v>0</v>
      </c>
    </row>
    <row r="165" spans="1:13" ht="15.75">
      <c r="A165" s="182"/>
      <c r="B165" s="148"/>
      <c r="C165" s="151" t="s">
        <v>641</v>
      </c>
      <c r="D165" s="153" t="s">
        <v>31</v>
      </c>
      <c r="E165" s="153">
        <v>1.34</v>
      </c>
      <c r="F165" s="173">
        <f>F164*E165</f>
        <v>6.7</v>
      </c>
      <c r="G165" s="929"/>
      <c r="H165" s="929">
        <f t="shared" si="12"/>
        <v>0</v>
      </c>
      <c r="I165" s="929"/>
      <c r="J165" s="929">
        <f t="shared" si="13"/>
        <v>0</v>
      </c>
      <c r="K165" s="929"/>
      <c r="L165" s="930">
        <f t="shared" si="10"/>
        <v>0</v>
      </c>
      <c r="M165" s="929">
        <f t="shared" si="11"/>
        <v>0</v>
      </c>
    </row>
    <row r="166" spans="1:13" ht="15.75">
      <c r="A166" s="182"/>
      <c r="B166" s="148"/>
      <c r="C166" s="151" t="s">
        <v>44</v>
      </c>
      <c r="D166" s="153" t="s">
        <v>32</v>
      </c>
      <c r="E166" s="153">
        <v>0.05</v>
      </c>
      <c r="F166" s="173">
        <f>F164*E166</f>
        <v>0.25</v>
      </c>
      <c r="G166" s="929"/>
      <c r="H166" s="929">
        <f t="shared" si="12"/>
        <v>0</v>
      </c>
      <c r="I166" s="929"/>
      <c r="J166" s="929">
        <f t="shared" si="13"/>
        <v>0</v>
      </c>
      <c r="K166" s="929"/>
      <c r="L166" s="930">
        <f t="shared" si="10"/>
        <v>0</v>
      </c>
      <c r="M166" s="929">
        <f t="shared" si="11"/>
        <v>0</v>
      </c>
    </row>
    <row r="167" spans="1:13" ht="45.75">
      <c r="A167" s="180"/>
      <c r="B167" s="184"/>
      <c r="C167" s="151" t="s">
        <v>663</v>
      </c>
      <c r="D167" s="152" t="s">
        <v>614</v>
      </c>
      <c r="E167" s="153"/>
      <c r="F167" s="173">
        <v>5</v>
      </c>
      <c r="G167" s="931"/>
      <c r="H167" s="929">
        <f t="shared" si="12"/>
        <v>0</v>
      </c>
      <c r="I167" s="931"/>
      <c r="J167" s="929">
        <f t="shared" si="13"/>
        <v>0</v>
      </c>
      <c r="K167" s="929"/>
      <c r="L167" s="930">
        <f t="shared" si="10"/>
        <v>0</v>
      </c>
      <c r="M167" s="929">
        <f t="shared" si="11"/>
        <v>0</v>
      </c>
    </row>
    <row r="168" spans="1:13" ht="15.75">
      <c r="A168" s="185"/>
      <c r="B168" s="186"/>
      <c r="C168" s="151" t="s">
        <v>742</v>
      </c>
      <c r="D168" s="153" t="s">
        <v>32</v>
      </c>
      <c r="E168" s="153">
        <v>0.16</v>
      </c>
      <c r="F168" s="187">
        <f>F164*E168</f>
        <v>0.8</v>
      </c>
      <c r="G168" s="929"/>
      <c r="H168" s="929">
        <f t="shared" si="12"/>
        <v>0</v>
      </c>
      <c r="I168" s="929"/>
      <c r="J168" s="929">
        <f t="shared" si="13"/>
        <v>0</v>
      </c>
      <c r="K168" s="929"/>
      <c r="L168" s="930">
        <f t="shared" si="10"/>
        <v>0</v>
      </c>
      <c r="M168" s="929">
        <f t="shared" si="11"/>
        <v>0</v>
      </c>
    </row>
    <row r="169" spans="1:13" ht="40.5">
      <c r="A169" s="180">
        <v>1</v>
      </c>
      <c r="B169" s="148" t="s">
        <v>727</v>
      </c>
      <c r="C169" s="37" t="s">
        <v>728</v>
      </c>
      <c r="D169" s="154" t="s">
        <v>729</v>
      </c>
      <c r="E169" s="154"/>
      <c r="F169" s="181">
        <f>F172+F173</f>
        <v>28</v>
      </c>
      <c r="G169" s="929"/>
      <c r="H169" s="929">
        <f t="shared" si="12"/>
        <v>0</v>
      </c>
      <c r="I169" s="929"/>
      <c r="J169" s="929">
        <f t="shared" si="13"/>
        <v>0</v>
      </c>
      <c r="K169" s="929"/>
      <c r="L169" s="930">
        <f t="shared" si="10"/>
        <v>0</v>
      </c>
      <c r="M169" s="929">
        <f t="shared" si="11"/>
        <v>0</v>
      </c>
    </row>
    <row r="170" spans="1:13" ht="15.75">
      <c r="A170" s="182"/>
      <c r="B170" s="148"/>
      <c r="C170" s="151" t="s">
        <v>641</v>
      </c>
      <c r="D170" s="153" t="s">
        <v>31</v>
      </c>
      <c r="E170" s="153">
        <v>1.54</v>
      </c>
      <c r="F170" s="173">
        <f>F169*E170</f>
        <v>43.120000000000005</v>
      </c>
      <c r="G170" s="929"/>
      <c r="H170" s="929">
        <f t="shared" si="12"/>
        <v>0</v>
      </c>
      <c r="I170" s="929"/>
      <c r="J170" s="929">
        <f t="shared" si="13"/>
        <v>0</v>
      </c>
      <c r="K170" s="929"/>
      <c r="L170" s="930">
        <f t="shared" si="10"/>
        <v>0</v>
      </c>
      <c r="M170" s="929">
        <f t="shared" si="11"/>
        <v>0</v>
      </c>
    </row>
    <row r="171" spans="1:13" ht="15.75">
      <c r="A171" s="182"/>
      <c r="B171" s="148"/>
      <c r="C171" s="151" t="s">
        <v>44</v>
      </c>
      <c r="D171" s="153" t="s">
        <v>32</v>
      </c>
      <c r="E171" s="153">
        <v>0.0373</v>
      </c>
      <c r="F171" s="173">
        <f>F169*E171</f>
        <v>1.0444</v>
      </c>
      <c r="G171" s="929"/>
      <c r="H171" s="929">
        <f t="shared" si="12"/>
        <v>0</v>
      </c>
      <c r="I171" s="929"/>
      <c r="J171" s="929">
        <f t="shared" si="13"/>
        <v>0</v>
      </c>
      <c r="K171" s="929"/>
      <c r="L171" s="930">
        <f t="shared" si="10"/>
        <v>0</v>
      </c>
      <c r="M171" s="929">
        <f t="shared" si="11"/>
        <v>0</v>
      </c>
    </row>
    <row r="172" spans="1:13" ht="47.25">
      <c r="A172" s="158"/>
      <c r="B172" s="148"/>
      <c r="C172" s="37" t="s">
        <v>656</v>
      </c>
      <c r="D172" s="152" t="s">
        <v>651</v>
      </c>
      <c r="E172" s="153"/>
      <c r="F172" s="173">
        <v>11</v>
      </c>
      <c r="G172" s="934"/>
      <c r="H172" s="929">
        <f t="shared" si="12"/>
        <v>0</v>
      </c>
      <c r="I172" s="931"/>
      <c r="J172" s="929">
        <f t="shared" si="13"/>
        <v>0</v>
      </c>
      <c r="K172" s="929"/>
      <c r="L172" s="930">
        <f aca="true" t="shared" si="14" ref="L172:L225">F172*K172</f>
        <v>0</v>
      </c>
      <c r="M172" s="929">
        <f aca="true" t="shared" si="15" ref="M172:M225">H172+J172+L172</f>
        <v>0</v>
      </c>
    </row>
    <row r="173" spans="1:13" ht="47.25">
      <c r="A173" s="158"/>
      <c r="B173" s="148"/>
      <c r="C173" s="37" t="s">
        <v>657</v>
      </c>
      <c r="D173" s="152" t="s">
        <v>651</v>
      </c>
      <c r="E173" s="153"/>
      <c r="F173" s="173">
        <v>17</v>
      </c>
      <c r="G173" s="934"/>
      <c r="H173" s="929">
        <f t="shared" si="12"/>
        <v>0</v>
      </c>
      <c r="I173" s="931"/>
      <c r="J173" s="929">
        <f t="shared" si="13"/>
        <v>0</v>
      </c>
      <c r="K173" s="929"/>
      <c r="L173" s="930">
        <f t="shared" si="14"/>
        <v>0</v>
      </c>
      <c r="M173" s="929">
        <f t="shared" si="15"/>
        <v>0</v>
      </c>
    </row>
    <row r="174" spans="1:13" ht="15.75">
      <c r="A174" s="158"/>
      <c r="B174" s="148"/>
      <c r="C174" s="151" t="s">
        <v>681</v>
      </c>
      <c r="D174" s="152" t="s">
        <v>651</v>
      </c>
      <c r="E174" s="153"/>
      <c r="F174" s="173">
        <v>0.15</v>
      </c>
      <c r="G174" s="934"/>
      <c r="H174" s="929">
        <f t="shared" si="12"/>
        <v>0</v>
      </c>
      <c r="I174" s="931"/>
      <c r="J174" s="929">
        <f t="shared" si="13"/>
        <v>0</v>
      </c>
      <c r="K174" s="929"/>
      <c r="L174" s="930">
        <f t="shared" si="14"/>
        <v>0</v>
      </c>
      <c r="M174" s="929">
        <f t="shared" si="15"/>
        <v>0</v>
      </c>
    </row>
    <row r="175" spans="1:13" ht="15.75">
      <c r="A175" s="185"/>
      <c r="B175" s="186"/>
      <c r="C175" s="151" t="s">
        <v>742</v>
      </c>
      <c r="D175" s="153" t="s">
        <v>32</v>
      </c>
      <c r="E175" s="153">
        <v>0.169</v>
      </c>
      <c r="F175" s="187">
        <f>F169*E175</f>
        <v>4.732</v>
      </c>
      <c r="G175" s="934"/>
      <c r="H175" s="929">
        <f t="shared" si="12"/>
        <v>0</v>
      </c>
      <c r="I175" s="929"/>
      <c r="J175" s="929">
        <f t="shared" si="13"/>
        <v>0</v>
      </c>
      <c r="K175" s="929"/>
      <c r="L175" s="930">
        <f t="shared" si="14"/>
        <v>0</v>
      </c>
      <c r="M175" s="929">
        <f t="shared" si="15"/>
        <v>0</v>
      </c>
    </row>
    <row r="176" spans="1:13" ht="16.5">
      <c r="A176" s="158"/>
      <c r="B176" s="148"/>
      <c r="C176" s="161" t="s">
        <v>685</v>
      </c>
      <c r="D176" s="152"/>
      <c r="E176" s="153"/>
      <c r="F176" s="173"/>
      <c r="G176" s="931"/>
      <c r="H176" s="929">
        <f t="shared" si="12"/>
        <v>0</v>
      </c>
      <c r="I176" s="929"/>
      <c r="J176" s="929">
        <f t="shared" si="13"/>
        <v>0</v>
      </c>
      <c r="K176" s="929"/>
      <c r="L176" s="930">
        <f t="shared" si="14"/>
        <v>0</v>
      </c>
      <c r="M176" s="929">
        <f t="shared" si="15"/>
        <v>0</v>
      </c>
    </row>
    <row r="177" spans="1:13" ht="63">
      <c r="A177" s="180">
        <v>1</v>
      </c>
      <c r="B177" s="148" t="s">
        <v>732</v>
      </c>
      <c r="C177" s="162" t="s">
        <v>686</v>
      </c>
      <c r="D177" s="152" t="s">
        <v>58</v>
      </c>
      <c r="E177" s="153"/>
      <c r="F177" s="173">
        <v>1</v>
      </c>
      <c r="G177" s="929"/>
      <c r="H177" s="929">
        <f t="shared" si="12"/>
        <v>0</v>
      </c>
      <c r="I177" s="929"/>
      <c r="J177" s="929">
        <f t="shared" si="13"/>
        <v>0</v>
      </c>
      <c r="K177" s="929"/>
      <c r="L177" s="930">
        <f t="shared" si="14"/>
        <v>0</v>
      </c>
      <c r="M177" s="929">
        <f t="shared" si="15"/>
        <v>0</v>
      </c>
    </row>
    <row r="178" spans="1:13" ht="15.75">
      <c r="A178" s="182"/>
      <c r="B178" s="148"/>
      <c r="C178" s="151" t="s">
        <v>641</v>
      </c>
      <c r="D178" s="153" t="s">
        <v>31</v>
      </c>
      <c r="E178" s="153">
        <v>28.6</v>
      </c>
      <c r="F178" s="173">
        <f>F177*E178</f>
        <v>28.6</v>
      </c>
      <c r="G178" s="929"/>
      <c r="H178" s="929">
        <f t="shared" si="12"/>
        <v>0</v>
      </c>
      <c r="I178" s="929"/>
      <c r="J178" s="929">
        <f t="shared" si="13"/>
        <v>0</v>
      </c>
      <c r="K178" s="929"/>
      <c r="L178" s="930">
        <f t="shared" si="14"/>
        <v>0</v>
      </c>
      <c r="M178" s="929">
        <f t="shared" si="15"/>
        <v>0</v>
      </c>
    </row>
    <row r="179" spans="1:13" ht="15.75">
      <c r="A179" s="182"/>
      <c r="B179" s="148"/>
      <c r="C179" s="151" t="s">
        <v>44</v>
      </c>
      <c r="D179" s="153" t="s">
        <v>32</v>
      </c>
      <c r="E179" s="153">
        <v>1.43</v>
      </c>
      <c r="F179" s="173">
        <f>F177*E179</f>
        <v>1.43</v>
      </c>
      <c r="G179" s="929"/>
      <c r="H179" s="929">
        <f t="shared" si="12"/>
        <v>0</v>
      </c>
      <c r="I179" s="929"/>
      <c r="J179" s="929">
        <f t="shared" si="13"/>
        <v>0</v>
      </c>
      <c r="K179" s="929"/>
      <c r="L179" s="930">
        <f t="shared" si="14"/>
        <v>0</v>
      </c>
      <c r="M179" s="929">
        <f t="shared" si="15"/>
        <v>0</v>
      </c>
    </row>
    <row r="180" spans="1:13" ht="63">
      <c r="A180" s="182"/>
      <c r="B180" s="148"/>
      <c r="C180" s="162" t="s">
        <v>686</v>
      </c>
      <c r="D180" s="152" t="s">
        <v>58</v>
      </c>
      <c r="E180" s="153"/>
      <c r="F180" s="173">
        <v>1</v>
      </c>
      <c r="G180" s="934"/>
      <c r="H180" s="929"/>
      <c r="I180" s="929"/>
      <c r="J180" s="929">
        <f t="shared" si="13"/>
        <v>0</v>
      </c>
      <c r="K180" s="929"/>
      <c r="L180" s="930">
        <f t="shared" si="14"/>
        <v>0</v>
      </c>
      <c r="M180" s="929">
        <f t="shared" si="15"/>
        <v>0</v>
      </c>
    </row>
    <row r="181" spans="1:13" ht="15.75">
      <c r="A181" s="158"/>
      <c r="B181" s="148"/>
      <c r="C181" s="151" t="s">
        <v>671</v>
      </c>
      <c r="D181" s="152" t="s">
        <v>614</v>
      </c>
      <c r="E181" s="153"/>
      <c r="F181" s="173">
        <v>2</v>
      </c>
      <c r="G181" s="934"/>
      <c r="H181" s="929">
        <f>F181*I181</f>
        <v>0</v>
      </c>
      <c r="I181" s="931"/>
      <c r="J181" s="929">
        <f t="shared" si="13"/>
        <v>0</v>
      </c>
      <c r="K181" s="929"/>
      <c r="L181" s="930">
        <f t="shared" si="14"/>
        <v>0</v>
      </c>
      <c r="M181" s="929">
        <f t="shared" si="15"/>
        <v>0</v>
      </c>
    </row>
    <row r="182" spans="1:13" ht="15.75">
      <c r="A182" s="185"/>
      <c r="B182" s="186"/>
      <c r="C182" s="151" t="s">
        <v>742</v>
      </c>
      <c r="D182" s="153" t="s">
        <v>32</v>
      </c>
      <c r="E182" s="153">
        <v>5.16</v>
      </c>
      <c r="F182" s="187">
        <f>F177*E182</f>
        <v>5.16</v>
      </c>
      <c r="G182" s="934"/>
      <c r="H182" s="929">
        <f>F182*I182</f>
        <v>0</v>
      </c>
      <c r="I182" s="929"/>
      <c r="J182" s="929">
        <f t="shared" si="13"/>
        <v>0</v>
      </c>
      <c r="K182" s="929"/>
      <c r="L182" s="930">
        <f t="shared" si="14"/>
        <v>0</v>
      </c>
      <c r="M182" s="929">
        <f t="shared" si="15"/>
        <v>0</v>
      </c>
    </row>
    <row r="183" spans="1:13" ht="40.5">
      <c r="A183" s="180">
        <v>1</v>
      </c>
      <c r="B183" s="148" t="s">
        <v>733</v>
      </c>
      <c r="C183" s="37" t="s">
        <v>734</v>
      </c>
      <c r="D183" s="44" t="s">
        <v>51</v>
      </c>
      <c r="E183" s="154"/>
      <c r="F183" s="181">
        <f>F186+F187</f>
        <v>2</v>
      </c>
      <c r="G183" s="929"/>
      <c r="H183" s="929">
        <f t="shared" si="12"/>
        <v>0</v>
      </c>
      <c r="I183" s="929"/>
      <c r="J183" s="929">
        <f t="shared" si="13"/>
        <v>0</v>
      </c>
      <c r="K183" s="929"/>
      <c r="L183" s="930">
        <f t="shared" si="14"/>
        <v>0</v>
      </c>
      <c r="M183" s="929">
        <f t="shared" si="15"/>
        <v>0</v>
      </c>
    </row>
    <row r="184" spans="1:13" ht="15.75">
      <c r="A184" s="182"/>
      <c r="B184" s="148"/>
      <c r="C184" s="151" t="s">
        <v>738</v>
      </c>
      <c r="D184" s="153" t="s">
        <v>31</v>
      </c>
      <c r="E184" s="153">
        <v>3.03</v>
      </c>
      <c r="F184" s="173">
        <f>F183*E184</f>
        <v>6.06</v>
      </c>
      <c r="G184" s="929"/>
      <c r="H184" s="929">
        <f t="shared" si="12"/>
        <v>0</v>
      </c>
      <c r="I184" s="929"/>
      <c r="J184" s="929">
        <f t="shared" si="13"/>
        <v>0</v>
      </c>
      <c r="K184" s="929"/>
      <c r="L184" s="930">
        <f t="shared" si="14"/>
        <v>0</v>
      </c>
      <c r="M184" s="929">
        <f t="shared" si="15"/>
        <v>0</v>
      </c>
    </row>
    <row r="185" spans="1:13" ht="15.75">
      <c r="A185" s="182"/>
      <c r="B185" s="148"/>
      <c r="C185" s="151" t="s">
        <v>44</v>
      </c>
      <c r="D185" s="153" t="s">
        <v>32</v>
      </c>
      <c r="E185" s="153">
        <v>0.12</v>
      </c>
      <c r="F185" s="173">
        <f>F183*E185</f>
        <v>0.24</v>
      </c>
      <c r="G185" s="929"/>
      <c r="H185" s="929">
        <f t="shared" si="12"/>
        <v>0</v>
      </c>
      <c r="I185" s="929"/>
      <c r="J185" s="929">
        <f t="shared" si="13"/>
        <v>0</v>
      </c>
      <c r="K185" s="929"/>
      <c r="L185" s="930">
        <f t="shared" si="14"/>
        <v>0</v>
      </c>
      <c r="M185" s="929">
        <f t="shared" si="15"/>
        <v>0</v>
      </c>
    </row>
    <row r="186" spans="1:13" ht="15.75">
      <c r="A186" s="180"/>
      <c r="B186" s="184"/>
      <c r="C186" s="151" t="s">
        <v>673</v>
      </c>
      <c r="D186" s="44" t="s">
        <v>51</v>
      </c>
      <c r="E186" s="44"/>
      <c r="F186" s="189">
        <v>1</v>
      </c>
      <c r="G186" s="934"/>
      <c r="H186" s="929">
        <f t="shared" si="12"/>
        <v>0</v>
      </c>
      <c r="I186" s="929"/>
      <c r="J186" s="929">
        <f t="shared" si="13"/>
        <v>0</v>
      </c>
      <c r="K186" s="929"/>
      <c r="L186" s="930">
        <f t="shared" si="14"/>
        <v>0</v>
      </c>
      <c r="M186" s="929">
        <f t="shared" si="15"/>
        <v>0</v>
      </c>
    </row>
    <row r="187" spans="1:13" ht="15.75">
      <c r="A187" s="158"/>
      <c r="B187" s="148"/>
      <c r="C187" s="151" t="s">
        <v>687</v>
      </c>
      <c r="D187" s="152" t="s">
        <v>614</v>
      </c>
      <c r="E187" s="153"/>
      <c r="F187" s="173">
        <v>1</v>
      </c>
      <c r="G187" s="934"/>
      <c r="H187" s="929">
        <f t="shared" si="12"/>
        <v>0</v>
      </c>
      <c r="I187" s="931"/>
      <c r="J187" s="929">
        <f t="shared" si="13"/>
        <v>0</v>
      </c>
      <c r="K187" s="929"/>
      <c r="L187" s="930">
        <f t="shared" si="14"/>
        <v>0</v>
      </c>
      <c r="M187" s="929">
        <f t="shared" si="15"/>
        <v>0</v>
      </c>
    </row>
    <row r="188" spans="1:13" ht="45.75">
      <c r="A188" s="180">
        <v>1</v>
      </c>
      <c r="B188" s="148" t="s">
        <v>730</v>
      </c>
      <c r="C188" s="151" t="s">
        <v>663</v>
      </c>
      <c r="D188" s="44" t="s">
        <v>51</v>
      </c>
      <c r="E188" s="154"/>
      <c r="F188" s="181">
        <f>F191+F192</f>
        <v>3</v>
      </c>
      <c r="G188" s="929"/>
      <c r="H188" s="929">
        <f t="shared" si="12"/>
        <v>0</v>
      </c>
      <c r="I188" s="929"/>
      <c r="J188" s="929">
        <f t="shared" si="13"/>
        <v>0</v>
      </c>
      <c r="K188" s="929"/>
      <c r="L188" s="930">
        <f t="shared" si="14"/>
        <v>0</v>
      </c>
      <c r="M188" s="929">
        <f t="shared" si="15"/>
        <v>0</v>
      </c>
    </row>
    <row r="189" spans="1:13" ht="15.75">
      <c r="A189" s="182"/>
      <c r="B189" s="148"/>
      <c r="C189" s="151" t="s">
        <v>738</v>
      </c>
      <c r="D189" s="153" t="s">
        <v>31</v>
      </c>
      <c r="E189" s="153">
        <v>1.34</v>
      </c>
      <c r="F189" s="173">
        <f>F188*E189</f>
        <v>4.0200000000000005</v>
      </c>
      <c r="G189" s="929"/>
      <c r="H189" s="929">
        <f t="shared" si="12"/>
        <v>0</v>
      </c>
      <c r="I189" s="929"/>
      <c r="J189" s="929">
        <f t="shared" si="13"/>
        <v>0</v>
      </c>
      <c r="K189" s="929"/>
      <c r="L189" s="930">
        <f t="shared" si="14"/>
        <v>0</v>
      </c>
      <c r="M189" s="929">
        <f t="shared" si="15"/>
        <v>0</v>
      </c>
    </row>
    <row r="190" spans="1:13" ht="15.75">
      <c r="A190" s="182"/>
      <c r="B190" s="148"/>
      <c r="C190" s="151" t="s">
        <v>44</v>
      </c>
      <c r="D190" s="153" t="s">
        <v>32</v>
      </c>
      <c r="E190" s="153">
        <v>0.05</v>
      </c>
      <c r="F190" s="173">
        <f>F188*E190</f>
        <v>0.15000000000000002</v>
      </c>
      <c r="G190" s="929"/>
      <c r="H190" s="929">
        <f t="shared" si="12"/>
        <v>0</v>
      </c>
      <c r="I190" s="929"/>
      <c r="J190" s="929">
        <f t="shared" si="13"/>
        <v>0</v>
      </c>
      <c r="K190" s="929"/>
      <c r="L190" s="930">
        <f t="shared" si="14"/>
        <v>0</v>
      </c>
      <c r="M190" s="929">
        <f t="shared" si="15"/>
        <v>0</v>
      </c>
    </row>
    <row r="191" spans="1:13" ht="45.75">
      <c r="A191" s="180"/>
      <c r="B191" s="184"/>
      <c r="C191" s="151" t="s">
        <v>663</v>
      </c>
      <c r="D191" s="152" t="s">
        <v>614</v>
      </c>
      <c r="E191" s="153"/>
      <c r="F191" s="173">
        <v>2</v>
      </c>
      <c r="G191" s="934"/>
      <c r="H191" s="929">
        <f t="shared" si="12"/>
        <v>0</v>
      </c>
      <c r="I191" s="931"/>
      <c r="J191" s="929">
        <f t="shared" si="13"/>
        <v>0</v>
      </c>
      <c r="K191" s="929"/>
      <c r="L191" s="930">
        <f t="shared" si="14"/>
        <v>0</v>
      </c>
      <c r="M191" s="929">
        <f t="shared" si="15"/>
        <v>0</v>
      </c>
    </row>
    <row r="192" spans="1:13" ht="45.75">
      <c r="A192" s="180"/>
      <c r="B192" s="184"/>
      <c r="C192" s="151" t="s">
        <v>655</v>
      </c>
      <c r="D192" s="152" t="s">
        <v>614</v>
      </c>
      <c r="E192" s="153"/>
      <c r="F192" s="173">
        <v>1</v>
      </c>
      <c r="G192" s="934"/>
      <c r="H192" s="929">
        <f t="shared" si="12"/>
        <v>0</v>
      </c>
      <c r="I192" s="931"/>
      <c r="J192" s="929">
        <f t="shared" si="13"/>
        <v>0</v>
      </c>
      <c r="K192" s="929"/>
      <c r="L192" s="930">
        <f t="shared" si="14"/>
        <v>0</v>
      </c>
      <c r="M192" s="929">
        <f t="shared" si="15"/>
        <v>0</v>
      </c>
    </row>
    <row r="193" spans="1:13" ht="15.75">
      <c r="A193" s="185"/>
      <c r="B193" s="186"/>
      <c r="C193" s="151" t="s">
        <v>742</v>
      </c>
      <c r="D193" s="153" t="s">
        <v>32</v>
      </c>
      <c r="E193" s="153">
        <v>0.16</v>
      </c>
      <c r="F193" s="187">
        <f>F188*E193</f>
        <v>0.48</v>
      </c>
      <c r="G193" s="200"/>
      <c r="H193" s="929">
        <f t="shared" si="12"/>
        <v>0</v>
      </c>
      <c r="I193" s="929"/>
      <c r="J193" s="929">
        <f t="shared" si="13"/>
        <v>0</v>
      </c>
      <c r="K193" s="929"/>
      <c r="L193" s="930">
        <f t="shared" si="14"/>
        <v>0</v>
      </c>
      <c r="M193" s="929">
        <f t="shared" si="15"/>
        <v>0</v>
      </c>
    </row>
    <row r="194" spans="1:13" ht="40.5">
      <c r="A194" s="180">
        <v>1</v>
      </c>
      <c r="B194" s="148" t="s">
        <v>727</v>
      </c>
      <c r="C194" s="37" t="s">
        <v>728</v>
      </c>
      <c r="D194" s="154" t="s">
        <v>729</v>
      </c>
      <c r="E194" s="154"/>
      <c r="F194" s="181">
        <f>F197</f>
        <v>10</v>
      </c>
      <c r="G194" s="929"/>
      <c r="H194" s="929">
        <f t="shared" si="12"/>
        <v>0</v>
      </c>
      <c r="I194" s="929"/>
      <c r="J194" s="929">
        <f t="shared" si="13"/>
        <v>0</v>
      </c>
      <c r="K194" s="929"/>
      <c r="L194" s="930">
        <f t="shared" si="14"/>
        <v>0</v>
      </c>
      <c r="M194" s="929">
        <f t="shared" si="15"/>
        <v>0</v>
      </c>
    </row>
    <row r="195" spans="1:13" ht="15.75">
      <c r="A195" s="182"/>
      <c r="B195" s="148"/>
      <c r="C195" s="151" t="s">
        <v>641</v>
      </c>
      <c r="D195" s="153" t="s">
        <v>31</v>
      </c>
      <c r="E195" s="153">
        <v>1.54</v>
      </c>
      <c r="F195" s="173">
        <f>F194*E195</f>
        <v>15.4</v>
      </c>
      <c r="G195" s="929"/>
      <c r="H195" s="929">
        <f aca="true" t="shared" si="16" ref="H195:H222">F195*G195</f>
        <v>0</v>
      </c>
      <c r="I195" s="929"/>
      <c r="J195" s="929">
        <f aca="true" t="shared" si="17" ref="J195:J243">F195*I195</f>
        <v>0</v>
      </c>
      <c r="K195" s="929"/>
      <c r="L195" s="930">
        <f t="shared" si="14"/>
        <v>0</v>
      </c>
      <c r="M195" s="929">
        <f t="shared" si="15"/>
        <v>0</v>
      </c>
    </row>
    <row r="196" spans="1:13" ht="15.75">
      <c r="A196" s="182"/>
      <c r="B196" s="148"/>
      <c r="C196" s="151" t="s">
        <v>44</v>
      </c>
      <c r="D196" s="153" t="s">
        <v>32</v>
      </c>
      <c r="E196" s="153">
        <v>0.0373</v>
      </c>
      <c r="F196" s="173">
        <f>F194*E196</f>
        <v>0.373</v>
      </c>
      <c r="G196" s="929"/>
      <c r="H196" s="929">
        <f t="shared" si="16"/>
        <v>0</v>
      </c>
      <c r="I196" s="929"/>
      <c r="J196" s="929">
        <f t="shared" si="17"/>
        <v>0</v>
      </c>
      <c r="K196" s="929"/>
      <c r="L196" s="930">
        <f t="shared" si="14"/>
        <v>0</v>
      </c>
      <c r="M196" s="929">
        <f t="shared" si="15"/>
        <v>0</v>
      </c>
    </row>
    <row r="197" spans="1:13" ht="47.25">
      <c r="A197" s="158"/>
      <c r="B197" s="148"/>
      <c r="C197" s="37" t="s">
        <v>656</v>
      </c>
      <c r="D197" s="152" t="s">
        <v>651</v>
      </c>
      <c r="E197" s="153"/>
      <c r="F197" s="173">
        <v>10</v>
      </c>
      <c r="G197" s="934"/>
      <c r="H197" s="929">
        <f t="shared" si="16"/>
        <v>0</v>
      </c>
      <c r="I197" s="931"/>
      <c r="J197" s="929">
        <f t="shared" si="17"/>
        <v>0</v>
      </c>
      <c r="K197" s="929"/>
      <c r="L197" s="930">
        <f t="shared" si="14"/>
        <v>0</v>
      </c>
      <c r="M197" s="929">
        <f t="shared" si="15"/>
        <v>0</v>
      </c>
    </row>
    <row r="198" spans="1:13" ht="15.75">
      <c r="A198" s="158"/>
      <c r="B198" s="148"/>
      <c r="C198" s="151" t="s">
        <v>681</v>
      </c>
      <c r="D198" s="152" t="s">
        <v>651</v>
      </c>
      <c r="E198" s="153"/>
      <c r="F198" s="173">
        <v>0.05</v>
      </c>
      <c r="G198" s="934"/>
      <c r="H198" s="929">
        <f t="shared" si="16"/>
        <v>0</v>
      </c>
      <c r="I198" s="931"/>
      <c r="J198" s="929">
        <f t="shared" si="17"/>
        <v>0</v>
      </c>
      <c r="K198" s="929"/>
      <c r="L198" s="930">
        <f t="shared" si="14"/>
        <v>0</v>
      </c>
      <c r="M198" s="929">
        <f t="shared" si="15"/>
        <v>0</v>
      </c>
    </row>
    <row r="199" spans="1:13" ht="15.75">
      <c r="A199" s="185"/>
      <c r="B199" s="186"/>
      <c r="C199" s="151" t="s">
        <v>742</v>
      </c>
      <c r="D199" s="153" t="s">
        <v>32</v>
      </c>
      <c r="E199" s="153">
        <v>0.169</v>
      </c>
      <c r="F199" s="187">
        <f>F194*E199</f>
        <v>1.6900000000000002</v>
      </c>
      <c r="G199" s="934"/>
      <c r="H199" s="929">
        <f t="shared" si="16"/>
        <v>0</v>
      </c>
      <c r="I199" s="929"/>
      <c r="J199" s="929">
        <f t="shared" si="17"/>
        <v>0</v>
      </c>
      <c r="K199" s="929"/>
      <c r="L199" s="930">
        <f t="shared" si="14"/>
        <v>0</v>
      </c>
      <c r="M199" s="929">
        <f t="shared" si="15"/>
        <v>0</v>
      </c>
    </row>
    <row r="200" spans="1:13" ht="15.75">
      <c r="A200" s="158"/>
      <c r="B200" s="148"/>
      <c r="C200" s="163" t="s">
        <v>688</v>
      </c>
      <c r="D200" s="152"/>
      <c r="E200" s="153"/>
      <c r="F200" s="173"/>
      <c r="G200" s="931"/>
      <c r="H200" s="929">
        <f t="shared" si="16"/>
        <v>0</v>
      </c>
      <c r="I200" s="929"/>
      <c r="J200" s="929">
        <f t="shared" si="17"/>
        <v>0</v>
      </c>
      <c r="K200" s="929"/>
      <c r="L200" s="930">
        <f t="shared" si="14"/>
        <v>0</v>
      </c>
      <c r="M200" s="929">
        <f t="shared" si="15"/>
        <v>0</v>
      </c>
    </row>
    <row r="201" spans="1:13" ht="51">
      <c r="A201" s="190">
        <v>1</v>
      </c>
      <c r="B201" s="191" t="s">
        <v>736</v>
      </c>
      <c r="C201" s="192" t="s">
        <v>737</v>
      </c>
      <c r="D201" s="193" t="s">
        <v>50</v>
      </c>
      <c r="E201" s="194"/>
      <c r="F201" s="195">
        <f>F205+F206+F207+F208+F209+F210+F211+F212</f>
        <v>418</v>
      </c>
      <c r="G201" s="935"/>
      <c r="H201" s="929">
        <f t="shared" si="16"/>
        <v>0</v>
      </c>
      <c r="I201" s="935"/>
      <c r="J201" s="929">
        <f t="shared" si="17"/>
        <v>0</v>
      </c>
      <c r="K201" s="935"/>
      <c r="L201" s="930">
        <f t="shared" si="14"/>
        <v>0</v>
      </c>
      <c r="M201" s="929">
        <f t="shared" si="15"/>
        <v>0</v>
      </c>
    </row>
    <row r="202" spans="1:13" ht="15">
      <c r="A202" s="28"/>
      <c r="B202" s="28"/>
      <c r="C202" s="196" t="s">
        <v>738</v>
      </c>
      <c r="D202" s="197" t="s">
        <v>15</v>
      </c>
      <c r="E202" s="28">
        <v>0.2</v>
      </c>
      <c r="F202" s="198">
        <f>F201*E202</f>
        <v>83.60000000000001</v>
      </c>
      <c r="G202" s="27"/>
      <c r="H202" s="929">
        <f t="shared" si="16"/>
        <v>0</v>
      </c>
      <c r="I202" s="27"/>
      <c r="J202" s="929">
        <f t="shared" si="17"/>
        <v>0</v>
      </c>
      <c r="K202" s="27"/>
      <c r="L202" s="930">
        <f t="shared" si="14"/>
        <v>0</v>
      </c>
      <c r="M202" s="929">
        <f t="shared" si="15"/>
        <v>0</v>
      </c>
    </row>
    <row r="203" spans="1:13" ht="15">
      <c r="A203" s="28"/>
      <c r="B203" s="28"/>
      <c r="C203" s="196" t="s">
        <v>93</v>
      </c>
      <c r="D203" s="28" t="s">
        <v>45</v>
      </c>
      <c r="E203" s="28">
        <v>0.01</v>
      </c>
      <c r="F203" s="198">
        <f>F201*E203</f>
        <v>4.18</v>
      </c>
      <c r="G203" s="27"/>
      <c r="H203" s="929">
        <f t="shared" si="16"/>
        <v>0</v>
      </c>
      <c r="I203" s="936"/>
      <c r="J203" s="929">
        <f t="shared" si="17"/>
        <v>0</v>
      </c>
      <c r="K203" s="27"/>
      <c r="L203" s="930">
        <f t="shared" si="14"/>
        <v>0</v>
      </c>
      <c r="M203" s="929">
        <f t="shared" si="15"/>
        <v>0</v>
      </c>
    </row>
    <row r="204" spans="1:13" ht="15">
      <c r="A204" s="28"/>
      <c r="B204" s="28"/>
      <c r="C204" s="196" t="s">
        <v>739</v>
      </c>
      <c r="D204" s="28" t="s">
        <v>50</v>
      </c>
      <c r="E204" s="28">
        <v>1.03</v>
      </c>
      <c r="F204" s="198">
        <f>E204*F201</f>
        <v>430.54</v>
      </c>
      <c r="G204" s="27"/>
      <c r="H204" s="929">
        <f t="shared" si="16"/>
        <v>0</v>
      </c>
      <c r="I204" s="936"/>
      <c r="J204" s="929">
        <f t="shared" si="17"/>
        <v>0</v>
      </c>
      <c r="K204" s="27"/>
      <c r="L204" s="930">
        <f t="shared" si="14"/>
        <v>0</v>
      </c>
      <c r="M204" s="929">
        <f t="shared" si="15"/>
        <v>0</v>
      </c>
    </row>
    <row r="205" spans="1:13" ht="47.25">
      <c r="A205" s="158"/>
      <c r="B205" s="148"/>
      <c r="C205" s="151" t="s">
        <v>693</v>
      </c>
      <c r="D205" s="152" t="s">
        <v>694</v>
      </c>
      <c r="E205" s="153"/>
      <c r="F205" s="173">
        <v>13</v>
      </c>
      <c r="G205" s="934"/>
      <c r="H205" s="929">
        <f t="shared" si="16"/>
        <v>0</v>
      </c>
      <c r="I205" s="931"/>
      <c r="J205" s="929">
        <f t="shared" si="17"/>
        <v>0</v>
      </c>
      <c r="K205" s="929"/>
      <c r="L205" s="930">
        <f t="shared" si="14"/>
        <v>0</v>
      </c>
      <c r="M205" s="929">
        <f t="shared" si="15"/>
        <v>0</v>
      </c>
    </row>
    <row r="206" spans="1:13" ht="47.25">
      <c r="A206" s="158"/>
      <c r="B206" s="148"/>
      <c r="C206" s="151" t="s">
        <v>695</v>
      </c>
      <c r="D206" s="152" t="s">
        <v>694</v>
      </c>
      <c r="E206" s="153"/>
      <c r="F206" s="173">
        <v>122</v>
      </c>
      <c r="G206" s="934"/>
      <c r="H206" s="929">
        <f t="shared" si="16"/>
        <v>0</v>
      </c>
      <c r="I206" s="931"/>
      <c r="J206" s="929">
        <f t="shared" si="17"/>
        <v>0</v>
      </c>
      <c r="K206" s="929"/>
      <c r="L206" s="930">
        <f t="shared" si="14"/>
        <v>0</v>
      </c>
      <c r="M206" s="929">
        <f t="shared" si="15"/>
        <v>0</v>
      </c>
    </row>
    <row r="207" spans="1:13" ht="47.25">
      <c r="A207" s="158"/>
      <c r="B207" s="148"/>
      <c r="C207" s="151" t="s">
        <v>696</v>
      </c>
      <c r="D207" s="152" t="s">
        <v>694</v>
      </c>
      <c r="E207" s="153"/>
      <c r="F207" s="173">
        <v>35</v>
      </c>
      <c r="G207" s="934"/>
      <c r="H207" s="929">
        <f t="shared" si="16"/>
        <v>0</v>
      </c>
      <c r="I207" s="931"/>
      <c r="J207" s="929">
        <f t="shared" si="17"/>
        <v>0</v>
      </c>
      <c r="K207" s="929"/>
      <c r="L207" s="930">
        <f t="shared" si="14"/>
        <v>0</v>
      </c>
      <c r="M207" s="929">
        <f t="shared" si="15"/>
        <v>0</v>
      </c>
    </row>
    <row r="208" spans="1:13" ht="47.25">
      <c r="A208" s="158"/>
      <c r="B208" s="148"/>
      <c r="C208" s="151" t="s">
        <v>697</v>
      </c>
      <c r="D208" s="152" t="s">
        <v>694</v>
      </c>
      <c r="E208" s="153"/>
      <c r="F208" s="173">
        <v>95</v>
      </c>
      <c r="G208" s="934"/>
      <c r="H208" s="929">
        <f t="shared" si="16"/>
        <v>0</v>
      </c>
      <c r="I208" s="931"/>
      <c r="J208" s="929">
        <f t="shared" si="17"/>
        <v>0</v>
      </c>
      <c r="K208" s="929"/>
      <c r="L208" s="930">
        <f t="shared" si="14"/>
        <v>0</v>
      </c>
      <c r="M208" s="929">
        <f t="shared" si="15"/>
        <v>0</v>
      </c>
    </row>
    <row r="209" spans="1:13" ht="47.25">
      <c r="A209" s="158"/>
      <c r="B209" s="148"/>
      <c r="C209" s="151" t="s">
        <v>698</v>
      </c>
      <c r="D209" s="152" t="s">
        <v>694</v>
      </c>
      <c r="E209" s="153"/>
      <c r="F209" s="173">
        <v>69</v>
      </c>
      <c r="G209" s="934"/>
      <c r="H209" s="929">
        <f t="shared" si="16"/>
        <v>0</v>
      </c>
      <c r="I209" s="931"/>
      <c r="J209" s="929">
        <f t="shared" si="17"/>
        <v>0</v>
      </c>
      <c r="K209" s="929"/>
      <c r="L209" s="930">
        <f t="shared" si="14"/>
        <v>0</v>
      </c>
      <c r="M209" s="929">
        <f t="shared" si="15"/>
        <v>0</v>
      </c>
    </row>
    <row r="210" spans="1:13" ht="47.25">
      <c r="A210" s="158"/>
      <c r="B210" s="148"/>
      <c r="C210" s="151" t="s">
        <v>699</v>
      </c>
      <c r="D210" s="152" t="s">
        <v>694</v>
      </c>
      <c r="E210" s="153"/>
      <c r="F210" s="173">
        <v>10</v>
      </c>
      <c r="G210" s="934"/>
      <c r="H210" s="929">
        <f t="shared" si="16"/>
        <v>0</v>
      </c>
      <c r="I210" s="931"/>
      <c r="J210" s="929">
        <f t="shared" si="17"/>
        <v>0</v>
      </c>
      <c r="K210" s="929"/>
      <c r="L210" s="930">
        <f t="shared" si="14"/>
        <v>0</v>
      </c>
      <c r="M210" s="929">
        <f t="shared" si="15"/>
        <v>0</v>
      </c>
    </row>
    <row r="211" spans="1:13" ht="47.25">
      <c r="A211" s="158"/>
      <c r="B211" s="148"/>
      <c r="C211" s="151" t="s">
        <v>700</v>
      </c>
      <c r="D211" s="152" t="s">
        <v>694</v>
      </c>
      <c r="E211" s="153"/>
      <c r="F211" s="173">
        <v>27</v>
      </c>
      <c r="G211" s="934"/>
      <c r="H211" s="929">
        <f t="shared" si="16"/>
        <v>0</v>
      </c>
      <c r="I211" s="931"/>
      <c r="J211" s="929">
        <f t="shared" si="17"/>
        <v>0</v>
      </c>
      <c r="K211" s="929"/>
      <c r="L211" s="930">
        <f t="shared" si="14"/>
        <v>0</v>
      </c>
      <c r="M211" s="929">
        <f t="shared" si="15"/>
        <v>0</v>
      </c>
    </row>
    <row r="212" spans="1:13" ht="47.25">
      <c r="A212" s="158"/>
      <c r="B212" s="148"/>
      <c r="C212" s="151" t="s">
        <v>701</v>
      </c>
      <c r="D212" s="152" t="s">
        <v>694</v>
      </c>
      <c r="E212" s="153"/>
      <c r="F212" s="173">
        <v>47</v>
      </c>
      <c r="G212" s="934"/>
      <c r="H212" s="929">
        <f t="shared" si="16"/>
        <v>0</v>
      </c>
      <c r="I212" s="931"/>
      <c r="J212" s="929">
        <f t="shared" si="17"/>
        <v>0</v>
      </c>
      <c r="K212" s="929"/>
      <c r="L212" s="930">
        <f t="shared" si="14"/>
        <v>0</v>
      </c>
      <c r="M212" s="929">
        <f t="shared" si="15"/>
        <v>0</v>
      </c>
    </row>
    <row r="213" spans="1:13" ht="15.75">
      <c r="A213" s="158"/>
      <c r="B213" s="148"/>
      <c r="C213" s="151" t="s">
        <v>690</v>
      </c>
      <c r="D213" s="152" t="s">
        <v>614</v>
      </c>
      <c r="E213" s="153"/>
      <c r="F213" s="173">
        <v>3</v>
      </c>
      <c r="G213" s="934"/>
      <c r="H213" s="929">
        <f t="shared" si="16"/>
        <v>0</v>
      </c>
      <c r="I213" s="931"/>
      <c r="J213" s="929">
        <f t="shared" si="17"/>
        <v>0</v>
      </c>
      <c r="K213" s="929"/>
      <c r="L213" s="930">
        <f t="shared" si="14"/>
        <v>0</v>
      </c>
      <c r="M213" s="929">
        <f t="shared" si="15"/>
        <v>0</v>
      </c>
    </row>
    <row r="214" spans="1:13" ht="15.75">
      <c r="A214" s="158"/>
      <c r="B214" s="148"/>
      <c r="C214" s="151" t="s">
        <v>691</v>
      </c>
      <c r="D214" s="152" t="s">
        <v>614</v>
      </c>
      <c r="E214" s="153"/>
      <c r="F214" s="173">
        <v>3</v>
      </c>
      <c r="G214" s="934"/>
      <c r="H214" s="929">
        <f t="shared" si="16"/>
        <v>0</v>
      </c>
      <c r="I214" s="931"/>
      <c r="J214" s="929">
        <f t="shared" si="17"/>
        <v>0</v>
      </c>
      <c r="K214" s="929"/>
      <c r="L214" s="930">
        <f t="shared" si="14"/>
        <v>0</v>
      </c>
      <c r="M214" s="929">
        <f t="shared" si="15"/>
        <v>0</v>
      </c>
    </row>
    <row r="215" spans="1:13" ht="15.75">
      <c r="A215" s="158"/>
      <c r="B215" s="148"/>
      <c r="C215" s="151" t="s">
        <v>692</v>
      </c>
      <c r="D215" s="152" t="s">
        <v>614</v>
      </c>
      <c r="E215" s="153"/>
      <c r="F215" s="173">
        <v>9</v>
      </c>
      <c r="G215" s="934"/>
      <c r="H215" s="929">
        <f t="shared" si="16"/>
        <v>0</v>
      </c>
      <c r="I215" s="931"/>
      <c r="J215" s="929">
        <f t="shared" si="17"/>
        <v>0</v>
      </c>
      <c r="K215" s="929"/>
      <c r="L215" s="930">
        <f t="shared" si="14"/>
        <v>0</v>
      </c>
      <c r="M215" s="929">
        <f t="shared" si="15"/>
        <v>0</v>
      </c>
    </row>
    <row r="216" spans="1:13" ht="15.75">
      <c r="A216" s="158"/>
      <c r="B216" s="148"/>
      <c r="C216" s="151" t="s">
        <v>702</v>
      </c>
      <c r="D216" s="152" t="s">
        <v>49</v>
      </c>
      <c r="E216" s="153"/>
      <c r="F216" s="173">
        <v>12</v>
      </c>
      <c r="G216" s="934"/>
      <c r="H216" s="929">
        <f t="shared" si="16"/>
        <v>0</v>
      </c>
      <c r="I216" s="931"/>
      <c r="J216" s="929">
        <f t="shared" si="17"/>
        <v>0</v>
      </c>
      <c r="K216" s="929"/>
      <c r="L216" s="930">
        <f t="shared" si="14"/>
        <v>0</v>
      </c>
      <c r="M216" s="929">
        <f t="shared" si="15"/>
        <v>0</v>
      </c>
    </row>
    <row r="217" spans="1:13" ht="15.75">
      <c r="A217" s="158"/>
      <c r="B217" s="148"/>
      <c r="C217" s="151" t="s">
        <v>689</v>
      </c>
      <c r="D217" s="152" t="s">
        <v>614</v>
      </c>
      <c r="E217" s="153"/>
      <c r="F217" s="173">
        <v>18</v>
      </c>
      <c r="G217" s="934"/>
      <c r="H217" s="929">
        <f t="shared" si="16"/>
        <v>0</v>
      </c>
      <c r="I217" s="931"/>
      <c r="J217" s="929">
        <f t="shared" si="17"/>
        <v>0</v>
      </c>
      <c r="K217" s="929"/>
      <c r="L217" s="930">
        <f t="shared" si="14"/>
        <v>0</v>
      </c>
      <c r="M217" s="929">
        <f t="shared" si="15"/>
        <v>0</v>
      </c>
    </row>
    <row r="218" spans="1:13" ht="15">
      <c r="A218" s="28"/>
      <c r="B218" s="28"/>
      <c r="C218" s="196" t="s">
        <v>47</v>
      </c>
      <c r="D218" s="28" t="s">
        <v>45</v>
      </c>
      <c r="E218" s="28">
        <v>0.03</v>
      </c>
      <c r="F218" s="198">
        <f>E218*F201</f>
        <v>12.54</v>
      </c>
      <c r="G218" s="27"/>
      <c r="H218" s="929">
        <f t="shared" si="16"/>
        <v>0</v>
      </c>
      <c r="I218" s="936"/>
      <c r="J218" s="929">
        <f t="shared" si="17"/>
        <v>0</v>
      </c>
      <c r="K218" s="27"/>
      <c r="L218" s="930">
        <f t="shared" si="14"/>
        <v>0</v>
      </c>
      <c r="M218" s="929">
        <f t="shared" si="15"/>
        <v>0</v>
      </c>
    </row>
    <row r="219" spans="1:13" ht="31.5">
      <c r="A219" s="158"/>
      <c r="B219" s="148"/>
      <c r="C219" s="119" t="s">
        <v>703</v>
      </c>
      <c r="D219" s="152"/>
      <c r="E219" s="153"/>
      <c r="F219" s="173"/>
      <c r="G219" s="931"/>
      <c r="H219" s="929">
        <f t="shared" si="16"/>
        <v>0</v>
      </c>
      <c r="I219" s="929"/>
      <c r="J219" s="929">
        <f t="shared" si="17"/>
        <v>0</v>
      </c>
      <c r="K219" s="929"/>
      <c r="L219" s="930">
        <f t="shared" si="14"/>
        <v>0</v>
      </c>
      <c r="M219" s="929">
        <f t="shared" si="15"/>
        <v>0</v>
      </c>
    </row>
    <row r="220" spans="1:13" ht="40.5">
      <c r="A220" s="180">
        <v>2</v>
      </c>
      <c r="B220" s="148" t="s">
        <v>740</v>
      </c>
      <c r="C220" s="202" t="s">
        <v>743</v>
      </c>
      <c r="D220" s="153" t="s">
        <v>445</v>
      </c>
      <c r="E220" s="153"/>
      <c r="F220" s="187">
        <f>SUM(F223:F226)</f>
        <v>134</v>
      </c>
      <c r="G220" s="929"/>
      <c r="H220" s="929">
        <f t="shared" si="16"/>
        <v>0</v>
      </c>
      <c r="I220" s="929"/>
      <c r="J220" s="929">
        <f t="shared" si="17"/>
        <v>0</v>
      </c>
      <c r="K220" s="929"/>
      <c r="L220" s="930">
        <f t="shared" si="14"/>
        <v>0</v>
      </c>
      <c r="M220" s="929">
        <f t="shared" si="15"/>
        <v>0</v>
      </c>
    </row>
    <row r="221" spans="1:13" ht="15.75">
      <c r="A221" s="180"/>
      <c r="B221" s="184"/>
      <c r="C221" s="151" t="s">
        <v>641</v>
      </c>
      <c r="D221" s="153" t="s">
        <v>31</v>
      </c>
      <c r="E221" s="153">
        <v>0.345</v>
      </c>
      <c r="F221" s="173">
        <f>F220*E221</f>
        <v>46.23</v>
      </c>
      <c r="G221" s="929"/>
      <c r="H221" s="929">
        <f t="shared" si="16"/>
        <v>0</v>
      </c>
      <c r="I221" s="929"/>
      <c r="J221" s="929">
        <f t="shared" si="17"/>
        <v>0</v>
      </c>
      <c r="K221" s="929"/>
      <c r="L221" s="930">
        <f t="shared" si="14"/>
        <v>0</v>
      </c>
      <c r="M221" s="929">
        <f t="shared" si="15"/>
        <v>0</v>
      </c>
    </row>
    <row r="222" spans="1:13" ht="15.75">
      <c r="A222" s="180"/>
      <c r="B222" s="184"/>
      <c r="C222" s="151" t="s">
        <v>44</v>
      </c>
      <c r="D222" s="153" t="s">
        <v>32</v>
      </c>
      <c r="E222" s="153">
        <v>0.0129</v>
      </c>
      <c r="F222" s="187">
        <f>F220*E222</f>
        <v>1.7286</v>
      </c>
      <c r="G222" s="929"/>
      <c r="H222" s="929">
        <f t="shared" si="16"/>
        <v>0</v>
      </c>
      <c r="I222" s="929"/>
      <c r="J222" s="929">
        <f t="shared" si="17"/>
        <v>0</v>
      </c>
      <c r="K222" s="929"/>
      <c r="L222" s="930">
        <f t="shared" si="14"/>
        <v>0</v>
      </c>
      <c r="M222" s="929">
        <f t="shared" si="15"/>
        <v>0</v>
      </c>
    </row>
    <row r="223" spans="1:13" ht="30.75">
      <c r="A223" s="158"/>
      <c r="B223" s="148"/>
      <c r="C223" s="151" t="s">
        <v>704</v>
      </c>
      <c r="D223" s="152" t="s">
        <v>694</v>
      </c>
      <c r="E223" s="153"/>
      <c r="F223" s="173">
        <v>14</v>
      </c>
      <c r="G223" s="929"/>
      <c r="H223" s="929">
        <f aca="true" t="shared" si="18" ref="H223:H243">F223*G223</f>
        <v>0</v>
      </c>
      <c r="I223" s="931"/>
      <c r="J223" s="929">
        <f t="shared" si="17"/>
        <v>0</v>
      </c>
      <c r="K223" s="929"/>
      <c r="L223" s="930">
        <f t="shared" si="14"/>
        <v>0</v>
      </c>
      <c r="M223" s="929">
        <f t="shared" si="15"/>
        <v>0</v>
      </c>
    </row>
    <row r="224" spans="1:13" ht="30.75">
      <c r="A224" s="158"/>
      <c r="B224" s="148"/>
      <c r="C224" s="151" t="s">
        <v>705</v>
      </c>
      <c r="D224" s="152" t="s">
        <v>694</v>
      </c>
      <c r="E224" s="153"/>
      <c r="F224" s="173">
        <v>4</v>
      </c>
      <c r="G224" s="929"/>
      <c r="H224" s="929">
        <f t="shared" si="18"/>
        <v>0</v>
      </c>
      <c r="I224" s="931"/>
      <c r="J224" s="929">
        <f t="shared" si="17"/>
        <v>0</v>
      </c>
      <c r="K224" s="929"/>
      <c r="L224" s="930">
        <f t="shared" si="14"/>
        <v>0</v>
      </c>
      <c r="M224" s="929">
        <f t="shared" si="15"/>
        <v>0</v>
      </c>
    </row>
    <row r="225" spans="1:13" ht="30.75">
      <c r="A225" s="158"/>
      <c r="B225" s="148"/>
      <c r="C225" s="151" t="s">
        <v>706</v>
      </c>
      <c r="D225" s="152" t="s">
        <v>694</v>
      </c>
      <c r="E225" s="153"/>
      <c r="F225" s="173">
        <v>44</v>
      </c>
      <c r="G225" s="929"/>
      <c r="H225" s="929">
        <f t="shared" si="18"/>
        <v>0</v>
      </c>
      <c r="I225" s="931"/>
      <c r="J225" s="929">
        <f t="shared" si="17"/>
        <v>0</v>
      </c>
      <c r="K225" s="929"/>
      <c r="L225" s="930">
        <f t="shared" si="14"/>
        <v>0</v>
      </c>
      <c r="M225" s="929">
        <f t="shared" si="15"/>
        <v>0</v>
      </c>
    </row>
    <row r="226" spans="1:13" ht="30.75">
      <c r="A226" s="158"/>
      <c r="B226" s="148"/>
      <c r="C226" s="151" t="s">
        <v>707</v>
      </c>
      <c r="D226" s="152" t="s">
        <v>694</v>
      </c>
      <c r="E226" s="153"/>
      <c r="F226" s="173">
        <v>72</v>
      </c>
      <c r="G226" s="929"/>
      <c r="H226" s="929">
        <f t="shared" si="18"/>
        <v>0</v>
      </c>
      <c r="I226" s="931"/>
      <c r="J226" s="929">
        <f t="shared" si="17"/>
        <v>0</v>
      </c>
      <c r="K226" s="929"/>
      <c r="L226" s="930">
        <f aca="true" t="shared" si="19" ref="L226:L243">F226*K226</f>
        <v>0</v>
      </c>
      <c r="M226" s="929">
        <f aca="true" t="shared" si="20" ref="M226:M243">H226+J226+L226</f>
        <v>0</v>
      </c>
    </row>
    <row r="227" spans="1:13" ht="15.75">
      <c r="A227" s="185"/>
      <c r="B227" s="186"/>
      <c r="C227" s="151" t="s">
        <v>742</v>
      </c>
      <c r="D227" s="153" t="s">
        <v>32</v>
      </c>
      <c r="E227" s="153">
        <v>0.0149</v>
      </c>
      <c r="F227" s="187">
        <f>F220*E227</f>
        <v>1.9966</v>
      </c>
      <c r="G227" s="929"/>
      <c r="H227" s="929">
        <f t="shared" si="18"/>
        <v>0</v>
      </c>
      <c r="I227" s="929"/>
      <c r="J227" s="929">
        <f t="shared" si="17"/>
        <v>0</v>
      </c>
      <c r="K227" s="929"/>
      <c r="L227" s="930">
        <f t="shared" si="19"/>
        <v>0</v>
      </c>
      <c r="M227" s="929">
        <f t="shared" si="20"/>
        <v>0</v>
      </c>
    </row>
    <row r="228" spans="1:13" ht="21.75" customHeight="1">
      <c r="A228" s="158"/>
      <c r="B228" s="148"/>
      <c r="C228" s="119" t="s">
        <v>744</v>
      </c>
      <c r="D228" s="152"/>
      <c r="E228" s="153"/>
      <c r="F228" s="173"/>
      <c r="G228" s="929"/>
      <c r="H228" s="929">
        <f t="shared" si="18"/>
        <v>0</v>
      </c>
      <c r="I228" s="931"/>
      <c r="J228" s="929">
        <f t="shared" si="17"/>
        <v>0</v>
      </c>
      <c r="K228" s="929"/>
      <c r="L228" s="930">
        <f t="shared" si="19"/>
        <v>0</v>
      </c>
      <c r="M228" s="929">
        <f t="shared" si="20"/>
        <v>0</v>
      </c>
    </row>
    <row r="229" spans="1:13" ht="21.75" customHeight="1">
      <c r="A229" s="158"/>
      <c r="B229" s="148"/>
      <c r="C229" s="151" t="s">
        <v>708</v>
      </c>
      <c r="D229" s="152" t="s">
        <v>614</v>
      </c>
      <c r="E229" s="153"/>
      <c r="F229" s="173">
        <v>3</v>
      </c>
      <c r="G229" s="929"/>
      <c r="H229" s="929">
        <f t="shared" si="18"/>
        <v>0</v>
      </c>
      <c r="I229" s="931"/>
      <c r="J229" s="929">
        <f t="shared" si="17"/>
        <v>0</v>
      </c>
      <c r="K229" s="929"/>
      <c r="L229" s="930">
        <f t="shared" si="19"/>
        <v>0</v>
      </c>
      <c r="M229" s="929">
        <f t="shared" si="20"/>
        <v>0</v>
      </c>
    </row>
    <row r="230" spans="1:13" ht="31.5">
      <c r="A230" s="158"/>
      <c r="B230" s="148"/>
      <c r="C230" s="151" t="s">
        <v>709</v>
      </c>
      <c r="D230" s="152" t="s">
        <v>614</v>
      </c>
      <c r="E230" s="153"/>
      <c r="F230" s="173">
        <v>2</v>
      </c>
      <c r="G230" s="929"/>
      <c r="H230" s="929">
        <f t="shared" si="18"/>
        <v>0</v>
      </c>
      <c r="I230" s="931"/>
      <c r="J230" s="929">
        <f t="shared" si="17"/>
        <v>0</v>
      </c>
      <c r="K230" s="929"/>
      <c r="L230" s="930">
        <f t="shared" si="19"/>
        <v>0</v>
      </c>
      <c r="M230" s="929">
        <f t="shared" si="20"/>
        <v>0</v>
      </c>
    </row>
    <row r="231" spans="1:13" ht="31.5">
      <c r="A231" s="158"/>
      <c r="B231" s="148"/>
      <c r="C231" s="151" t="s">
        <v>710</v>
      </c>
      <c r="D231" s="152" t="s">
        <v>614</v>
      </c>
      <c r="E231" s="153"/>
      <c r="F231" s="173">
        <v>16</v>
      </c>
      <c r="G231" s="929"/>
      <c r="H231" s="929">
        <f t="shared" si="18"/>
        <v>0</v>
      </c>
      <c r="I231" s="931"/>
      <c r="J231" s="929">
        <f t="shared" si="17"/>
        <v>0</v>
      </c>
      <c r="K231" s="929"/>
      <c r="L231" s="930">
        <f t="shared" si="19"/>
        <v>0</v>
      </c>
      <c r="M231" s="929">
        <f t="shared" si="20"/>
        <v>0</v>
      </c>
    </row>
    <row r="232" spans="1:13" ht="31.5">
      <c r="A232" s="158"/>
      <c r="B232" s="148"/>
      <c r="C232" s="151" t="s">
        <v>711</v>
      </c>
      <c r="D232" s="152" t="s">
        <v>614</v>
      </c>
      <c r="E232" s="153"/>
      <c r="F232" s="173">
        <v>12</v>
      </c>
      <c r="G232" s="929"/>
      <c r="H232" s="929">
        <f t="shared" si="18"/>
        <v>0</v>
      </c>
      <c r="I232" s="931"/>
      <c r="J232" s="929">
        <f t="shared" si="17"/>
        <v>0</v>
      </c>
      <c r="K232" s="929"/>
      <c r="L232" s="930">
        <f t="shared" si="19"/>
        <v>0</v>
      </c>
      <c r="M232" s="929">
        <f t="shared" si="20"/>
        <v>0</v>
      </c>
    </row>
    <row r="233" spans="1:13" ht="15.75">
      <c r="A233" s="158"/>
      <c r="B233" s="148"/>
      <c r="C233" s="151" t="s">
        <v>712</v>
      </c>
      <c r="D233" s="152" t="s">
        <v>614</v>
      </c>
      <c r="E233" s="153"/>
      <c r="F233" s="173">
        <v>1</v>
      </c>
      <c r="G233" s="929"/>
      <c r="H233" s="929">
        <f t="shared" si="18"/>
        <v>0</v>
      </c>
      <c r="I233" s="931"/>
      <c r="J233" s="929">
        <f t="shared" si="17"/>
        <v>0</v>
      </c>
      <c r="K233" s="929"/>
      <c r="L233" s="930">
        <f t="shared" si="19"/>
        <v>0</v>
      </c>
      <c r="M233" s="929">
        <f t="shared" si="20"/>
        <v>0</v>
      </c>
    </row>
    <row r="234" spans="1:13" ht="15.75">
      <c r="A234" s="158"/>
      <c r="B234" s="148"/>
      <c r="C234" s="151" t="s">
        <v>713</v>
      </c>
      <c r="D234" s="152" t="s">
        <v>614</v>
      </c>
      <c r="E234" s="153"/>
      <c r="F234" s="173">
        <v>16</v>
      </c>
      <c r="G234" s="929"/>
      <c r="H234" s="929">
        <f t="shared" si="18"/>
        <v>0</v>
      </c>
      <c r="I234" s="931"/>
      <c r="J234" s="929">
        <f t="shared" si="17"/>
        <v>0</v>
      </c>
      <c r="K234" s="929"/>
      <c r="L234" s="930">
        <f t="shared" si="19"/>
        <v>0</v>
      </c>
      <c r="M234" s="929">
        <f t="shared" si="20"/>
        <v>0</v>
      </c>
    </row>
    <row r="235" spans="1:13" ht="15.75">
      <c r="A235" s="158"/>
      <c r="B235" s="148"/>
      <c r="C235" s="151" t="s">
        <v>714</v>
      </c>
      <c r="D235" s="152" t="s">
        <v>614</v>
      </c>
      <c r="E235" s="153"/>
      <c r="F235" s="173">
        <v>1</v>
      </c>
      <c r="G235" s="929"/>
      <c r="H235" s="929">
        <f t="shared" si="18"/>
        <v>0</v>
      </c>
      <c r="I235" s="931"/>
      <c r="J235" s="929">
        <f t="shared" si="17"/>
        <v>0</v>
      </c>
      <c r="K235" s="929"/>
      <c r="L235" s="930">
        <f t="shared" si="19"/>
        <v>0</v>
      </c>
      <c r="M235" s="929">
        <f t="shared" si="20"/>
        <v>0</v>
      </c>
    </row>
    <row r="236" spans="1:13" ht="15.75">
      <c r="A236" s="158"/>
      <c r="B236" s="148"/>
      <c r="C236" s="151" t="s">
        <v>715</v>
      </c>
      <c r="D236" s="152" t="s">
        <v>614</v>
      </c>
      <c r="E236" s="153"/>
      <c r="F236" s="173">
        <v>1</v>
      </c>
      <c r="G236" s="929"/>
      <c r="H236" s="929">
        <f t="shared" si="18"/>
        <v>0</v>
      </c>
      <c r="I236" s="931"/>
      <c r="J236" s="929">
        <f t="shared" si="17"/>
        <v>0</v>
      </c>
      <c r="K236" s="929"/>
      <c r="L236" s="930">
        <f t="shared" si="19"/>
        <v>0</v>
      </c>
      <c r="M236" s="929">
        <f t="shared" si="20"/>
        <v>0</v>
      </c>
    </row>
    <row r="237" spans="1:13" ht="15.75">
      <c r="A237" s="158"/>
      <c r="B237" s="148"/>
      <c r="C237" s="151" t="s">
        <v>716</v>
      </c>
      <c r="D237" s="152" t="s">
        <v>614</v>
      </c>
      <c r="E237" s="153"/>
      <c r="F237" s="173">
        <v>14</v>
      </c>
      <c r="G237" s="929"/>
      <c r="H237" s="929">
        <f t="shared" si="18"/>
        <v>0</v>
      </c>
      <c r="I237" s="931"/>
      <c r="J237" s="929">
        <f t="shared" si="17"/>
        <v>0</v>
      </c>
      <c r="K237" s="929"/>
      <c r="L237" s="930">
        <f t="shared" si="19"/>
        <v>0</v>
      </c>
      <c r="M237" s="929">
        <f t="shared" si="20"/>
        <v>0</v>
      </c>
    </row>
    <row r="238" spans="1:13" ht="15.75">
      <c r="A238" s="158"/>
      <c r="B238" s="148"/>
      <c r="C238" s="151" t="s">
        <v>717</v>
      </c>
      <c r="D238" s="152" t="s">
        <v>614</v>
      </c>
      <c r="E238" s="153"/>
      <c r="F238" s="173">
        <v>4</v>
      </c>
      <c r="G238" s="929"/>
      <c r="H238" s="929">
        <f t="shared" si="18"/>
        <v>0</v>
      </c>
      <c r="I238" s="931"/>
      <c r="J238" s="929">
        <f t="shared" si="17"/>
        <v>0</v>
      </c>
      <c r="K238" s="929"/>
      <c r="L238" s="930">
        <f t="shared" si="19"/>
        <v>0</v>
      </c>
      <c r="M238" s="929">
        <f t="shared" si="20"/>
        <v>0</v>
      </c>
    </row>
    <row r="239" spans="1:13" ht="15.75">
      <c r="A239" s="158"/>
      <c r="B239" s="148"/>
      <c r="C239" s="151" t="s">
        <v>718</v>
      </c>
      <c r="D239" s="152" t="s">
        <v>614</v>
      </c>
      <c r="E239" s="153"/>
      <c r="F239" s="173">
        <v>1</v>
      </c>
      <c r="G239" s="929"/>
      <c r="H239" s="929">
        <f t="shared" si="18"/>
        <v>0</v>
      </c>
      <c r="I239" s="931"/>
      <c r="J239" s="929">
        <f t="shared" si="17"/>
        <v>0</v>
      </c>
      <c r="K239" s="929"/>
      <c r="L239" s="930">
        <f t="shared" si="19"/>
        <v>0</v>
      </c>
      <c r="M239" s="929">
        <f t="shared" si="20"/>
        <v>0</v>
      </c>
    </row>
    <row r="240" spans="1:13" ht="15.75">
      <c r="A240" s="158"/>
      <c r="B240" s="148"/>
      <c r="C240" s="151" t="s">
        <v>719</v>
      </c>
      <c r="D240" s="152" t="s">
        <v>614</v>
      </c>
      <c r="E240" s="153"/>
      <c r="F240" s="173">
        <v>12</v>
      </c>
      <c r="G240" s="929"/>
      <c r="H240" s="929">
        <f t="shared" si="18"/>
        <v>0</v>
      </c>
      <c r="I240" s="931"/>
      <c r="J240" s="929">
        <f t="shared" si="17"/>
        <v>0</v>
      </c>
      <c r="K240" s="929"/>
      <c r="L240" s="930">
        <f t="shared" si="19"/>
        <v>0</v>
      </c>
      <c r="M240" s="929">
        <f t="shared" si="20"/>
        <v>0</v>
      </c>
    </row>
    <row r="241" spans="1:13" ht="15.75">
      <c r="A241" s="158"/>
      <c r="B241" s="154"/>
      <c r="C241" s="151" t="s">
        <v>720</v>
      </c>
      <c r="D241" s="152" t="s">
        <v>614</v>
      </c>
      <c r="E241" s="153"/>
      <c r="F241" s="173">
        <v>22</v>
      </c>
      <c r="G241" s="929"/>
      <c r="H241" s="929">
        <f t="shared" si="18"/>
        <v>0</v>
      </c>
      <c r="I241" s="931"/>
      <c r="J241" s="929">
        <f t="shared" si="17"/>
        <v>0</v>
      </c>
      <c r="K241" s="929"/>
      <c r="L241" s="930">
        <f t="shared" si="19"/>
        <v>0</v>
      </c>
      <c r="M241" s="929">
        <f t="shared" si="20"/>
        <v>0</v>
      </c>
    </row>
    <row r="242" spans="1:13" ht="15.75">
      <c r="A242" s="158"/>
      <c r="B242" s="154"/>
      <c r="C242" s="151" t="s">
        <v>721</v>
      </c>
      <c r="D242" s="152" t="s">
        <v>614</v>
      </c>
      <c r="E242" s="153"/>
      <c r="F242" s="173">
        <v>26</v>
      </c>
      <c r="G242" s="929"/>
      <c r="H242" s="929">
        <f t="shared" si="18"/>
        <v>0</v>
      </c>
      <c r="I242" s="931"/>
      <c r="J242" s="929">
        <f t="shared" si="17"/>
        <v>0</v>
      </c>
      <c r="K242" s="929"/>
      <c r="L242" s="930">
        <f t="shared" si="19"/>
        <v>0</v>
      </c>
      <c r="M242" s="929">
        <f t="shared" si="20"/>
        <v>0</v>
      </c>
    </row>
    <row r="243" spans="1:13" ht="15.75">
      <c r="A243" s="158"/>
      <c r="B243" s="154"/>
      <c r="C243" s="151" t="s">
        <v>722</v>
      </c>
      <c r="D243" s="152" t="s">
        <v>614</v>
      </c>
      <c r="E243" s="153"/>
      <c r="F243" s="173">
        <v>44</v>
      </c>
      <c r="G243" s="929"/>
      <c r="H243" s="929">
        <f t="shared" si="18"/>
        <v>0</v>
      </c>
      <c r="I243" s="931"/>
      <c r="J243" s="929">
        <f t="shared" si="17"/>
        <v>0</v>
      </c>
      <c r="K243" s="929"/>
      <c r="L243" s="930">
        <f t="shared" si="19"/>
        <v>0</v>
      </c>
      <c r="M243" s="929">
        <f t="shared" si="20"/>
        <v>0</v>
      </c>
    </row>
    <row r="244" spans="1:13" ht="15.75">
      <c r="A244" s="164"/>
      <c r="B244" s="165"/>
      <c r="C244" s="166" t="s">
        <v>64</v>
      </c>
      <c r="D244" s="167"/>
      <c r="E244" s="168"/>
      <c r="F244" s="175"/>
      <c r="G244" s="937"/>
      <c r="H244" s="939">
        <f>SUM(H7:H243)</f>
        <v>0</v>
      </c>
      <c r="I244" s="939"/>
      <c r="J244" s="939">
        <f>SUM(J7:J243)</f>
        <v>0</v>
      </c>
      <c r="K244" s="939"/>
      <c r="L244" s="940">
        <f>SUM(L7:L243)</f>
        <v>0</v>
      </c>
      <c r="M244" s="939">
        <f>SUM(M7:M243)</f>
        <v>0</v>
      </c>
    </row>
    <row r="245" spans="1:13" ht="15.75">
      <c r="A245" s="164"/>
      <c r="B245" s="164"/>
      <c r="C245" s="166" t="s">
        <v>723</v>
      </c>
      <c r="D245" s="167"/>
      <c r="E245" s="168"/>
      <c r="F245" s="175"/>
      <c r="G245" s="937"/>
      <c r="H245" s="939">
        <f>H8+H11+H14+H16+H18+H22+H83+H89+H116+H136+H154+H160+H178</f>
        <v>0</v>
      </c>
      <c r="I245" s="939"/>
      <c r="J245" s="939">
        <f>J7+J10+J13+J17+J15+J85+J118+J138+J156+J180</f>
        <v>0</v>
      </c>
      <c r="K245" s="939"/>
      <c r="L245" s="940"/>
      <c r="M245" s="939">
        <f>H245+J245+L245</f>
        <v>0</v>
      </c>
    </row>
    <row r="246" spans="1:13" ht="47.25">
      <c r="A246" s="164"/>
      <c r="B246" s="164"/>
      <c r="C246" s="166" t="s">
        <v>853</v>
      </c>
      <c r="D246" s="170"/>
      <c r="E246" s="809">
        <v>0</v>
      </c>
      <c r="F246" s="169"/>
      <c r="G246" s="937"/>
      <c r="H246" s="937"/>
      <c r="I246" s="937"/>
      <c r="J246" s="937"/>
      <c r="K246" s="937"/>
      <c r="L246" s="938"/>
      <c r="M246" s="939">
        <f>H245*E246</f>
        <v>0</v>
      </c>
    </row>
    <row r="247" spans="1:13" ht="15.75">
      <c r="A247" s="164"/>
      <c r="B247" s="164"/>
      <c r="C247" s="166" t="s">
        <v>30</v>
      </c>
      <c r="D247" s="170"/>
      <c r="E247" s="809">
        <v>0</v>
      </c>
      <c r="F247" s="169"/>
      <c r="G247" s="937"/>
      <c r="H247" s="937"/>
      <c r="I247" s="937"/>
      <c r="J247" s="937"/>
      <c r="K247" s="937"/>
      <c r="L247" s="938"/>
      <c r="M247" s="939">
        <f>(M244-M245)*E247</f>
        <v>0</v>
      </c>
    </row>
    <row r="248" spans="1:13" ht="15.75">
      <c r="A248" s="164"/>
      <c r="B248" s="164"/>
      <c r="C248" s="166" t="s">
        <v>64</v>
      </c>
      <c r="D248" s="170"/>
      <c r="E248" s="170"/>
      <c r="F248" s="169"/>
      <c r="G248" s="937"/>
      <c r="H248" s="937"/>
      <c r="I248" s="937"/>
      <c r="J248" s="937"/>
      <c r="K248" s="937"/>
      <c r="L248" s="938"/>
      <c r="M248" s="939">
        <f>M244+M246+M247</f>
        <v>0</v>
      </c>
    </row>
    <row r="249" spans="1:13" ht="47.25">
      <c r="A249" s="164"/>
      <c r="B249" s="164"/>
      <c r="C249" s="166" t="s">
        <v>889</v>
      </c>
      <c r="D249" s="170"/>
      <c r="E249" s="809">
        <v>0</v>
      </c>
      <c r="F249" s="169"/>
      <c r="G249" s="937"/>
      <c r="H249" s="937"/>
      <c r="I249" s="937"/>
      <c r="J249" s="937"/>
      <c r="K249" s="937"/>
      <c r="L249" s="938"/>
      <c r="M249" s="939">
        <f>(M248-J245)*E249</f>
        <v>0</v>
      </c>
    </row>
    <row r="250" spans="1:13" ht="15.75">
      <c r="A250" s="164"/>
      <c r="B250" s="164"/>
      <c r="C250" s="166" t="s">
        <v>64</v>
      </c>
      <c r="D250" s="170"/>
      <c r="E250" s="170"/>
      <c r="F250" s="169"/>
      <c r="G250" s="937"/>
      <c r="H250" s="937"/>
      <c r="I250" s="937"/>
      <c r="J250" s="937"/>
      <c r="K250" s="937"/>
      <c r="L250" s="938"/>
      <c r="M250" s="939">
        <f>SUM(M248:M249)</f>
        <v>0</v>
      </c>
    </row>
  </sheetData>
  <sheetProtection/>
  <autoFilter ref="A6:M250"/>
  <mergeCells count="12">
    <mergeCell ref="E4:F4"/>
    <mergeCell ref="A2:M2"/>
    <mergeCell ref="G4:H4"/>
    <mergeCell ref="M4:M5"/>
    <mergeCell ref="I4:J4"/>
    <mergeCell ref="K4:L4"/>
    <mergeCell ref="A1:M1"/>
    <mergeCell ref="A3:M3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vato</cp:lastModifiedBy>
  <cp:lastPrinted>2019-02-06T13:48:21Z</cp:lastPrinted>
  <dcterms:created xsi:type="dcterms:W3CDTF">2015-07-24T11:46:29Z</dcterms:created>
  <dcterms:modified xsi:type="dcterms:W3CDTF">2019-02-28T12:39:49Z</dcterms:modified>
  <cp:category/>
  <cp:version/>
  <cp:contentType/>
  <cp:contentStatus/>
</cp:coreProperties>
</file>